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YuujiAnderson\Dropbox\Kaissa Consumer\Mosaic\buckets\AGENTICS\INTU\source\"/>
    </mc:Choice>
  </mc:AlternateContent>
  <xr:revisionPtr revIDLastSave="0" documentId="13_ncr:1_{291E6EA9-5E00-4DFC-86CC-5B8FAFE0869B}" xr6:coauthVersionLast="47" xr6:coauthVersionMax="47" xr10:uidLastSave="{00000000-0000-0000-0000-000000000000}"/>
  <bookViews>
    <workbookView xWindow="-120" yWindow="-120" windowWidth="29040" windowHeight="15720" tabRatio="750" firstSheet="1" activeTab="3" xr2:uid="{00000000-000D-0000-FFFF-FFFF00000000}"/>
  </bookViews>
  <sheets>
    <sheet name="__FDSCACHE__" sheetId="118" state="veryHidden" r:id="rId1"/>
    <sheet name="WFS" sheetId="120" r:id="rId2"/>
    <sheet name="Income Statement" sheetId="128" r:id="rId3"/>
    <sheet name="Revenue Build" sheetId="131" r:id="rId4"/>
    <sheet name="Balance Sheet" sheetId="129" r:id="rId5"/>
    <sheet name="Cash Flow" sheetId="130" r:id="rId6"/>
    <sheet name="Guidance Performance_OLD" sheetId="121" state="hidden" r:id="rId7"/>
    <sheet name="Peer Comps" sheetId="117" state="hidden" r:id="rId8"/>
    <sheet name="__APW_ACTIVE_FIELD_RESTORE__" sheetId="62" state="veryHidden" r:id="rId9"/>
    <sheet name="XLinkMeta" sheetId="110" state="veryHidden" r:id="rId10"/>
  </sheets>
  <externalReferences>
    <externalReference r:id="rId11"/>
  </externalReferences>
  <definedNames>
    <definedName name="__APW_RESTORE_DATA0__" localSheetId="2" hidden="1">#REF!</definedName>
    <definedName name="__APW_RESTORE_DATA0__" localSheetId="1" hidden="1">#REF!</definedName>
    <definedName name="__APW_RESTORE_DATA0__" hidden="1">#REF!</definedName>
    <definedName name="__APW_RESTORE_DATA1__" localSheetId="2" hidden="1">#REF!</definedName>
    <definedName name="__APW_RESTORE_DATA1__" hidden="1">#REF!</definedName>
    <definedName name="__APW_RESTORE_DATA2__" hidden="1">#REF!</definedName>
    <definedName name="__APW_RESTORE_DATA3__" hidden="1">#REF!</definedName>
    <definedName name="__FDS_HYPERLINK_TOGGLE_STATE__" hidden="1">"ON"</definedName>
    <definedName name="__FDS_UNIQUE_RANGE_ID_GENERATOR_COUNTER" hidden="1">1</definedName>
    <definedName name="__FDS_USED_FOR_REUSING_RANGE_IDS_RECYCLE" localSheetId="4" hidden="1">{21,20,19,18}</definedName>
    <definedName name="__FDS_USED_FOR_REUSING_RANGE_IDS_RECYCLE" localSheetId="5" hidden="1">{21,20,19,18}</definedName>
    <definedName name="__FDS_USED_FOR_REUSING_RANGE_IDS_RECYCLE" localSheetId="3" hidden="1">{21,20,19,18}</definedName>
    <definedName name="__FDS_USED_FOR_REUSING_RANGE_IDS_RECYCLE" localSheetId="1" hidden="1">{21,20,19,18}</definedName>
    <definedName name="__FDS_USED_FOR_REUSING_RANGE_IDS_RECYCLE" hidden="1">{21,20,19,18}</definedName>
    <definedName name="_1__FDSAUDITLINK__" localSheetId="4"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__FDSAUDITLINK__" localSheetId="5"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__FDSAUDITLINK__" localSheetId="3"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__FDSAUDITLINK__" localSheetId="1"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__FDSAUDITLINK__"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0__FDSAUDITLINK__" localSheetId="4"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__FDSAUDITLINK__" localSheetId="5"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__FDSAUDITLINK__" localSheetId="3"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__FDSAUDITLINK__" localSheetId="1"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__FDSAUDITLINK__"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0__FDSAUDITLINK__" localSheetId="4"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__FDSAUDITLINK__" localSheetId="5"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__FDSAUDITLINK__" localSheetId="3"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__FDSAUDITLINK__" localSheetId="1"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__FDSAUDITLINK__"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0__FDSAUDITLINK__" localSheetId="4"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0__FDSAUDITLINK__" localSheetId="5"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0__FDSAUDITLINK__" localSheetId="3"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0__FDSAUDITLINK__" localSheetId="1"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0__FDSAUDITLINK__"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1__FDSAUDITLINK__" localSheetId="4"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1__FDSAUDITLINK__" localSheetId="5"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1__FDSAUDITLINK__" localSheetId="3"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1__FDSAUDITLINK__" localSheetId="1"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1__FDSAUDITLINK__"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2__FDSAUDITLINK__" localSheetId="4"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2__FDSAUDITLINK__" localSheetId="5"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2__FDSAUDITLINK__" localSheetId="3"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2__FDSAUDITLINK__" localSheetId="1"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2__FDSAUDITLINK__"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3__FDSAUDITLINK__" localSheetId="4"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3__FDSAUDITLINK__" localSheetId="5"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3__FDSAUDITLINK__" localSheetId="3"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3__FDSAUDITLINK__" localSheetId="1"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3__FDSAUDITLINK__"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4__FDSAUDITLINK__" localSheetId="4"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4__FDSAUDITLINK__" localSheetId="5"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4__FDSAUDITLINK__" localSheetId="3"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4__FDSAUDITLINK__" localSheetId="1"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4__FDSAUDITLINK__"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5__FDSAUDITLINK__" localSheetId="4"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5__FDSAUDITLINK__" localSheetId="5"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5__FDSAUDITLINK__" localSheetId="3"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5__FDSAUDITLINK__" localSheetId="1"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5__FDSAUDITLINK__"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6__FDSAUDITLINK__" localSheetId="4"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6__FDSAUDITLINK__" localSheetId="5"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6__FDSAUDITLINK__" localSheetId="3"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6__FDSAUDITLINK__" localSheetId="1"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6__FDSAUDITLINK__"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7__FDSAUDITLINK__" localSheetId="4"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7__FDSAUDITLINK__" localSheetId="5"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7__FDSAUDITLINK__" localSheetId="3"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7__FDSAUDITLINK__" localSheetId="1"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7__FDSAUDITLINK__"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8__FDSAUDITLINK__" localSheetId="4"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8__FDSAUDITLINK__" localSheetId="5"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8__FDSAUDITLINK__" localSheetId="3"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8__FDSAUDITLINK__" localSheetId="1"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8__FDSAUDITLINK__"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9__FDSAUDITLINK__" localSheetId="4"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09__FDSAUDITLINK__" localSheetId="5"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09__FDSAUDITLINK__" localSheetId="3"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09__FDSAUDITLINK__" localSheetId="1"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09__FDSAUDITLINK__"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1__FDSAUDITLINK__" localSheetId="4"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__FDSAUDITLINK__" localSheetId="5"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__FDSAUDITLINK__" localSheetId="3"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__FDSAUDITLINK__" localSheetId="1"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__FDSAUDITLINK__"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0__FDSAUDITLINK__" localSheetId="4"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0__FDSAUDITLINK__" localSheetId="5"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0__FDSAUDITLINK__" localSheetId="3"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0__FDSAUDITLINK__" localSheetId="1"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0__FDSAUDITLINK__"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1__FDSAUDITLINK__" localSheetId="4"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1__FDSAUDITLINK__" localSheetId="5"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1__FDSAUDITLINK__" localSheetId="3"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1__FDSAUDITLINK__" localSheetId="1"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1__FDSAUDITLINK__"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2__FDSAUDITLINK__" localSheetId="4"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2__FDSAUDITLINK__" localSheetId="5"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2__FDSAUDITLINK__" localSheetId="3"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2__FDSAUDITLINK__" localSheetId="1"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2__FDSAUDITLINK__"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3__FDSAUDITLINK__" localSheetId="4"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3__FDSAUDITLINK__" localSheetId="5"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3__FDSAUDITLINK__" localSheetId="3"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3__FDSAUDITLINK__" localSheetId="1"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3__FDSAUDITLINK__"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4__FDSAUDITLINK__" localSheetId="4"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4__FDSAUDITLINK__" localSheetId="5"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4__FDSAUDITLINK__" localSheetId="3"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4__FDSAUDITLINK__" localSheetId="1"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4__FDSAUDITLINK__"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5__FDSAUDITLINK__" localSheetId="4"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5__FDSAUDITLINK__" localSheetId="5"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5__FDSAUDITLINK__" localSheetId="3"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5__FDSAUDITLINK__" localSheetId="1"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5__FDSAUDITLINK__"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6__FDSAUDITLINK__" localSheetId="4"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6__FDSAUDITLINK__" localSheetId="5"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6__FDSAUDITLINK__" localSheetId="3"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6__FDSAUDITLINK__" localSheetId="1"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6__FDSAUDITLINK__"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7__FDSAUDITLINK__" localSheetId="4"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7__FDSAUDITLINK__" localSheetId="5"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7__FDSAUDITLINK__" localSheetId="3"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7__FDSAUDITLINK__" localSheetId="1"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7__FDSAUDITLINK__"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8__FDSAUDITLINK__" localSheetId="4"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8__FDSAUDITLINK__" localSheetId="5"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8__FDSAUDITLINK__" localSheetId="3"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8__FDSAUDITLINK__" localSheetId="1"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8__FDSAUDITLINK__"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9__FDSAUDITLINK__" localSheetId="4"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19__FDSAUDITLINK__" localSheetId="5"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19__FDSAUDITLINK__" localSheetId="3"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19__FDSAUDITLINK__" localSheetId="1"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19__FDSAUDITLINK__"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2__FDSAUDITLINK__" localSheetId="4"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__FDSAUDITLINK__" localSheetId="5"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__FDSAUDITLINK__" localSheetId="3"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__FDSAUDITLINK__" localSheetId="1"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__FDSAUDITLINK__"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0__FDSAUDITLINK__" localSheetId="4"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0__FDSAUDITLINK__" localSheetId="5"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0__FDSAUDITLINK__" localSheetId="3"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0__FDSAUDITLINK__" localSheetId="1"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0__FDSAUDITLINK__"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1__FDSAUDITLINK__" localSheetId="4"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1__FDSAUDITLINK__" localSheetId="5"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1__FDSAUDITLINK__" localSheetId="3"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1__FDSAUDITLINK__" localSheetId="1"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1__FDSAUDITLINK__"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2__FDSAUDITLINK__" localSheetId="4"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2__FDSAUDITLINK__" localSheetId="5"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2__FDSAUDITLINK__" localSheetId="3"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2__FDSAUDITLINK__" localSheetId="1"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2__FDSAUDITLINK__"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3__FDSAUDITLINK__" localSheetId="4"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3__FDSAUDITLINK__" localSheetId="5"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3__FDSAUDITLINK__" localSheetId="3"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3__FDSAUDITLINK__" localSheetId="1"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3__FDSAUDITLINK__"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4__FDSAUDITLINK__" localSheetId="4"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4__FDSAUDITLINK__" localSheetId="5"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4__FDSAUDITLINK__" localSheetId="3"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4__FDSAUDITLINK__" localSheetId="1"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4__FDSAUDITLINK__"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5__FDSAUDITLINK__" localSheetId="4"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5__FDSAUDITLINK__" localSheetId="5"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5__FDSAUDITLINK__" localSheetId="3"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5__FDSAUDITLINK__" localSheetId="1"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5__FDSAUDITLINK__"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6__FDSAUDITLINK__" localSheetId="4"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6__FDSAUDITLINK__" localSheetId="5"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6__FDSAUDITLINK__" localSheetId="3"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6__FDSAUDITLINK__" localSheetId="1"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6__FDSAUDITLINK__"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7__FDSAUDITLINK__" localSheetId="4"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7__FDSAUDITLINK__" localSheetId="5"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7__FDSAUDITLINK__" localSheetId="3"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7__FDSAUDITLINK__" localSheetId="1"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7__FDSAUDITLINK__"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8__FDSAUDITLINK__" localSheetId="4"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8__FDSAUDITLINK__" localSheetId="5"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8__FDSAUDITLINK__" localSheetId="3"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8__FDSAUDITLINK__" localSheetId="1"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8__FDSAUDITLINK__"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9__FDSAUDITLINK__" localSheetId="4"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29__FDSAUDITLINK__" localSheetId="5"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29__FDSAUDITLINK__" localSheetId="3"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29__FDSAUDITLINK__" localSheetId="1"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29__FDSAUDITLINK__"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3__FDSAUDITLINK__" localSheetId="4"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__FDSAUDITLINK__" localSheetId="5"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__FDSAUDITLINK__" localSheetId="3"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__FDSAUDITLINK__" localSheetId="1"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__FDSAUDITLINK__"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0__FDSAUDITLINK__" localSheetId="4"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0__FDSAUDITLINK__" localSheetId="5"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0__FDSAUDITLINK__" localSheetId="3"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0__FDSAUDITLINK__" localSheetId="1"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0__FDSAUDITLINK__"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1__FDSAUDITLINK__" localSheetId="4"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1__FDSAUDITLINK__" localSheetId="5"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1__FDSAUDITLINK__" localSheetId="3"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1__FDSAUDITLINK__" localSheetId="1"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1__FDSAUDITLINK__"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2__FDSAUDITLINK__" localSheetId="4"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2__FDSAUDITLINK__" localSheetId="5"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2__FDSAUDITLINK__" localSheetId="3"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2__FDSAUDITLINK__" localSheetId="1"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2__FDSAUDITLINK__"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3__FDSAUDITLINK__" localSheetId="4"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3__FDSAUDITLINK__" localSheetId="5"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3__FDSAUDITLINK__" localSheetId="3"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3__FDSAUDITLINK__" localSheetId="1"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3__FDSAUDITLINK__"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4__FDSAUDITLINK__" localSheetId="4"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4__FDSAUDITLINK__" localSheetId="5"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4__FDSAUDITLINK__" localSheetId="3"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4__FDSAUDITLINK__" localSheetId="1"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4__FDSAUDITLINK__"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5__FDSAUDITLINK__" localSheetId="4"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5__FDSAUDITLINK__" localSheetId="5"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5__FDSAUDITLINK__" localSheetId="3"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5__FDSAUDITLINK__" localSheetId="1"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5__FDSAUDITLINK__"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6__FDSAUDITLINK__" localSheetId="4"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6__FDSAUDITLINK__" localSheetId="5"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6__FDSAUDITLINK__" localSheetId="3"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6__FDSAUDITLINK__" localSheetId="1"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6__FDSAUDITLINK__"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7__FDSAUDITLINK__" localSheetId="4"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7__FDSAUDITLINK__" localSheetId="5"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7__FDSAUDITLINK__" localSheetId="3"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7__FDSAUDITLINK__" localSheetId="1"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7__FDSAUDITLINK__"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8__FDSAUDITLINK__" localSheetId="4"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8__FDSAUDITLINK__" localSheetId="5"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8__FDSAUDITLINK__" localSheetId="3"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8__FDSAUDITLINK__" localSheetId="1"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8__FDSAUDITLINK__"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9__FDSAUDITLINK__" localSheetId="4"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39__FDSAUDITLINK__" localSheetId="5"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39__FDSAUDITLINK__" localSheetId="3"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39__FDSAUDITLINK__" localSheetId="1"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39__FDSAUDITLINK__"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4__FDSAUDITLINK__" localSheetId="4"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__FDSAUDITLINK__" localSheetId="5"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__FDSAUDITLINK__" localSheetId="3"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__FDSAUDITLINK__" localSheetId="1"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__FDSAUDITLINK__"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0__FDSAUDITLINK__" localSheetId="4"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0__FDSAUDITLINK__" localSheetId="5"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0__FDSAUDITLINK__" localSheetId="3"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0__FDSAUDITLINK__" localSheetId="1"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0__FDSAUDITLINK__"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1__FDSAUDITLINK__" localSheetId="4"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1__FDSAUDITLINK__" localSheetId="5"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1__FDSAUDITLINK__" localSheetId="3"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1__FDSAUDITLINK__" localSheetId="1"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1__FDSAUDITLINK__"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2__FDSAUDITLINK__" localSheetId="4"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2__FDSAUDITLINK__" localSheetId="5"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2__FDSAUDITLINK__" localSheetId="3"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2__FDSAUDITLINK__" localSheetId="1"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2__FDSAUDITLINK__"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3__FDSAUDITLINK__" localSheetId="4"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3__FDSAUDITLINK__" localSheetId="5"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3__FDSAUDITLINK__" localSheetId="3"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3__FDSAUDITLINK__" localSheetId="1"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3__FDSAUDITLINK__"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4__FDSAUDITLINK__" localSheetId="4"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4__FDSAUDITLINK__" localSheetId="5"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4__FDSAUDITLINK__" localSheetId="3"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4__FDSAUDITLINK__" localSheetId="1"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4__FDSAUDITLINK__"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5__FDSAUDITLINK__" localSheetId="4"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5__FDSAUDITLINK__" localSheetId="5"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5__FDSAUDITLINK__" localSheetId="3"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5__FDSAUDITLINK__" localSheetId="1"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5__FDSAUDITLINK__"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6__FDSAUDITLINK__" localSheetId="4"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6__FDSAUDITLINK__" localSheetId="5"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6__FDSAUDITLINK__" localSheetId="3"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6__FDSAUDITLINK__" localSheetId="1"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6__FDSAUDITLINK__"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7__FDSAUDITLINK__" localSheetId="4"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7__FDSAUDITLINK__" localSheetId="5"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7__FDSAUDITLINK__" localSheetId="3"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7__FDSAUDITLINK__" localSheetId="1"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7__FDSAUDITLINK__"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8__FDSAUDITLINK__" localSheetId="4"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8__FDSAUDITLINK__" localSheetId="5"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8__FDSAUDITLINK__" localSheetId="3"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8__FDSAUDITLINK__" localSheetId="1"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8__FDSAUDITLINK__"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9__FDSAUDITLINK__" localSheetId="4"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49__FDSAUDITLINK__" localSheetId="5"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49__FDSAUDITLINK__" localSheetId="3"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49__FDSAUDITLINK__" localSheetId="1"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49__FDSAUDITLINK__"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5__FDSAUDITLINK__" localSheetId="4"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__FDSAUDITLINK__" localSheetId="5"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__FDSAUDITLINK__" localSheetId="3"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__FDSAUDITLINK__" localSheetId="1"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__FDSAUDITLINK__"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0__FDSAUDITLINK__" localSheetId="4"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0__FDSAUDITLINK__" localSheetId="5"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0__FDSAUDITLINK__" localSheetId="3"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0__FDSAUDITLINK__" localSheetId="1"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0__FDSAUDITLINK__"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1__FDSAUDITLINK__" localSheetId="4"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1__FDSAUDITLINK__" localSheetId="5"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1__FDSAUDITLINK__" localSheetId="3"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1__FDSAUDITLINK__" localSheetId="1"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1__FDSAUDITLINK__"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2__FDSAUDITLINK__" localSheetId="4"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2__FDSAUDITLINK__" localSheetId="5"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2__FDSAUDITLINK__" localSheetId="3"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2__FDSAUDITLINK__" localSheetId="1"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2__FDSAUDITLINK__"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3__FDSAUDITLINK__" localSheetId="4"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3__FDSAUDITLINK__" localSheetId="5"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3__FDSAUDITLINK__" localSheetId="3"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3__FDSAUDITLINK__" localSheetId="1"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3__FDSAUDITLINK__"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4__FDSAUDITLINK__" localSheetId="4"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4__FDSAUDITLINK__" localSheetId="5"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4__FDSAUDITLINK__" localSheetId="3"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4__FDSAUDITLINK__" localSheetId="1"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4__FDSAUDITLINK__"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5__FDSAUDITLINK__" localSheetId="4"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5__FDSAUDITLINK__" localSheetId="5"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5__FDSAUDITLINK__" localSheetId="3"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5__FDSAUDITLINK__" localSheetId="1"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5__FDSAUDITLINK__"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6__FDSAUDITLINK__" localSheetId="4"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6__FDSAUDITLINK__" localSheetId="5"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6__FDSAUDITLINK__" localSheetId="3"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6__FDSAUDITLINK__" localSheetId="1"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6__FDSAUDITLINK__"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7__FDSAUDITLINK__" localSheetId="4"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7__FDSAUDITLINK__" localSheetId="5"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7__FDSAUDITLINK__" localSheetId="3"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7__FDSAUDITLINK__" localSheetId="1"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7__FDSAUDITLINK__"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8__FDSAUDITLINK__" localSheetId="4"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8__FDSAUDITLINK__" localSheetId="5"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8__FDSAUDITLINK__" localSheetId="3"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8__FDSAUDITLINK__" localSheetId="1"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8__FDSAUDITLINK__"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9__FDSAUDITLINK__" localSheetId="4"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59__FDSAUDITLINK__" localSheetId="5"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59__FDSAUDITLINK__" localSheetId="3"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59__FDSAUDITLINK__" localSheetId="1"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59__FDSAUDITLINK__"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6__FDSAUDITLINK__" localSheetId="4"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__FDSAUDITLINK__" localSheetId="5"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__FDSAUDITLINK__" localSheetId="3"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__FDSAUDITLINK__" localSheetId="1"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__FDSAUDITLINK__"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0__FDSAUDITLINK__" localSheetId="4"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0__FDSAUDITLINK__" localSheetId="5"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0__FDSAUDITLINK__" localSheetId="3"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0__FDSAUDITLINK__" localSheetId="1"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0__FDSAUDITLINK__"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1__FDSAUDITLINK__" localSheetId="4"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1__FDSAUDITLINK__" localSheetId="5"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1__FDSAUDITLINK__" localSheetId="3"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1__FDSAUDITLINK__" localSheetId="1"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1__FDSAUDITLINK__"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2__FDSAUDITLINK__" localSheetId="4"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2__FDSAUDITLINK__" localSheetId="5"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2__FDSAUDITLINK__" localSheetId="3"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2__FDSAUDITLINK__" localSheetId="1"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2__FDSAUDITLINK__"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3__FDSAUDITLINK__" localSheetId="4"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3__FDSAUDITLINK__" localSheetId="5"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3__FDSAUDITLINK__" localSheetId="3"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3__FDSAUDITLINK__" localSheetId="1"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3__FDSAUDITLINK__"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4__FDSAUDITLINK__" localSheetId="4"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4__FDSAUDITLINK__" localSheetId="5"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4__FDSAUDITLINK__" localSheetId="3"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4__FDSAUDITLINK__" localSheetId="1"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4__FDSAUDITLINK__"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5__FDSAUDITLINK__" localSheetId="4"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5__FDSAUDITLINK__" localSheetId="5"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5__FDSAUDITLINK__" localSheetId="3"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5__FDSAUDITLINK__" localSheetId="1"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5__FDSAUDITLINK__"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6__FDSAUDITLINK__" localSheetId="4"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6__FDSAUDITLINK__" localSheetId="5"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6__FDSAUDITLINK__" localSheetId="3"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6__FDSAUDITLINK__" localSheetId="1"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6__FDSAUDITLINK__"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7__FDSAUDITLINK__" localSheetId="4"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7__FDSAUDITLINK__" localSheetId="5"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7__FDSAUDITLINK__" localSheetId="3"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7__FDSAUDITLINK__" localSheetId="1"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7__FDSAUDITLINK__"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8__FDSAUDITLINK__" localSheetId="4"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8__FDSAUDITLINK__" localSheetId="5"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8__FDSAUDITLINK__" localSheetId="3"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8__FDSAUDITLINK__" localSheetId="1"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8__FDSAUDITLINK__"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9__FDSAUDITLINK__" localSheetId="4"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69__FDSAUDITLINK__" localSheetId="5"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69__FDSAUDITLINK__" localSheetId="3"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69__FDSAUDITLINK__" localSheetId="1"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69__FDSAUDITLINK__"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7__FDSAUDITLINK__" localSheetId="4"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__FDSAUDITLINK__" localSheetId="5"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__FDSAUDITLINK__" localSheetId="3"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__FDSAUDITLINK__" localSheetId="1"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__FDSAUDITLINK__"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0__FDSAUDITLINK__" localSheetId="4"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0__FDSAUDITLINK__" localSheetId="5"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0__FDSAUDITLINK__" localSheetId="3"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0__FDSAUDITLINK__" localSheetId="1"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0__FDSAUDITLINK__"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1__FDSAUDITLINK__" localSheetId="4"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1__FDSAUDITLINK__" localSheetId="5"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1__FDSAUDITLINK__" localSheetId="3"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1__FDSAUDITLINK__" localSheetId="1"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1__FDSAUDITLINK__"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2__FDSAUDITLINK__" localSheetId="4"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2__FDSAUDITLINK__" localSheetId="5"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2__FDSAUDITLINK__" localSheetId="3"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2__FDSAUDITLINK__" localSheetId="1"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2__FDSAUDITLINK__"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3__FDSAUDITLINK__" localSheetId="4"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3__FDSAUDITLINK__" localSheetId="5"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3__FDSAUDITLINK__" localSheetId="3"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3__FDSAUDITLINK__" localSheetId="1"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3__FDSAUDITLINK__"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4__FDSAUDITLINK__" localSheetId="4"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4__FDSAUDITLINK__" localSheetId="5"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4__FDSAUDITLINK__" localSheetId="3"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4__FDSAUDITLINK__" localSheetId="1"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4__FDSAUDITLINK__"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5__FDSAUDITLINK__" localSheetId="4"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5__FDSAUDITLINK__" localSheetId="5"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5__FDSAUDITLINK__" localSheetId="3"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5__FDSAUDITLINK__" localSheetId="1"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5__FDSAUDITLINK__"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6__FDSAUDITLINK__" localSheetId="4"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6__FDSAUDITLINK__" localSheetId="5"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6__FDSAUDITLINK__" localSheetId="3"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6__FDSAUDITLINK__" localSheetId="1"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6__FDSAUDITLINK__"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7__FDSAUDITLINK__" localSheetId="4"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7__FDSAUDITLINK__" localSheetId="5"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7__FDSAUDITLINK__" localSheetId="3"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7__FDSAUDITLINK__" localSheetId="1"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7__FDSAUDITLINK__"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8__FDSAUDITLINK__" localSheetId="4"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8__FDSAUDITLINK__" localSheetId="5"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8__FDSAUDITLINK__" localSheetId="3"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8__FDSAUDITLINK__" localSheetId="1"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8__FDSAUDITLINK__"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9__FDSAUDITLINK__" localSheetId="4"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79__FDSAUDITLINK__" localSheetId="5"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79__FDSAUDITLINK__" localSheetId="3"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79__FDSAUDITLINK__" localSheetId="1"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79__FDSAUDITLINK__"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8__FDSAUDITLINK__" localSheetId="4"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__FDSAUDITLINK__" localSheetId="5"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__FDSAUDITLINK__" localSheetId="3"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__FDSAUDITLINK__" localSheetId="1"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__FDSAUDITLINK__"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0__FDSAUDITLINK__" localSheetId="4"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0__FDSAUDITLINK__" localSheetId="5"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0__FDSAUDITLINK__" localSheetId="3"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0__FDSAUDITLINK__" localSheetId="1"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0__FDSAUDITLINK__"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1__FDSAUDITLINK__" localSheetId="4"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1__FDSAUDITLINK__" localSheetId="5"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1__FDSAUDITLINK__" localSheetId="3"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1__FDSAUDITLINK__" localSheetId="1"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1__FDSAUDITLINK__"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2__FDSAUDITLINK__" localSheetId="4"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2__FDSAUDITLINK__" localSheetId="5"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2__FDSAUDITLINK__" localSheetId="3"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2__FDSAUDITLINK__" localSheetId="1"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2__FDSAUDITLINK__"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3__FDSAUDITLINK__" localSheetId="4"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3__FDSAUDITLINK__" localSheetId="5"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3__FDSAUDITLINK__" localSheetId="3"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3__FDSAUDITLINK__" localSheetId="1"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3__FDSAUDITLINK__"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4__FDSAUDITLINK__" localSheetId="4"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4__FDSAUDITLINK__" localSheetId="5"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4__FDSAUDITLINK__" localSheetId="3"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4__FDSAUDITLINK__" localSheetId="1"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4__FDSAUDITLINK__"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5__FDSAUDITLINK__" localSheetId="4"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5__FDSAUDITLINK__" localSheetId="5"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5__FDSAUDITLINK__" localSheetId="3"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5__FDSAUDITLINK__" localSheetId="1"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5__FDSAUDITLINK__"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6__FDSAUDITLINK__" localSheetId="4"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6__FDSAUDITLINK__" localSheetId="5"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6__FDSAUDITLINK__" localSheetId="3"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6__FDSAUDITLINK__" localSheetId="1"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6__FDSAUDITLINK__"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7__FDSAUDITLINK__" localSheetId="4"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7__FDSAUDITLINK__" localSheetId="5"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7__FDSAUDITLINK__" localSheetId="3"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7__FDSAUDITLINK__" localSheetId="1"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7__FDSAUDITLINK__"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8__FDSAUDITLINK__" localSheetId="4"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8__FDSAUDITLINK__" localSheetId="5"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8__FDSAUDITLINK__" localSheetId="3"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8__FDSAUDITLINK__" localSheetId="1"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8__FDSAUDITLINK__"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9__FDSAUDITLINK__" localSheetId="4"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89__FDSAUDITLINK__" localSheetId="5"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89__FDSAUDITLINK__" localSheetId="3"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89__FDSAUDITLINK__" localSheetId="1"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89__FDSAUDITLINK__"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9__FDSAUDITLINK__" localSheetId="4"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__FDSAUDITLINK__" localSheetId="5"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__FDSAUDITLINK__" localSheetId="3"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__FDSAUDITLINK__" localSheetId="1"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__FDSAUDITLINK__"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0__FDSAUDITLINK__" localSheetId="4"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0__FDSAUDITLINK__" localSheetId="5"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0__FDSAUDITLINK__" localSheetId="3"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0__FDSAUDITLINK__" localSheetId="1"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0__FDSAUDITLINK__"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1__FDSAUDITLINK__" localSheetId="4"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1__FDSAUDITLINK__" localSheetId="5"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1__FDSAUDITLINK__" localSheetId="3"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1__FDSAUDITLINK__" localSheetId="1"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1__FDSAUDITLINK__"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2__FDSAUDITLINK__" localSheetId="4"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2__FDSAUDITLINK__" localSheetId="5"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2__FDSAUDITLINK__" localSheetId="3"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2__FDSAUDITLINK__" localSheetId="1"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2__FDSAUDITLINK__"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3__FDSAUDITLINK__" localSheetId="4"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3__FDSAUDITLINK__" localSheetId="5"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3__FDSAUDITLINK__" localSheetId="3"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3__FDSAUDITLINK__" localSheetId="1"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3__FDSAUDITLINK__"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4__FDSAUDITLINK__" localSheetId="4"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4__FDSAUDITLINK__" localSheetId="5"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4__FDSAUDITLINK__" localSheetId="3"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4__FDSAUDITLINK__" localSheetId="1"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4__FDSAUDITLINK__"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5__FDSAUDITLINK__" localSheetId="4"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5__FDSAUDITLINK__" localSheetId="5"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5__FDSAUDITLINK__" localSheetId="3"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5__FDSAUDITLINK__" localSheetId="1"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5__FDSAUDITLINK__"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6__FDSAUDITLINK__" localSheetId="4"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6__FDSAUDITLINK__" localSheetId="5"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6__FDSAUDITLINK__" localSheetId="3"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6__FDSAUDITLINK__" localSheetId="1"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6__FDSAUDITLINK__"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7__FDSAUDITLINK__" localSheetId="4"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7__FDSAUDITLINK__" localSheetId="5"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7__FDSAUDITLINK__" localSheetId="3"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7__FDSAUDITLINK__" localSheetId="1"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7__FDSAUDITLINK__"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8__FDSAUDITLINK__" localSheetId="4"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8__FDSAUDITLINK__" localSheetId="5"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8__FDSAUDITLINK__" localSheetId="3"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8__FDSAUDITLINK__" localSheetId="1"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8__FDSAUDITLINK__"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9__FDSAUDITLINK__" localSheetId="4"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099__FDSAUDITLINK__" localSheetId="5"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099__FDSAUDITLINK__" localSheetId="3"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099__FDSAUDITLINK__" localSheetId="1"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099__FDSAUDITLINK__"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1__FDSAUDITLINK__" localSheetId="4"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__FDSAUDITLINK__" localSheetId="5"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__FDSAUDITLINK__" localSheetId="3"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__FDSAUDITLINK__" localSheetId="1"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__FDSAUDITLINK__"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0__FDSAUDITLINK__" localSheetId="4"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__FDSAUDITLINK__" localSheetId="5"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__FDSAUDITLINK__" localSheetId="3"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__FDSAUDITLINK__" localSheetId="1"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__FDSAUDITLINK__"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0__FDSAUDITLINK__" localSheetId="4"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0__FDSAUDITLINK__" localSheetId="5"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0__FDSAUDITLINK__" localSheetId="3"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0__FDSAUDITLINK__" localSheetId="1"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0__FDSAUDITLINK__"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1__FDSAUDITLINK__" localSheetId="4"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1__FDSAUDITLINK__" localSheetId="5"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1__FDSAUDITLINK__" localSheetId="3"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1__FDSAUDITLINK__" localSheetId="1"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1__FDSAUDITLINK__"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2__FDSAUDITLINK__" localSheetId="4"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2__FDSAUDITLINK__" localSheetId="5"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2__FDSAUDITLINK__" localSheetId="3"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2__FDSAUDITLINK__" localSheetId="1"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2__FDSAUDITLINK__"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3__FDSAUDITLINK__" localSheetId="4"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3__FDSAUDITLINK__" localSheetId="5"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3__FDSAUDITLINK__" localSheetId="3"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3__FDSAUDITLINK__" localSheetId="1"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3__FDSAUDITLINK__"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4__FDSAUDITLINK__" localSheetId="4"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4__FDSAUDITLINK__" localSheetId="5"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4__FDSAUDITLINK__" localSheetId="3"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4__FDSAUDITLINK__" localSheetId="1"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4__FDSAUDITLINK__"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5__FDSAUDITLINK__" localSheetId="4"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5__FDSAUDITLINK__" localSheetId="5"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5__FDSAUDITLINK__" localSheetId="3"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5__FDSAUDITLINK__" localSheetId="1"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5__FDSAUDITLINK__"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6__FDSAUDITLINK__" localSheetId="4"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6__FDSAUDITLINK__" localSheetId="5"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6__FDSAUDITLINK__" localSheetId="3"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6__FDSAUDITLINK__" localSheetId="1"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6__FDSAUDITLINK__"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7__FDSAUDITLINK__" localSheetId="4"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7__FDSAUDITLINK__" localSheetId="5"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7__FDSAUDITLINK__" localSheetId="3"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7__FDSAUDITLINK__" localSheetId="1"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7__FDSAUDITLINK__"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8__FDSAUDITLINK__" localSheetId="4"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8__FDSAUDITLINK__" localSheetId="5"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8__FDSAUDITLINK__" localSheetId="3"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8__FDSAUDITLINK__" localSheetId="1"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8__FDSAUDITLINK__"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9__FDSAUDITLINK__" localSheetId="4"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09__FDSAUDITLINK__" localSheetId="5"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09__FDSAUDITLINK__" localSheetId="3"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09__FDSAUDITLINK__" localSheetId="1"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09__FDSAUDITLINK__"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1__FDSAUDITLINK__" localSheetId="4"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__FDSAUDITLINK__" localSheetId="5"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__FDSAUDITLINK__" localSheetId="3"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__FDSAUDITLINK__" localSheetId="1"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__FDSAUDITLINK__"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0__FDSAUDITLINK__" localSheetId="4"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0__FDSAUDITLINK__" localSheetId="5"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0__FDSAUDITLINK__" localSheetId="3"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0__FDSAUDITLINK__" localSheetId="1"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0__FDSAUDITLINK__"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1__FDSAUDITLINK__" localSheetId="4"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1__FDSAUDITLINK__" localSheetId="5"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1__FDSAUDITLINK__" localSheetId="3"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1__FDSAUDITLINK__" localSheetId="1"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1__FDSAUDITLINK__"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2__FDSAUDITLINK__" localSheetId="4"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2__FDSAUDITLINK__" localSheetId="5"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2__FDSAUDITLINK__" localSheetId="3"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2__FDSAUDITLINK__" localSheetId="1"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2__FDSAUDITLINK__"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3__FDSAUDITLINK__" localSheetId="4"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3__FDSAUDITLINK__" localSheetId="5"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3__FDSAUDITLINK__" localSheetId="3"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3__FDSAUDITLINK__" localSheetId="1"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3__FDSAUDITLINK__"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4__FDSAUDITLINK__" localSheetId="4"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4__FDSAUDITLINK__" localSheetId="5"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4__FDSAUDITLINK__" localSheetId="3"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4__FDSAUDITLINK__" localSheetId="1"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4__FDSAUDITLINK__"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5__FDSAUDITLINK__" localSheetId="4"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5__FDSAUDITLINK__" localSheetId="5"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5__FDSAUDITLINK__" localSheetId="3"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5__FDSAUDITLINK__" localSheetId="1"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5__FDSAUDITLINK__"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6__FDSAUDITLINK__" localSheetId="4"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6__FDSAUDITLINK__" localSheetId="5"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6__FDSAUDITLINK__" localSheetId="3"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6__FDSAUDITLINK__" localSheetId="1"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6__FDSAUDITLINK__"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7__FDSAUDITLINK__" localSheetId="4"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7__FDSAUDITLINK__" localSheetId="5"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7__FDSAUDITLINK__" localSheetId="3"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7__FDSAUDITLINK__" localSheetId="1"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7__FDSAUDITLINK__"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8__FDSAUDITLINK__" localSheetId="4"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8__FDSAUDITLINK__" localSheetId="5"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8__FDSAUDITLINK__" localSheetId="3"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8__FDSAUDITLINK__" localSheetId="1"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8__FDSAUDITLINK__"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9__FDSAUDITLINK__" localSheetId="4"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19__FDSAUDITLINK__" localSheetId="5"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19__FDSAUDITLINK__" localSheetId="3"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19__FDSAUDITLINK__" localSheetId="1"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19__FDSAUDITLINK__"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2__FDSAUDITLINK__" localSheetId="4"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__FDSAUDITLINK__" localSheetId="5"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__FDSAUDITLINK__" localSheetId="3"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__FDSAUDITLINK__" localSheetId="1"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__FDSAUDITLINK__"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0__FDSAUDITLINK__" localSheetId="4"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0__FDSAUDITLINK__" localSheetId="5"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0__FDSAUDITLINK__" localSheetId="3"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0__FDSAUDITLINK__" localSheetId="1"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0__FDSAUDITLINK__"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1__FDSAUDITLINK__" localSheetId="4"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1__FDSAUDITLINK__" localSheetId="5"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1__FDSAUDITLINK__" localSheetId="3"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1__FDSAUDITLINK__" localSheetId="1"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1__FDSAUDITLINK__"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2__FDSAUDITLINK__" localSheetId="4"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2__FDSAUDITLINK__" localSheetId="5"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2__FDSAUDITLINK__" localSheetId="3"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2__FDSAUDITLINK__" localSheetId="1"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2__FDSAUDITLINK__"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3__FDSAUDITLINK__" localSheetId="4"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3__FDSAUDITLINK__" localSheetId="5"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3__FDSAUDITLINK__" localSheetId="3"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3__FDSAUDITLINK__" localSheetId="1"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3__FDSAUDITLINK__"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4__FDSAUDITLINK__" localSheetId="4"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4__FDSAUDITLINK__" localSheetId="5"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4__FDSAUDITLINK__" localSheetId="3"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4__FDSAUDITLINK__" localSheetId="1"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4__FDSAUDITLINK__"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5__FDSAUDITLINK__" localSheetId="4"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5__FDSAUDITLINK__" localSheetId="5"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5__FDSAUDITLINK__" localSheetId="3"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5__FDSAUDITLINK__" localSheetId="1"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5__FDSAUDITLINK__"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6__FDSAUDITLINK__" localSheetId="4"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6__FDSAUDITLINK__" localSheetId="5"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6__FDSAUDITLINK__" localSheetId="3"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6__FDSAUDITLINK__" localSheetId="1"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6__FDSAUDITLINK__"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7__FDSAUDITLINK__" localSheetId="4"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7__FDSAUDITLINK__" localSheetId="5"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7__FDSAUDITLINK__" localSheetId="3"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7__FDSAUDITLINK__" localSheetId="1"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7__FDSAUDITLINK__"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8__FDSAUDITLINK__" localSheetId="4"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8__FDSAUDITLINK__" localSheetId="5"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8__FDSAUDITLINK__" localSheetId="3"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8__FDSAUDITLINK__" localSheetId="1"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8__FDSAUDITLINK__"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9__FDSAUDITLINK__" localSheetId="4"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29__FDSAUDITLINK__" localSheetId="5"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29__FDSAUDITLINK__" localSheetId="3"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29__FDSAUDITLINK__" localSheetId="1"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29__FDSAUDITLINK__"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3__FDSAUDITLINK__" localSheetId="4"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__FDSAUDITLINK__" localSheetId="5"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__FDSAUDITLINK__" localSheetId="3"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__FDSAUDITLINK__" localSheetId="1"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__FDSAUDITLINK__"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0__FDSAUDITLINK__" localSheetId="4"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0__FDSAUDITLINK__" localSheetId="5"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0__FDSAUDITLINK__" localSheetId="3"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0__FDSAUDITLINK__" localSheetId="1"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0__FDSAUDITLINK__"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1__FDSAUDITLINK__" localSheetId="4"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1__FDSAUDITLINK__" localSheetId="5"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1__FDSAUDITLINK__" localSheetId="3"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1__FDSAUDITLINK__" localSheetId="1"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1__FDSAUDITLINK__"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2__FDSAUDITLINK__" localSheetId="4"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2__FDSAUDITLINK__" localSheetId="5"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2__FDSAUDITLINK__" localSheetId="3"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2__FDSAUDITLINK__" localSheetId="1"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2__FDSAUDITLINK__"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3__FDSAUDITLINK__" localSheetId="4"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3__FDSAUDITLINK__" localSheetId="5"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3__FDSAUDITLINK__" localSheetId="3"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3__FDSAUDITLINK__" localSheetId="1"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3__FDSAUDITLINK__"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4__FDSAUDITLINK__" localSheetId="4"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4__FDSAUDITLINK__" localSheetId="5"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4__FDSAUDITLINK__" localSheetId="3"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4__FDSAUDITLINK__" localSheetId="1"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4__FDSAUDITLINK__"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5__FDSAUDITLINK__" localSheetId="4"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5__FDSAUDITLINK__" localSheetId="5"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5__FDSAUDITLINK__" localSheetId="3"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5__FDSAUDITLINK__" localSheetId="1"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5__FDSAUDITLINK__"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6__FDSAUDITLINK__" localSheetId="4"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6__FDSAUDITLINK__" localSheetId="5"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6__FDSAUDITLINK__" localSheetId="3"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6__FDSAUDITLINK__" localSheetId="1"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6__FDSAUDITLINK__"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7__FDSAUDITLINK__" localSheetId="4"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7__FDSAUDITLINK__" localSheetId="5"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7__FDSAUDITLINK__" localSheetId="3"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7__FDSAUDITLINK__" localSheetId="1"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7__FDSAUDITLINK__"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8__FDSAUDITLINK__" localSheetId="4"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8__FDSAUDITLINK__" localSheetId="5"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8__FDSAUDITLINK__" localSheetId="3"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8__FDSAUDITLINK__" localSheetId="1"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8__FDSAUDITLINK__"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9__FDSAUDITLINK__" localSheetId="4"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39__FDSAUDITLINK__" localSheetId="5"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39__FDSAUDITLINK__" localSheetId="3"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39__FDSAUDITLINK__" localSheetId="1"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39__FDSAUDITLINK__"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4__FDSAUDITLINK__" localSheetId="4"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__FDSAUDITLINK__" localSheetId="5"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__FDSAUDITLINK__" localSheetId="3"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__FDSAUDITLINK__" localSheetId="1"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__FDSAUDITLINK__"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0__FDSAUDITLINK__" localSheetId="4"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0__FDSAUDITLINK__" localSheetId="5"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0__FDSAUDITLINK__" localSheetId="3"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0__FDSAUDITLINK__" localSheetId="1"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0__FDSAUDITLINK__"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1__FDSAUDITLINK__" localSheetId="4"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1__FDSAUDITLINK__" localSheetId="5"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1__FDSAUDITLINK__" localSheetId="3"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1__FDSAUDITLINK__" localSheetId="1"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1__FDSAUDITLINK__"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2__FDSAUDITLINK__" localSheetId="4"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2__FDSAUDITLINK__" localSheetId="5"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2__FDSAUDITLINK__" localSheetId="3"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2__FDSAUDITLINK__" localSheetId="1"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2__FDSAUDITLINK__"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3__FDSAUDITLINK__" localSheetId="4"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3__FDSAUDITLINK__" localSheetId="5"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3__FDSAUDITLINK__" localSheetId="3"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3__FDSAUDITLINK__" localSheetId="1"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3__FDSAUDITLINK__"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4__FDSAUDITLINK__" localSheetId="4"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4__FDSAUDITLINK__" localSheetId="5"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4__FDSAUDITLINK__" localSheetId="3"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4__FDSAUDITLINK__" localSheetId="1"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4__FDSAUDITLINK__"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5__FDSAUDITLINK__" localSheetId="4"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5__FDSAUDITLINK__" localSheetId="5"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5__FDSAUDITLINK__" localSheetId="3"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5__FDSAUDITLINK__" localSheetId="1"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5__FDSAUDITLINK__"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6__FDSAUDITLINK__" localSheetId="4"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6__FDSAUDITLINK__" localSheetId="5"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6__FDSAUDITLINK__" localSheetId="3"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6__FDSAUDITLINK__" localSheetId="1"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6__FDSAUDITLINK__"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7__FDSAUDITLINK__" localSheetId="4"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7__FDSAUDITLINK__" localSheetId="5"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7__FDSAUDITLINK__" localSheetId="3"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7__FDSAUDITLINK__" localSheetId="1"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7__FDSAUDITLINK__"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8__FDSAUDITLINK__" localSheetId="4"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8__FDSAUDITLINK__" localSheetId="5"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8__FDSAUDITLINK__" localSheetId="3"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8__FDSAUDITLINK__" localSheetId="1"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8__FDSAUDITLINK__"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9__FDSAUDITLINK__" localSheetId="4"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49__FDSAUDITLINK__" localSheetId="5"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49__FDSAUDITLINK__" localSheetId="3"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49__FDSAUDITLINK__" localSheetId="1"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49__FDSAUDITLINK__"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5__FDSAUDITLINK__" localSheetId="4"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__FDSAUDITLINK__" localSheetId="5"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__FDSAUDITLINK__" localSheetId="3"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__FDSAUDITLINK__" localSheetId="1"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__FDSAUDITLINK__"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0__FDSAUDITLINK__" localSheetId="4"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0__FDSAUDITLINK__" localSheetId="5"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0__FDSAUDITLINK__" localSheetId="3"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0__FDSAUDITLINK__" localSheetId="1"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0__FDSAUDITLINK__"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1__FDSAUDITLINK__" localSheetId="4"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1__FDSAUDITLINK__" localSheetId="5"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1__FDSAUDITLINK__" localSheetId="3"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1__FDSAUDITLINK__" localSheetId="1"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1__FDSAUDITLINK__"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2__FDSAUDITLINK__" localSheetId="4"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2__FDSAUDITLINK__" localSheetId="5"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2__FDSAUDITLINK__" localSheetId="3"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2__FDSAUDITLINK__" localSheetId="1"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2__FDSAUDITLINK__"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3__FDSAUDITLINK__" localSheetId="4"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3__FDSAUDITLINK__" localSheetId="5"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3__FDSAUDITLINK__" localSheetId="3"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3__FDSAUDITLINK__" localSheetId="1"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3__FDSAUDITLINK__"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4__FDSAUDITLINK__" localSheetId="4"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4__FDSAUDITLINK__" localSheetId="5"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4__FDSAUDITLINK__" localSheetId="3"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4__FDSAUDITLINK__" localSheetId="1"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4__FDSAUDITLINK__"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5__FDSAUDITLINK__" localSheetId="4"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5__FDSAUDITLINK__" localSheetId="5"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5__FDSAUDITLINK__" localSheetId="3"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5__FDSAUDITLINK__" localSheetId="1"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5__FDSAUDITLINK__"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6__FDSAUDITLINK__" localSheetId="4"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6__FDSAUDITLINK__" localSheetId="5"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6__FDSAUDITLINK__" localSheetId="3"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6__FDSAUDITLINK__" localSheetId="1"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6__FDSAUDITLINK__"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7__FDSAUDITLINK__" localSheetId="4"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7__FDSAUDITLINK__" localSheetId="5"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7__FDSAUDITLINK__" localSheetId="3"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7__FDSAUDITLINK__" localSheetId="1"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7__FDSAUDITLINK__"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8__FDSAUDITLINK__" localSheetId="4"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8__FDSAUDITLINK__" localSheetId="5"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8__FDSAUDITLINK__" localSheetId="3"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8__FDSAUDITLINK__" localSheetId="1"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8__FDSAUDITLINK__"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9__FDSAUDITLINK__" localSheetId="4"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59__FDSAUDITLINK__" localSheetId="5"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59__FDSAUDITLINK__" localSheetId="3"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59__FDSAUDITLINK__" localSheetId="1"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59__FDSAUDITLINK__"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6__FDSAUDITLINK__" localSheetId="4"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__FDSAUDITLINK__" localSheetId="5"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__FDSAUDITLINK__" localSheetId="3"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__FDSAUDITLINK__" localSheetId="1"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__FDSAUDITLINK__"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0__FDSAUDITLINK__" localSheetId="4"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0__FDSAUDITLINK__" localSheetId="5"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0__FDSAUDITLINK__" localSheetId="3"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0__FDSAUDITLINK__" localSheetId="1"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0__FDSAUDITLINK__"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1__FDSAUDITLINK__" localSheetId="4"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1__FDSAUDITLINK__" localSheetId="5"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1__FDSAUDITLINK__" localSheetId="3"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1__FDSAUDITLINK__" localSheetId="1"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1__FDSAUDITLINK__"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2__FDSAUDITLINK__" localSheetId="4"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2__FDSAUDITLINK__" localSheetId="5"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2__FDSAUDITLINK__" localSheetId="3"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2__FDSAUDITLINK__" localSheetId="1"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2__FDSAUDITLINK__"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3__FDSAUDITLINK__" localSheetId="4"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3__FDSAUDITLINK__" localSheetId="5"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3__FDSAUDITLINK__" localSheetId="3"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3__FDSAUDITLINK__" localSheetId="1"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3__FDSAUDITLINK__"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4__FDSAUDITLINK__" localSheetId="4"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4__FDSAUDITLINK__" localSheetId="5"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4__FDSAUDITLINK__" localSheetId="3"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4__FDSAUDITLINK__" localSheetId="1"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4__FDSAUDITLINK__"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5__FDSAUDITLINK__" localSheetId="4"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5__FDSAUDITLINK__" localSheetId="5"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5__FDSAUDITLINK__" localSheetId="3"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5__FDSAUDITLINK__" localSheetId="1"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5__FDSAUDITLINK__"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6__FDSAUDITLINK__" localSheetId="4"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6__FDSAUDITLINK__" localSheetId="5"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6__FDSAUDITLINK__" localSheetId="3"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6__FDSAUDITLINK__" localSheetId="1"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6__FDSAUDITLINK__"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7__FDSAUDITLINK__" localSheetId="4"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7__FDSAUDITLINK__" localSheetId="5"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7__FDSAUDITLINK__" localSheetId="3"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7__FDSAUDITLINK__" localSheetId="1"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7__FDSAUDITLINK__"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8__FDSAUDITLINK__" localSheetId="4"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8__FDSAUDITLINK__" localSheetId="5"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8__FDSAUDITLINK__" localSheetId="3"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8__FDSAUDITLINK__" localSheetId="1"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8__FDSAUDITLINK__"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9__FDSAUDITLINK__" localSheetId="4"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69__FDSAUDITLINK__" localSheetId="5"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69__FDSAUDITLINK__" localSheetId="3"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69__FDSAUDITLINK__" localSheetId="1"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69__FDSAUDITLINK__"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7__FDSAUDITLINK__" localSheetId="4"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__FDSAUDITLINK__" localSheetId="5"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__FDSAUDITLINK__" localSheetId="3"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__FDSAUDITLINK__" localSheetId="1"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__FDSAUDITLINK__"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0__FDSAUDITLINK__" localSheetId="4"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0__FDSAUDITLINK__" localSheetId="5"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0__FDSAUDITLINK__" localSheetId="3"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0__FDSAUDITLINK__" localSheetId="1"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0__FDSAUDITLINK__"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1__FDSAUDITLINK__" localSheetId="4"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1__FDSAUDITLINK__" localSheetId="5"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1__FDSAUDITLINK__" localSheetId="3"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1__FDSAUDITLINK__" localSheetId="1"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1__FDSAUDITLINK__"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2__FDSAUDITLINK__" localSheetId="4"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2__FDSAUDITLINK__" localSheetId="5"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2__FDSAUDITLINK__" localSheetId="3"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2__FDSAUDITLINK__" localSheetId="1"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2__FDSAUDITLINK__"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3__FDSAUDITLINK__" localSheetId="4"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3__FDSAUDITLINK__" localSheetId="5"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3__FDSAUDITLINK__" localSheetId="3"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3__FDSAUDITLINK__" localSheetId="1"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3__FDSAUDITLINK__"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4__FDSAUDITLINK__" localSheetId="4"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4__FDSAUDITLINK__" localSheetId="5"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4__FDSAUDITLINK__" localSheetId="3"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4__FDSAUDITLINK__" localSheetId="1"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4__FDSAUDITLINK__"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5__FDSAUDITLINK__" localSheetId="4"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5__FDSAUDITLINK__" localSheetId="5"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5__FDSAUDITLINK__" localSheetId="3"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5__FDSAUDITLINK__" localSheetId="1"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5__FDSAUDITLINK__"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6__FDSAUDITLINK__" localSheetId="4"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6__FDSAUDITLINK__" localSheetId="5"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6__FDSAUDITLINK__" localSheetId="3"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6__FDSAUDITLINK__" localSheetId="1"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6__FDSAUDITLINK__"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7__FDSAUDITLINK__" localSheetId="4"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7__FDSAUDITLINK__" localSheetId="5"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7__FDSAUDITLINK__" localSheetId="3"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7__FDSAUDITLINK__" localSheetId="1"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7__FDSAUDITLINK__"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8__FDSAUDITLINK__" localSheetId="4"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8__FDSAUDITLINK__" localSheetId="5"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8__FDSAUDITLINK__" localSheetId="3"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8__FDSAUDITLINK__" localSheetId="1"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8__FDSAUDITLINK__"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9__FDSAUDITLINK__" localSheetId="4"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79__FDSAUDITLINK__" localSheetId="5"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79__FDSAUDITLINK__" localSheetId="3"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79__FDSAUDITLINK__" localSheetId="1"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79__FDSAUDITLINK__"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8__FDSAUDITLINK__" localSheetId="4"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__FDSAUDITLINK__" localSheetId="5"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__FDSAUDITLINK__" localSheetId="3"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__FDSAUDITLINK__" localSheetId="1"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__FDSAUDITLINK__"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0__FDSAUDITLINK__" localSheetId="4"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0__FDSAUDITLINK__" localSheetId="5"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0__FDSAUDITLINK__" localSheetId="3"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0__FDSAUDITLINK__" localSheetId="1"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0__FDSAUDITLINK__"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1__FDSAUDITLINK__" localSheetId="4"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1__FDSAUDITLINK__" localSheetId="5"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1__FDSAUDITLINK__" localSheetId="3"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1__FDSAUDITLINK__" localSheetId="1"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1__FDSAUDITLINK__"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2__FDSAUDITLINK__" localSheetId="4"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2__FDSAUDITLINK__" localSheetId="5"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2__FDSAUDITLINK__" localSheetId="3"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2__FDSAUDITLINK__" localSheetId="1"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2__FDSAUDITLINK__"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3__FDSAUDITLINK__" localSheetId="4"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3__FDSAUDITLINK__" localSheetId="5"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3__FDSAUDITLINK__" localSheetId="3"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3__FDSAUDITLINK__" localSheetId="1"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3__FDSAUDITLINK__"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4__FDSAUDITLINK__" localSheetId="4"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4__FDSAUDITLINK__" localSheetId="5"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4__FDSAUDITLINK__" localSheetId="3"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4__FDSAUDITLINK__" localSheetId="1"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4__FDSAUDITLINK__"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5__FDSAUDITLINK__" localSheetId="4"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5__FDSAUDITLINK__" localSheetId="5"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5__FDSAUDITLINK__" localSheetId="3"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5__FDSAUDITLINK__" localSheetId="1"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5__FDSAUDITLINK__"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6__FDSAUDITLINK__" localSheetId="4"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6__FDSAUDITLINK__" localSheetId="5"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6__FDSAUDITLINK__" localSheetId="3"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6__FDSAUDITLINK__" localSheetId="1"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6__FDSAUDITLINK__"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7__FDSAUDITLINK__" localSheetId="4"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7__FDSAUDITLINK__" localSheetId="5"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7__FDSAUDITLINK__" localSheetId="3"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7__FDSAUDITLINK__" localSheetId="1"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7__FDSAUDITLINK__"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8__FDSAUDITLINK__" localSheetId="4"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8__FDSAUDITLINK__" localSheetId="5"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8__FDSAUDITLINK__" localSheetId="3"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8__FDSAUDITLINK__" localSheetId="1"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8__FDSAUDITLINK__"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9__FDSAUDITLINK__" localSheetId="4"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89__FDSAUDITLINK__" localSheetId="5"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89__FDSAUDITLINK__" localSheetId="3"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89__FDSAUDITLINK__" localSheetId="1"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89__FDSAUDITLINK__"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9__FDSAUDITLINK__" localSheetId="4"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__FDSAUDITLINK__" localSheetId="5"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__FDSAUDITLINK__" localSheetId="3"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__FDSAUDITLINK__" localSheetId="1"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__FDSAUDITLINK__"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0__FDSAUDITLINK__" localSheetId="4"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0__FDSAUDITLINK__" localSheetId="5"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0__FDSAUDITLINK__" localSheetId="3"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0__FDSAUDITLINK__" localSheetId="1"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0__FDSAUDITLINK__"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1__FDSAUDITLINK__" localSheetId="4"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1__FDSAUDITLINK__" localSheetId="5"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1__FDSAUDITLINK__" localSheetId="3"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1__FDSAUDITLINK__" localSheetId="1"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1__FDSAUDITLINK__"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2__FDSAUDITLINK__" localSheetId="4"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2__FDSAUDITLINK__" localSheetId="5"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2__FDSAUDITLINK__" localSheetId="3"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2__FDSAUDITLINK__" localSheetId="1"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2__FDSAUDITLINK__"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3__FDSAUDITLINK__" localSheetId="4"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3__FDSAUDITLINK__" localSheetId="5"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3__FDSAUDITLINK__" localSheetId="3"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3__FDSAUDITLINK__" localSheetId="1"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3__FDSAUDITLINK__"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4__FDSAUDITLINK__" localSheetId="4"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4__FDSAUDITLINK__" localSheetId="5"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4__FDSAUDITLINK__" localSheetId="3"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4__FDSAUDITLINK__" localSheetId="1"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4__FDSAUDITLINK__"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5__FDSAUDITLINK__" localSheetId="4"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5__FDSAUDITLINK__" localSheetId="5"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5__FDSAUDITLINK__" localSheetId="3"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5__FDSAUDITLINK__" localSheetId="1"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5__FDSAUDITLINK__"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6__FDSAUDITLINK__" localSheetId="4"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6__FDSAUDITLINK__" localSheetId="5"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6__FDSAUDITLINK__" localSheetId="3"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6__FDSAUDITLINK__" localSheetId="1"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6__FDSAUDITLINK__"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7__FDSAUDITLINK__" localSheetId="4"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7__FDSAUDITLINK__" localSheetId="5"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7__FDSAUDITLINK__" localSheetId="3"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7__FDSAUDITLINK__" localSheetId="1"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7__FDSAUDITLINK__"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8__FDSAUDITLINK__" localSheetId="4"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8__FDSAUDITLINK__" localSheetId="5"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8__FDSAUDITLINK__" localSheetId="3"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8__FDSAUDITLINK__" localSheetId="1"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8__FDSAUDITLINK__"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9__FDSAUDITLINK__" localSheetId="4"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199__FDSAUDITLINK__" localSheetId="5"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199__FDSAUDITLINK__" localSheetId="3"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199__FDSAUDITLINK__" localSheetId="1"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199__FDSAUDITLINK__"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2__FDSAUDITLINK__" localSheetId="4"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__FDSAUDITLINK__" localSheetId="5"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__FDSAUDITLINK__" localSheetId="3"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__FDSAUDITLINK__" localSheetId="1"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__FDSAUDITLINK__"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0__FDSAUDITLINK__" localSheetId="4"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__FDSAUDITLINK__" localSheetId="5"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__FDSAUDITLINK__" localSheetId="3"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__FDSAUDITLINK__" localSheetId="1"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__FDSAUDITLINK__"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0__FDSAUDITLINK__" localSheetId="4"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0__FDSAUDITLINK__" localSheetId="5"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0__FDSAUDITLINK__" localSheetId="3"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0__FDSAUDITLINK__" localSheetId="1"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0__FDSAUDITLINK__"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1__FDSAUDITLINK__" localSheetId="4"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1__FDSAUDITLINK__" localSheetId="5"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1__FDSAUDITLINK__" localSheetId="3"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1__FDSAUDITLINK__" localSheetId="1"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1__FDSAUDITLINK__"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2__FDSAUDITLINK__" localSheetId="4"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2__FDSAUDITLINK__" localSheetId="5"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2__FDSAUDITLINK__" localSheetId="3"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2__FDSAUDITLINK__" localSheetId="1"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2__FDSAUDITLINK__"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3__FDSAUDITLINK__" localSheetId="4"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3__FDSAUDITLINK__" localSheetId="5"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3__FDSAUDITLINK__" localSheetId="3"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3__FDSAUDITLINK__" localSheetId="1"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3__FDSAUDITLINK__"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4__FDSAUDITLINK__" localSheetId="4"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4__FDSAUDITLINK__" localSheetId="5"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4__FDSAUDITLINK__" localSheetId="3"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4__FDSAUDITLINK__" localSheetId="1"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4__FDSAUDITLINK__"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5__FDSAUDITLINK__" localSheetId="4"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5__FDSAUDITLINK__" localSheetId="5"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5__FDSAUDITLINK__" localSheetId="3"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5__FDSAUDITLINK__" localSheetId="1"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5__FDSAUDITLINK__"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6__FDSAUDITLINK__" localSheetId="4"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6__FDSAUDITLINK__" localSheetId="5"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6__FDSAUDITLINK__" localSheetId="3"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6__FDSAUDITLINK__" localSheetId="1"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6__FDSAUDITLINK__"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7__FDSAUDITLINK__" localSheetId="4"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7__FDSAUDITLINK__" localSheetId="5"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7__FDSAUDITLINK__" localSheetId="3"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7__FDSAUDITLINK__" localSheetId="1"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7__FDSAUDITLINK__"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8__FDSAUDITLINK__" localSheetId="4"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8__FDSAUDITLINK__" localSheetId="5"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8__FDSAUDITLINK__" localSheetId="3"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8__FDSAUDITLINK__" localSheetId="1"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8__FDSAUDITLINK__"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9__FDSAUDITLINK__" localSheetId="4"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09__FDSAUDITLINK__" localSheetId="5"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09__FDSAUDITLINK__" localSheetId="3"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09__FDSAUDITLINK__" localSheetId="1"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09__FDSAUDITLINK__"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1__FDSAUDITLINK__" localSheetId="4"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__FDSAUDITLINK__" localSheetId="5"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__FDSAUDITLINK__" localSheetId="3"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__FDSAUDITLINK__" localSheetId="1"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__FDSAUDITLINK__"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0__FDSAUDITLINK__" localSheetId="4"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0__FDSAUDITLINK__" localSheetId="5"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0__FDSAUDITLINK__" localSheetId="3"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0__FDSAUDITLINK__" localSheetId="1"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0__FDSAUDITLINK__"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1__FDSAUDITLINK__" localSheetId="4"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1__FDSAUDITLINK__" localSheetId="5"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1__FDSAUDITLINK__" localSheetId="3"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1__FDSAUDITLINK__" localSheetId="1"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1__FDSAUDITLINK__"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2__FDSAUDITLINK__" localSheetId="4"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2__FDSAUDITLINK__" localSheetId="5"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2__FDSAUDITLINK__" localSheetId="3"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2__FDSAUDITLINK__" localSheetId="1"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2__FDSAUDITLINK__"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3__FDSAUDITLINK__" localSheetId="4"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3__FDSAUDITLINK__" localSheetId="5"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3__FDSAUDITLINK__" localSheetId="3"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3__FDSAUDITLINK__" localSheetId="1"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3__FDSAUDITLINK__"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4__FDSAUDITLINK__" localSheetId="4"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4__FDSAUDITLINK__" localSheetId="5"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4__FDSAUDITLINK__" localSheetId="3"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4__FDSAUDITLINK__" localSheetId="1"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4__FDSAUDITLINK__"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5__FDSAUDITLINK__" localSheetId="4"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5__FDSAUDITLINK__" localSheetId="5"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5__FDSAUDITLINK__" localSheetId="3"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5__FDSAUDITLINK__" localSheetId="1"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5__FDSAUDITLINK__"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6__FDSAUDITLINK__" localSheetId="4"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6__FDSAUDITLINK__" localSheetId="5"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6__FDSAUDITLINK__" localSheetId="3"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6__FDSAUDITLINK__" localSheetId="1"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6__FDSAUDITLINK__"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7__FDSAUDITLINK__" localSheetId="4"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7__FDSAUDITLINK__" localSheetId="5"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7__FDSAUDITLINK__" localSheetId="3"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7__FDSAUDITLINK__" localSheetId="1"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7__FDSAUDITLINK__"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8__FDSAUDITLINK__" localSheetId="4"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8__FDSAUDITLINK__" localSheetId="5"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8__FDSAUDITLINK__" localSheetId="3"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8__FDSAUDITLINK__" localSheetId="1"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8__FDSAUDITLINK__"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9__FDSAUDITLINK__" localSheetId="4"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19__FDSAUDITLINK__" localSheetId="5"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19__FDSAUDITLINK__" localSheetId="3"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19__FDSAUDITLINK__" localSheetId="1"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19__FDSAUDITLINK__"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2__FDSAUDITLINK__" localSheetId="4"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__FDSAUDITLINK__" localSheetId="5"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__FDSAUDITLINK__" localSheetId="3"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__FDSAUDITLINK__" localSheetId="1"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__FDSAUDITLINK__"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0__FDSAUDITLINK__" localSheetId="4"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0__FDSAUDITLINK__" localSheetId="5"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0__FDSAUDITLINK__" localSheetId="3"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0__FDSAUDITLINK__" localSheetId="1"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0__FDSAUDITLINK__"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1__FDSAUDITLINK__" localSheetId="4"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1__FDSAUDITLINK__" localSheetId="5"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1__FDSAUDITLINK__" localSheetId="3"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1__FDSAUDITLINK__" localSheetId="1"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1__FDSAUDITLINK__"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2__FDSAUDITLINK__" localSheetId="4"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2__FDSAUDITLINK__" localSheetId="5"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2__FDSAUDITLINK__" localSheetId="3"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2__FDSAUDITLINK__" localSheetId="1"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2__FDSAUDITLINK__"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3__FDSAUDITLINK__" localSheetId="4"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3__FDSAUDITLINK__" localSheetId="5"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3__FDSAUDITLINK__" localSheetId="3"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3__FDSAUDITLINK__" localSheetId="1"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3__FDSAUDITLINK__"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4__FDSAUDITLINK__" localSheetId="4"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4__FDSAUDITLINK__" localSheetId="5"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4__FDSAUDITLINK__" localSheetId="3"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4__FDSAUDITLINK__" localSheetId="1"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4__FDSAUDITLINK__"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5__FDSAUDITLINK__" localSheetId="4"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5__FDSAUDITLINK__" localSheetId="5"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5__FDSAUDITLINK__" localSheetId="3"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5__FDSAUDITLINK__" localSheetId="1"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5__FDSAUDITLINK__"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6__FDSAUDITLINK__" localSheetId="4"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6__FDSAUDITLINK__" localSheetId="5"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6__FDSAUDITLINK__" localSheetId="3"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6__FDSAUDITLINK__" localSheetId="1"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6__FDSAUDITLINK__"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7__FDSAUDITLINK__" localSheetId="4"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7__FDSAUDITLINK__" localSheetId="5"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7__FDSAUDITLINK__" localSheetId="3"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7__FDSAUDITLINK__" localSheetId="1"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7__FDSAUDITLINK__"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8__FDSAUDITLINK__" localSheetId="4"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8__FDSAUDITLINK__" localSheetId="5"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8__FDSAUDITLINK__" localSheetId="3"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8__FDSAUDITLINK__" localSheetId="1"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8__FDSAUDITLINK__"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9__FDSAUDITLINK__" localSheetId="4"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29__FDSAUDITLINK__" localSheetId="5"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29__FDSAUDITLINK__" localSheetId="3"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29__FDSAUDITLINK__" localSheetId="1"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29__FDSAUDITLINK__"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3__FDSAUDITLINK__" localSheetId="4"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__FDSAUDITLINK__" localSheetId="5"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__FDSAUDITLINK__" localSheetId="3"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__FDSAUDITLINK__" localSheetId="1"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__FDSAUDITLINK__"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0__FDSAUDITLINK__" localSheetId="4"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0__FDSAUDITLINK__" localSheetId="5"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0__FDSAUDITLINK__" localSheetId="3"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0__FDSAUDITLINK__" localSheetId="1"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0__FDSAUDITLINK__"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1__FDSAUDITLINK__" localSheetId="4"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1__FDSAUDITLINK__" localSheetId="5"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1__FDSAUDITLINK__" localSheetId="3"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1__FDSAUDITLINK__" localSheetId="1"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1__FDSAUDITLINK__"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2__FDSAUDITLINK__" localSheetId="4"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2__FDSAUDITLINK__" localSheetId="5"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2__FDSAUDITLINK__" localSheetId="3"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2__FDSAUDITLINK__" localSheetId="1"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2__FDSAUDITLINK__"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3__FDSAUDITLINK__" localSheetId="4"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3__FDSAUDITLINK__" localSheetId="5"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3__FDSAUDITLINK__" localSheetId="3"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3__FDSAUDITLINK__" localSheetId="1"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3__FDSAUDITLINK__"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4__FDSAUDITLINK__" localSheetId="4"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4__FDSAUDITLINK__" localSheetId="5"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4__FDSAUDITLINK__" localSheetId="3"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4__FDSAUDITLINK__" localSheetId="1"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4__FDSAUDITLINK__"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5__FDSAUDITLINK__" localSheetId="4"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5__FDSAUDITLINK__" localSheetId="5"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5__FDSAUDITLINK__" localSheetId="3"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5__FDSAUDITLINK__" localSheetId="1"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5__FDSAUDITLINK__"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6__FDSAUDITLINK__" localSheetId="4"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6__FDSAUDITLINK__" localSheetId="5"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6__FDSAUDITLINK__" localSheetId="3"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6__FDSAUDITLINK__" localSheetId="1"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6__FDSAUDITLINK__"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7__FDSAUDITLINK__" localSheetId="4"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7__FDSAUDITLINK__" localSheetId="5"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7__FDSAUDITLINK__" localSheetId="3"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7__FDSAUDITLINK__" localSheetId="1"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7__FDSAUDITLINK__"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8__FDSAUDITLINK__" localSheetId="4"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8__FDSAUDITLINK__" localSheetId="5"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8__FDSAUDITLINK__" localSheetId="3"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8__FDSAUDITLINK__" localSheetId="1"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8__FDSAUDITLINK__"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9__FDSAUDITLINK__" localSheetId="4"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39__FDSAUDITLINK__" localSheetId="5"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39__FDSAUDITLINK__" localSheetId="3"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39__FDSAUDITLINK__" localSheetId="1"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39__FDSAUDITLINK__"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4__FDSAUDITLINK__" localSheetId="4"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__FDSAUDITLINK__" localSheetId="5"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__FDSAUDITLINK__" localSheetId="3"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__FDSAUDITLINK__" localSheetId="1"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__FDSAUDITLINK__"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0__FDSAUDITLINK__" localSheetId="4"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0__FDSAUDITLINK__" localSheetId="5"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0__FDSAUDITLINK__" localSheetId="3"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0__FDSAUDITLINK__" localSheetId="1"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0__FDSAUDITLINK__"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1__FDSAUDITLINK__" localSheetId="4"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1__FDSAUDITLINK__" localSheetId="5"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1__FDSAUDITLINK__" localSheetId="3"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1__FDSAUDITLINK__" localSheetId="1"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1__FDSAUDITLINK__"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2__FDSAUDITLINK__" localSheetId="4"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2__FDSAUDITLINK__" localSheetId="5"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2__FDSAUDITLINK__" localSheetId="3"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2__FDSAUDITLINK__" localSheetId="1"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2__FDSAUDITLINK__"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3__FDSAUDITLINK__" localSheetId="4"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3__FDSAUDITLINK__" localSheetId="5"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3__FDSAUDITLINK__" localSheetId="3"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3__FDSAUDITLINK__" localSheetId="1"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3__FDSAUDITLINK__"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4__FDSAUDITLINK__" localSheetId="4"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4__FDSAUDITLINK__" localSheetId="5"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4__FDSAUDITLINK__" localSheetId="3"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4__FDSAUDITLINK__" localSheetId="1"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4__FDSAUDITLINK__"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5__FDSAUDITLINK__" localSheetId="4"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5__FDSAUDITLINK__" localSheetId="5"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5__FDSAUDITLINK__" localSheetId="3"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5__FDSAUDITLINK__" localSheetId="1"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5__FDSAUDITLINK__"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6__FDSAUDITLINK__" localSheetId="4"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6__FDSAUDITLINK__" localSheetId="5"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6__FDSAUDITLINK__" localSheetId="3"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6__FDSAUDITLINK__" localSheetId="1"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6__FDSAUDITLINK__"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7__FDSAUDITLINK__" localSheetId="4"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7__FDSAUDITLINK__" localSheetId="5"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7__FDSAUDITLINK__" localSheetId="3"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7__FDSAUDITLINK__" localSheetId="1"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7__FDSAUDITLINK__"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8__FDSAUDITLINK__" localSheetId="4"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8__FDSAUDITLINK__" localSheetId="5"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8__FDSAUDITLINK__" localSheetId="3"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8__FDSAUDITLINK__" localSheetId="1"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8__FDSAUDITLINK__"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9__FDSAUDITLINK__" localSheetId="4"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49__FDSAUDITLINK__" localSheetId="5"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49__FDSAUDITLINK__" localSheetId="3"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49__FDSAUDITLINK__" localSheetId="1"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49__FDSAUDITLINK__"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5__FDSAUDITLINK__" localSheetId="4"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__FDSAUDITLINK__" localSheetId="5"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__FDSAUDITLINK__" localSheetId="3"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__FDSAUDITLINK__" localSheetId="1"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__FDSAUDITLINK__"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0__FDSAUDITLINK__" localSheetId="4"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0__FDSAUDITLINK__" localSheetId="5"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0__FDSAUDITLINK__" localSheetId="3"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0__FDSAUDITLINK__" localSheetId="1"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0__FDSAUDITLINK__"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1__FDSAUDITLINK__" localSheetId="4"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1__FDSAUDITLINK__" localSheetId="5"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1__FDSAUDITLINK__" localSheetId="3"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1__FDSAUDITLINK__" localSheetId="1"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1__FDSAUDITLINK__"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2__FDSAUDITLINK__" localSheetId="4"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2__FDSAUDITLINK__" localSheetId="5"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2__FDSAUDITLINK__" localSheetId="3"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2__FDSAUDITLINK__" localSheetId="1"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2__FDSAUDITLINK__"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3__FDSAUDITLINK__" localSheetId="4"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3__FDSAUDITLINK__" localSheetId="5"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3__FDSAUDITLINK__" localSheetId="3"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3__FDSAUDITLINK__" localSheetId="1"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3__FDSAUDITLINK__"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4__FDSAUDITLINK__" localSheetId="4"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4__FDSAUDITLINK__" localSheetId="5"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4__FDSAUDITLINK__" localSheetId="3"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4__FDSAUDITLINK__" localSheetId="1"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4__FDSAUDITLINK__"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5__FDSAUDITLINK__" localSheetId="4"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5__FDSAUDITLINK__" localSheetId="5"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5__FDSAUDITLINK__" localSheetId="3"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5__FDSAUDITLINK__" localSheetId="1"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5__FDSAUDITLINK__"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6__FDSAUDITLINK__" localSheetId="4"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6__FDSAUDITLINK__" localSheetId="5"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6__FDSAUDITLINK__" localSheetId="3"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6__FDSAUDITLINK__" localSheetId="1"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6__FDSAUDITLINK__"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7__FDSAUDITLINK__" localSheetId="4"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7__FDSAUDITLINK__" localSheetId="5"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7__FDSAUDITLINK__" localSheetId="3"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7__FDSAUDITLINK__" localSheetId="1"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7__FDSAUDITLINK__"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8__FDSAUDITLINK__" localSheetId="4"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8__FDSAUDITLINK__" localSheetId="5"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8__FDSAUDITLINK__" localSheetId="3"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8__FDSAUDITLINK__" localSheetId="1"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8__FDSAUDITLINK__"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9__FDSAUDITLINK__" localSheetId="4"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59__FDSAUDITLINK__" localSheetId="5"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59__FDSAUDITLINK__" localSheetId="3"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59__FDSAUDITLINK__" localSheetId="1"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59__FDSAUDITLINK__"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6__FDSAUDITLINK__" localSheetId="4"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__FDSAUDITLINK__" localSheetId="5"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__FDSAUDITLINK__" localSheetId="3"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__FDSAUDITLINK__" localSheetId="1"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__FDSAUDITLINK__"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0__FDSAUDITLINK__" localSheetId="4"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0__FDSAUDITLINK__" localSheetId="5"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0__FDSAUDITLINK__" localSheetId="3"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0__FDSAUDITLINK__" localSheetId="1"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0__FDSAUDITLINK__"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1__FDSAUDITLINK__" localSheetId="4"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1__FDSAUDITLINK__" localSheetId="5"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1__FDSAUDITLINK__" localSheetId="3"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1__FDSAUDITLINK__" localSheetId="1"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1__FDSAUDITLINK__"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2__FDSAUDITLINK__" localSheetId="4"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2__FDSAUDITLINK__" localSheetId="5"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2__FDSAUDITLINK__" localSheetId="3"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2__FDSAUDITLINK__" localSheetId="1"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2__FDSAUDITLINK__"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3__FDSAUDITLINK__" localSheetId="4"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3__FDSAUDITLINK__" localSheetId="5"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3__FDSAUDITLINK__" localSheetId="3"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3__FDSAUDITLINK__" localSheetId="1"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3__FDSAUDITLINK__"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4__FDSAUDITLINK__" localSheetId="4"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4__FDSAUDITLINK__" localSheetId="5"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4__FDSAUDITLINK__" localSheetId="3"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4__FDSAUDITLINK__" localSheetId="1"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4__FDSAUDITLINK__"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5__FDSAUDITLINK__" localSheetId="4"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5__FDSAUDITLINK__" localSheetId="5"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5__FDSAUDITLINK__" localSheetId="3"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5__FDSAUDITLINK__" localSheetId="1"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5__FDSAUDITLINK__"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6__FDSAUDITLINK__" localSheetId="4"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6__FDSAUDITLINK__" localSheetId="5"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6__FDSAUDITLINK__" localSheetId="3"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6__FDSAUDITLINK__" localSheetId="1"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6__FDSAUDITLINK__"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7__FDSAUDITLINK__" localSheetId="4"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7__FDSAUDITLINK__" localSheetId="5"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7__FDSAUDITLINK__" localSheetId="3"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7__FDSAUDITLINK__" localSheetId="1"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7__FDSAUDITLINK__"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8__FDSAUDITLINK__" localSheetId="4"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8__FDSAUDITLINK__" localSheetId="5"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8__FDSAUDITLINK__" localSheetId="3"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8__FDSAUDITLINK__" localSheetId="1"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8__FDSAUDITLINK__"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9__FDSAUDITLINK__" localSheetId="4"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69__FDSAUDITLINK__" localSheetId="5"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69__FDSAUDITLINK__" localSheetId="3"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69__FDSAUDITLINK__" localSheetId="1"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69__FDSAUDITLINK__"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7__FDSAUDITLINK__" localSheetId="4"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__FDSAUDITLINK__" localSheetId="5"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__FDSAUDITLINK__" localSheetId="3"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__FDSAUDITLINK__" localSheetId="1"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__FDSAUDITLINK__"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0__FDSAUDITLINK__" localSheetId="4"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0__FDSAUDITLINK__" localSheetId="5"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0__FDSAUDITLINK__" localSheetId="3"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0__FDSAUDITLINK__" localSheetId="1"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0__FDSAUDITLINK__"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1__FDSAUDITLINK__" localSheetId="4"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1__FDSAUDITLINK__" localSheetId="5"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1__FDSAUDITLINK__" localSheetId="3"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1__FDSAUDITLINK__" localSheetId="1"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1__FDSAUDITLINK__"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2__FDSAUDITLINK__" localSheetId="4"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2__FDSAUDITLINK__" localSheetId="5"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2__FDSAUDITLINK__" localSheetId="3"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2__FDSAUDITLINK__" localSheetId="1"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2__FDSAUDITLINK__"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3__FDSAUDITLINK__" localSheetId="4"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3__FDSAUDITLINK__" localSheetId="5"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3__FDSAUDITLINK__" localSheetId="3"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3__FDSAUDITLINK__" localSheetId="1"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3__FDSAUDITLINK__"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4__FDSAUDITLINK__" localSheetId="4"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4__FDSAUDITLINK__" localSheetId="5"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4__FDSAUDITLINK__" localSheetId="3"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4__FDSAUDITLINK__" localSheetId="1"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4__FDSAUDITLINK__"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5__FDSAUDITLINK__" localSheetId="4"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5__FDSAUDITLINK__" localSheetId="5"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5__FDSAUDITLINK__" localSheetId="3"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5__FDSAUDITLINK__" localSheetId="1"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5__FDSAUDITLINK__"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6__FDSAUDITLINK__" localSheetId="4"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6__FDSAUDITLINK__" localSheetId="5"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6__FDSAUDITLINK__" localSheetId="3"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6__FDSAUDITLINK__" localSheetId="1"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6__FDSAUDITLINK__"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7__FDSAUDITLINK__" localSheetId="4"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7__FDSAUDITLINK__" localSheetId="5"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7__FDSAUDITLINK__" localSheetId="3"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7__FDSAUDITLINK__" localSheetId="1"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7__FDSAUDITLINK__"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8__FDSAUDITLINK__" localSheetId="4"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8__FDSAUDITLINK__" localSheetId="5"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8__FDSAUDITLINK__" localSheetId="3"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8__FDSAUDITLINK__" localSheetId="1"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8__FDSAUDITLINK__"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9__FDSAUDITLINK__" localSheetId="4"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79__FDSAUDITLINK__" localSheetId="5"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79__FDSAUDITLINK__" localSheetId="3"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79__FDSAUDITLINK__" localSheetId="1"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79__FDSAUDITLINK__"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8__FDSAUDITLINK__" localSheetId="4"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__FDSAUDITLINK__" localSheetId="5"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__FDSAUDITLINK__" localSheetId="3"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__FDSAUDITLINK__" localSheetId="1"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__FDSAUDITLINK__"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0__FDSAUDITLINK__" localSheetId="4"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0__FDSAUDITLINK__" localSheetId="5"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0__FDSAUDITLINK__" localSheetId="3"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0__FDSAUDITLINK__" localSheetId="1"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0__FDSAUDITLINK__"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1__FDSAUDITLINK__" localSheetId="4"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1__FDSAUDITLINK__" localSheetId="5"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1__FDSAUDITLINK__" localSheetId="3"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1__FDSAUDITLINK__" localSheetId="1"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1__FDSAUDITLINK__"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2__FDSAUDITLINK__" localSheetId="4"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2__FDSAUDITLINK__" localSheetId="5"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2__FDSAUDITLINK__" localSheetId="3"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2__FDSAUDITLINK__" localSheetId="1"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2__FDSAUDITLINK__"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3__FDSAUDITLINK__" localSheetId="4"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3__FDSAUDITLINK__" localSheetId="5"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3__FDSAUDITLINK__" localSheetId="3"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3__FDSAUDITLINK__" localSheetId="1"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3__FDSAUDITLINK__"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4__FDSAUDITLINK__" localSheetId="4"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4__FDSAUDITLINK__" localSheetId="5"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4__FDSAUDITLINK__" localSheetId="3"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4__FDSAUDITLINK__" localSheetId="1"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4__FDSAUDITLINK__"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5__FDSAUDITLINK__" localSheetId="4"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5__FDSAUDITLINK__" localSheetId="5"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5__FDSAUDITLINK__" localSheetId="3"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5__FDSAUDITLINK__" localSheetId="1"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5__FDSAUDITLINK__"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6__FDSAUDITLINK__" localSheetId="4"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6__FDSAUDITLINK__" localSheetId="5"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6__FDSAUDITLINK__" localSheetId="3"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6__FDSAUDITLINK__" localSheetId="1"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6__FDSAUDITLINK__"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7__FDSAUDITLINK__" localSheetId="4"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7__FDSAUDITLINK__" localSheetId="5"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7__FDSAUDITLINK__" localSheetId="3"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7__FDSAUDITLINK__" localSheetId="1"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7__FDSAUDITLINK__"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8__FDSAUDITLINK__" localSheetId="4"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8__FDSAUDITLINK__" localSheetId="5"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8__FDSAUDITLINK__" localSheetId="3"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8__FDSAUDITLINK__" localSheetId="1"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8__FDSAUDITLINK__"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9__FDSAUDITLINK__" localSheetId="4"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89__FDSAUDITLINK__" localSheetId="5"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89__FDSAUDITLINK__" localSheetId="3"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89__FDSAUDITLINK__" localSheetId="1"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89__FDSAUDITLINK__"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9__FDSAUDITLINK__" localSheetId="4"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__FDSAUDITLINK__" localSheetId="5"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__FDSAUDITLINK__" localSheetId="3"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__FDSAUDITLINK__" localSheetId="1"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__FDSAUDITLINK__"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0__FDSAUDITLINK__" localSheetId="4"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0__FDSAUDITLINK__" localSheetId="5"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0__FDSAUDITLINK__" localSheetId="3"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0__FDSAUDITLINK__" localSheetId="1"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0__FDSAUDITLINK__"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1__FDSAUDITLINK__" localSheetId="4"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1__FDSAUDITLINK__" localSheetId="5"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1__FDSAUDITLINK__" localSheetId="3"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1__FDSAUDITLINK__" localSheetId="1"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1__FDSAUDITLINK__"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2__FDSAUDITLINK__" localSheetId="4"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2__FDSAUDITLINK__" localSheetId="5"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2__FDSAUDITLINK__" localSheetId="3"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2__FDSAUDITLINK__" localSheetId="1"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2__FDSAUDITLINK__"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3__FDSAUDITLINK__" localSheetId="4"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3__FDSAUDITLINK__" localSheetId="5"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3__FDSAUDITLINK__" localSheetId="3"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3__FDSAUDITLINK__" localSheetId="1"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3__FDSAUDITLINK__"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4__FDSAUDITLINK__" localSheetId="4"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4__FDSAUDITLINK__" localSheetId="5"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4__FDSAUDITLINK__" localSheetId="3"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4__FDSAUDITLINK__" localSheetId="1"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4__FDSAUDITLINK__"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5__FDSAUDITLINK__" localSheetId="4"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5__FDSAUDITLINK__" localSheetId="5"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5__FDSAUDITLINK__" localSheetId="3"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5__FDSAUDITLINK__" localSheetId="1"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5__FDSAUDITLINK__"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6__FDSAUDITLINK__" localSheetId="4"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6__FDSAUDITLINK__" localSheetId="5"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6__FDSAUDITLINK__" localSheetId="3"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6__FDSAUDITLINK__" localSheetId="1"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6__FDSAUDITLINK__"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7__FDSAUDITLINK__" localSheetId="4"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7__FDSAUDITLINK__" localSheetId="5"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7__FDSAUDITLINK__" localSheetId="3"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7__FDSAUDITLINK__" localSheetId="1"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7__FDSAUDITLINK__"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8__FDSAUDITLINK__" localSheetId="4"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8__FDSAUDITLINK__" localSheetId="5"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8__FDSAUDITLINK__" localSheetId="3"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8__FDSAUDITLINK__" localSheetId="1"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8__FDSAUDITLINK__"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9__FDSAUDITLINK__" localSheetId="4"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299__FDSAUDITLINK__" localSheetId="5"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299__FDSAUDITLINK__" localSheetId="3"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299__FDSAUDITLINK__" localSheetId="1"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299__FDSAUDITLINK__"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3__FDSAUDITLINK__" localSheetId="4"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__FDSAUDITLINK__" localSheetId="5"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__FDSAUDITLINK__" localSheetId="3"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__FDSAUDITLINK__" localSheetId="1"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__FDSAUDITLINK__"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0__FDSAUDITLINK__" localSheetId="4"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__FDSAUDITLINK__" localSheetId="5"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__FDSAUDITLINK__" localSheetId="3"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__FDSAUDITLINK__" localSheetId="1"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__FDSAUDITLINK__"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0__FDSAUDITLINK__" localSheetId="4"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0__FDSAUDITLINK__" localSheetId="5"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0__FDSAUDITLINK__" localSheetId="3"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0__FDSAUDITLINK__" localSheetId="1"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0__FDSAUDITLINK__"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1__FDSAUDITLINK__" localSheetId="4"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1__FDSAUDITLINK__" localSheetId="5"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1__FDSAUDITLINK__" localSheetId="3"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1__FDSAUDITLINK__" localSheetId="1"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1__FDSAUDITLINK__"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2__FDSAUDITLINK__" localSheetId="4"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2__FDSAUDITLINK__" localSheetId="5"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2__FDSAUDITLINK__" localSheetId="3"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2__FDSAUDITLINK__" localSheetId="1"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2__FDSAUDITLINK__"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3__FDSAUDITLINK__" localSheetId="4"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3__FDSAUDITLINK__" localSheetId="5"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3__FDSAUDITLINK__" localSheetId="3"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3__FDSAUDITLINK__" localSheetId="1"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3__FDSAUDITLINK__"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4__FDSAUDITLINK__" localSheetId="4"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4__FDSAUDITLINK__" localSheetId="5"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4__FDSAUDITLINK__" localSheetId="3"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4__FDSAUDITLINK__" localSheetId="1"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4__FDSAUDITLINK__"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5__FDSAUDITLINK__" localSheetId="4"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5__FDSAUDITLINK__" localSheetId="5"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5__FDSAUDITLINK__" localSheetId="3"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5__FDSAUDITLINK__" localSheetId="1"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5__FDSAUDITLINK__"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6__FDSAUDITLINK__" localSheetId="4"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6__FDSAUDITLINK__" localSheetId="5"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6__FDSAUDITLINK__" localSheetId="3"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6__FDSAUDITLINK__" localSheetId="1"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6__FDSAUDITLINK__"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7__FDSAUDITLINK__" localSheetId="4"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7__FDSAUDITLINK__" localSheetId="5"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7__FDSAUDITLINK__" localSheetId="3"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7__FDSAUDITLINK__" localSheetId="1"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7__FDSAUDITLINK__"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8__FDSAUDITLINK__" localSheetId="4"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8__FDSAUDITLINK__" localSheetId="5"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8__FDSAUDITLINK__" localSheetId="3"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8__FDSAUDITLINK__" localSheetId="1"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8__FDSAUDITLINK__"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9__FDSAUDITLINK__" localSheetId="4"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09__FDSAUDITLINK__" localSheetId="5"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09__FDSAUDITLINK__" localSheetId="3"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09__FDSAUDITLINK__" localSheetId="1"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09__FDSAUDITLINK__"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1__FDSAUDITLINK__" localSheetId="4"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__FDSAUDITLINK__" localSheetId="5"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__FDSAUDITLINK__" localSheetId="3"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__FDSAUDITLINK__" localSheetId="1"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__FDSAUDITLINK__"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0__FDSAUDITLINK__" localSheetId="4"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0__FDSAUDITLINK__" localSheetId="5"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0__FDSAUDITLINK__" localSheetId="3"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0__FDSAUDITLINK__" localSheetId="1"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0__FDSAUDITLINK__"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1__FDSAUDITLINK__" localSheetId="4"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1__FDSAUDITLINK__" localSheetId="5"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1__FDSAUDITLINK__" localSheetId="3"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1__FDSAUDITLINK__" localSheetId="1"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1__FDSAUDITLINK__"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2__FDSAUDITLINK__" localSheetId="4"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2__FDSAUDITLINK__" localSheetId="5"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2__FDSAUDITLINK__" localSheetId="3"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2__FDSAUDITLINK__" localSheetId="1"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2__FDSAUDITLINK__"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3__FDSAUDITLINK__" localSheetId="4"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3__FDSAUDITLINK__" localSheetId="5"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3__FDSAUDITLINK__" localSheetId="3"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3__FDSAUDITLINK__" localSheetId="1"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3__FDSAUDITLINK__"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4__FDSAUDITLINK__" localSheetId="4"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4__FDSAUDITLINK__" localSheetId="5"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4__FDSAUDITLINK__" localSheetId="3"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4__FDSAUDITLINK__" localSheetId="1"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4__FDSAUDITLINK__"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5__FDSAUDITLINK__" localSheetId="4"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5__FDSAUDITLINK__" localSheetId="5"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5__FDSAUDITLINK__" localSheetId="3"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5__FDSAUDITLINK__" localSheetId="1"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5__FDSAUDITLINK__"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6__FDSAUDITLINK__" localSheetId="4"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6__FDSAUDITLINK__" localSheetId="5"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6__FDSAUDITLINK__" localSheetId="3"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6__FDSAUDITLINK__" localSheetId="1"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6__FDSAUDITLINK__"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7__FDSAUDITLINK__" localSheetId="4"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7__FDSAUDITLINK__" localSheetId="5"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7__FDSAUDITLINK__" localSheetId="3"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7__FDSAUDITLINK__" localSheetId="1"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7__FDSAUDITLINK__"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8__FDSAUDITLINK__" localSheetId="4"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8__FDSAUDITLINK__" localSheetId="5"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8__FDSAUDITLINK__" localSheetId="3"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8__FDSAUDITLINK__" localSheetId="1"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8__FDSAUDITLINK__"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9__FDSAUDITLINK__" localSheetId="4"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19__FDSAUDITLINK__" localSheetId="5"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19__FDSAUDITLINK__" localSheetId="3"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19__FDSAUDITLINK__" localSheetId="1"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19__FDSAUDITLINK__"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2__FDSAUDITLINK__" localSheetId="4"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__FDSAUDITLINK__" localSheetId="5"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__FDSAUDITLINK__" localSheetId="3"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__FDSAUDITLINK__" localSheetId="1"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__FDSAUDITLINK__"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0__FDSAUDITLINK__" localSheetId="4"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0__FDSAUDITLINK__" localSheetId="5"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0__FDSAUDITLINK__" localSheetId="3"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0__FDSAUDITLINK__" localSheetId="1"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0__FDSAUDITLINK__"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1__FDSAUDITLINK__" localSheetId="4"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1__FDSAUDITLINK__" localSheetId="5"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1__FDSAUDITLINK__" localSheetId="3"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1__FDSAUDITLINK__" localSheetId="1"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1__FDSAUDITLINK__"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2__FDSAUDITLINK__" localSheetId="4"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2__FDSAUDITLINK__" localSheetId="5"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2__FDSAUDITLINK__" localSheetId="3"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2__FDSAUDITLINK__" localSheetId="1"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2__FDSAUDITLINK__"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3__FDSAUDITLINK__" localSheetId="4"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3__FDSAUDITLINK__" localSheetId="5"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3__FDSAUDITLINK__" localSheetId="3"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3__FDSAUDITLINK__" localSheetId="1"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3__FDSAUDITLINK__"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4__FDSAUDITLINK__" localSheetId="4"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4__FDSAUDITLINK__" localSheetId="5"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4__FDSAUDITLINK__" localSheetId="3"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4__FDSAUDITLINK__" localSheetId="1"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4__FDSAUDITLINK__"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5__FDSAUDITLINK__" localSheetId="4"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5__FDSAUDITLINK__" localSheetId="5"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5__FDSAUDITLINK__" localSheetId="3"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5__FDSAUDITLINK__" localSheetId="1"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5__FDSAUDITLINK__"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6__FDSAUDITLINK__" localSheetId="4"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6__FDSAUDITLINK__" localSheetId="5"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6__FDSAUDITLINK__" localSheetId="3"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6__FDSAUDITLINK__" localSheetId="1"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6__FDSAUDITLINK__"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7__FDSAUDITLINK__" localSheetId="4"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7__FDSAUDITLINK__" localSheetId="5"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7__FDSAUDITLINK__" localSheetId="3"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7__FDSAUDITLINK__" localSheetId="1"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7__FDSAUDITLINK__"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8__FDSAUDITLINK__" localSheetId="4"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8__FDSAUDITLINK__" localSheetId="5"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8__FDSAUDITLINK__" localSheetId="3"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8__FDSAUDITLINK__" localSheetId="1"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8__FDSAUDITLINK__"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9__FDSAUDITLINK__" localSheetId="4"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29__FDSAUDITLINK__" localSheetId="5"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29__FDSAUDITLINK__" localSheetId="3"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29__FDSAUDITLINK__" localSheetId="1"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29__FDSAUDITLINK__"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3__FDSAUDITLINK__" localSheetId="4"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__FDSAUDITLINK__" localSheetId="5"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__FDSAUDITLINK__" localSheetId="3"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__FDSAUDITLINK__" localSheetId="1"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__FDSAUDITLINK__"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0__FDSAUDITLINK__" localSheetId="4"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0__FDSAUDITLINK__" localSheetId="5"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0__FDSAUDITLINK__" localSheetId="3"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0__FDSAUDITLINK__" localSheetId="1"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0__FDSAUDITLINK__"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1__FDSAUDITLINK__" localSheetId="4"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1__FDSAUDITLINK__" localSheetId="5"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1__FDSAUDITLINK__" localSheetId="3"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1__FDSAUDITLINK__" localSheetId="1"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1__FDSAUDITLINK__"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2__FDSAUDITLINK__" localSheetId="4"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2__FDSAUDITLINK__" localSheetId="5"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2__FDSAUDITLINK__" localSheetId="3"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2__FDSAUDITLINK__" localSheetId="1"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2__FDSAUDITLINK__"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3__FDSAUDITLINK__" localSheetId="4"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3__FDSAUDITLINK__" localSheetId="5"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3__FDSAUDITLINK__" localSheetId="3"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3__FDSAUDITLINK__" localSheetId="1"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3__FDSAUDITLINK__"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4__FDSAUDITLINK__" localSheetId="4"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4__FDSAUDITLINK__" localSheetId="5"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4__FDSAUDITLINK__" localSheetId="3"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4__FDSAUDITLINK__" localSheetId="1"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4__FDSAUDITLINK__"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5__FDSAUDITLINK__" localSheetId="4"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5__FDSAUDITLINK__" localSheetId="5"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5__FDSAUDITLINK__" localSheetId="3"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5__FDSAUDITLINK__" localSheetId="1"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5__FDSAUDITLINK__"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6__FDSAUDITLINK__" localSheetId="4"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6__FDSAUDITLINK__" localSheetId="5"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6__FDSAUDITLINK__" localSheetId="3"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6__FDSAUDITLINK__" localSheetId="1"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6__FDSAUDITLINK__"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7__FDSAUDITLINK__" localSheetId="4"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7__FDSAUDITLINK__" localSheetId="5"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7__FDSAUDITLINK__" localSheetId="3"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7__FDSAUDITLINK__" localSheetId="1"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7__FDSAUDITLINK__"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8__FDSAUDITLINK__" localSheetId="4"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8__FDSAUDITLINK__" localSheetId="5"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8__FDSAUDITLINK__" localSheetId="3"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8__FDSAUDITLINK__" localSheetId="1"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8__FDSAUDITLINK__"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9__FDSAUDITLINK__" localSheetId="4"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39__FDSAUDITLINK__" localSheetId="5"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39__FDSAUDITLINK__" localSheetId="3"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39__FDSAUDITLINK__" localSheetId="1"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39__FDSAUDITLINK__"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4__FDSAUDITLINK__" localSheetId="4"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__FDSAUDITLINK__" localSheetId="5"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__FDSAUDITLINK__" localSheetId="3"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__FDSAUDITLINK__" localSheetId="1"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__FDSAUDITLINK__"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0__FDSAUDITLINK__" localSheetId="4"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0__FDSAUDITLINK__" localSheetId="5"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0__FDSAUDITLINK__" localSheetId="3"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0__FDSAUDITLINK__" localSheetId="1"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0__FDSAUDITLINK__"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1__FDSAUDITLINK__" localSheetId="4"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1__FDSAUDITLINK__" localSheetId="5"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1__FDSAUDITLINK__" localSheetId="3"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1__FDSAUDITLINK__" localSheetId="1"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1__FDSAUDITLINK__"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2__FDSAUDITLINK__" localSheetId="4"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2__FDSAUDITLINK__" localSheetId="5"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2__FDSAUDITLINK__" localSheetId="3"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2__FDSAUDITLINK__" localSheetId="1"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2__FDSAUDITLINK__"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3__FDSAUDITLINK__" localSheetId="4"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3__FDSAUDITLINK__" localSheetId="5"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3__FDSAUDITLINK__" localSheetId="3"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3__FDSAUDITLINK__" localSheetId="1"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3__FDSAUDITLINK__"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4__FDSAUDITLINK__" localSheetId="4"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4__FDSAUDITLINK__" localSheetId="5"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4__FDSAUDITLINK__" localSheetId="3"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4__FDSAUDITLINK__" localSheetId="1"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4__FDSAUDITLINK__"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5__FDSAUDITLINK__" localSheetId="4"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5__FDSAUDITLINK__" localSheetId="5"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5__FDSAUDITLINK__" localSheetId="3"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5__FDSAUDITLINK__" localSheetId="1"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5__FDSAUDITLINK__"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6__FDSAUDITLINK__" localSheetId="4"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6__FDSAUDITLINK__" localSheetId="5"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6__FDSAUDITLINK__" localSheetId="3"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6__FDSAUDITLINK__" localSheetId="1"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6__FDSAUDITLINK__"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7__FDSAUDITLINK__" localSheetId="4"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7__FDSAUDITLINK__" localSheetId="5"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7__FDSAUDITLINK__" localSheetId="3"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7__FDSAUDITLINK__" localSheetId="1"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7__FDSAUDITLINK__"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8__FDSAUDITLINK__" localSheetId="4"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8__FDSAUDITLINK__" localSheetId="5"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8__FDSAUDITLINK__" localSheetId="3"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8__FDSAUDITLINK__" localSheetId="1"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8__FDSAUDITLINK__"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9__FDSAUDITLINK__" localSheetId="4"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49__FDSAUDITLINK__" localSheetId="5"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49__FDSAUDITLINK__" localSheetId="3"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49__FDSAUDITLINK__" localSheetId="1"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49__FDSAUDITLINK__"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5__FDSAUDITLINK__" localSheetId="4"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__FDSAUDITLINK__" localSheetId="5"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__FDSAUDITLINK__" localSheetId="3"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__FDSAUDITLINK__" localSheetId="1"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__FDSAUDITLINK__"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0__FDSAUDITLINK__" localSheetId="4"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0__FDSAUDITLINK__" localSheetId="5"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0__FDSAUDITLINK__" localSheetId="3"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0__FDSAUDITLINK__" localSheetId="1"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0__FDSAUDITLINK__"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1__FDSAUDITLINK__" localSheetId="4"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1__FDSAUDITLINK__" localSheetId="5"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1__FDSAUDITLINK__" localSheetId="3"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1__FDSAUDITLINK__" localSheetId="1"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1__FDSAUDITLINK__"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2__FDSAUDITLINK__" localSheetId="4"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2__FDSAUDITLINK__" localSheetId="5"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2__FDSAUDITLINK__" localSheetId="3"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2__FDSAUDITLINK__" localSheetId="1"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2__FDSAUDITLINK__"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3__FDSAUDITLINK__" localSheetId="4"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3__FDSAUDITLINK__" localSheetId="5"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3__FDSAUDITLINK__" localSheetId="3"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3__FDSAUDITLINK__" localSheetId="1"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3__FDSAUDITLINK__"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4__FDSAUDITLINK__" localSheetId="4"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4__FDSAUDITLINK__" localSheetId="5"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4__FDSAUDITLINK__" localSheetId="3"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4__FDSAUDITLINK__" localSheetId="1"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4__FDSAUDITLINK__"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5__FDSAUDITLINK__" localSheetId="4"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5__FDSAUDITLINK__" localSheetId="5"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5__FDSAUDITLINK__" localSheetId="3"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5__FDSAUDITLINK__" localSheetId="1"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5__FDSAUDITLINK__"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6__FDSAUDITLINK__" localSheetId="4"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6__FDSAUDITLINK__" localSheetId="5"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6__FDSAUDITLINK__" localSheetId="3"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6__FDSAUDITLINK__" localSheetId="1"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6__FDSAUDITLINK__"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7__FDSAUDITLINK__" localSheetId="4"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7__FDSAUDITLINK__" localSheetId="5"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7__FDSAUDITLINK__" localSheetId="3"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7__FDSAUDITLINK__" localSheetId="1"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7__FDSAUDITLINK__"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8__FDSAUDITLINK__" localSheetId="4"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8__FDSAUDITLINK__" localSheetId="5"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8__FDSAUDITLINK__" localSheetId="3"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8__FDSAUDITLINK__" localSheetId="1"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8__FDSAUDITLINK__"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9__FDSAUDITLINK__" localSheetId="4"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59__FDSAUDITLINK__" localSheetId="5"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59__FDSAUDITLINK__" localSheetId="3"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59__FDSAUDITLINK__" localSheetId="1"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59__FDSAUDITLINK__"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6__FDSAUDITLINK__" localSheetId="4"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__FDSAUDITLINK__" localSheetId="5"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__FDSAUDITLINK__" localSheetId="3"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__FDSAUDITLINK__" localSheetId="1"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__FDSAUDITLINK__"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0__FDSAUDITLINK__" localSheetId="4"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0__FDSAUDITLINK__" localSheetId="5"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0__FDSAUDITLINK__" localSheetId="3"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0__FDSAUDITLINK__" localSheetId="1"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0__FDSAUDITLINK__"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1__FDSAUDITLINK__" localSheetId="4"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1__FDSAUDITLINK__" localSheetId="5"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1__FDSAUDITLINK__" localSheetId="3"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1__FDSAUDITLINK__" localSheetId="1"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1__FDSAUDITLINK__"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2__FDSAUDITLINK__" localSheetId="4"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2__FDSAUDITLINK__" localSheetId="5"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2__FDSAUDITLINK__" localSheetId="3"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2__FDSAUDITLINK__" localSheetId="1"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2__FDSAUDITLINK__"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3__FDSAUDITLINK__" localSheetId="4"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3__FDSAUDITLINK__" localSheetId="5"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3__FDSAUDITLINK__" localSheetId="3"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3__FDSAUDITLINK__" localSheetId="1"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3__FDSAUDITLINK__"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4__FDSAUDITLINK__" localSheetId="4"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4__FDSAUDITLINK__" localSheetId="5"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4__FDSAUDITLINK__" localSheetId="3"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4__FDSAUDITLINK__" localSheetId="1"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4__FDSAUDITLINK__"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5__FDSAUDITLINK__" localSheetId="4"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5__FDSAUDITLINK__" localSheetId="5"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5__FDSAUDITLINK__" localSheetId="3"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5__FDSAUDITLINK__" localSheetId="1"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5__FDSAUDITLINK__"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6__FDSAUDITLINK__" localSheetId="4"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6__FDSAUDITLINK__" localSheetId="5"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6__FDSAUDITLINK__" localSheetId="3"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6__FDSAUDITLINK__" localSheetId="1"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6__FDSAUDITLINK__"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7__FDSAUDITLINK__" localSheetId="4"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7__FDSAUDITLINK__" localSheetId="5"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7__FDSAUDITLINK__" localSheetId="3"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7__FDSAUDITLINK__" localSheetId="1"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7__FDSAUDITLINK__"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8__FDSAUDITLINK__" localSheetId="4"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8__FDSAUDITLINK__" localSheetId="5"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8__FDSAUDITLINK__" localSheetId="3"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8__FDSAUDITLINK__" localSheetId="1"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8__FDSAUDITLINK__"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9__FDSAUDITLINK__" localSheetId="4"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69__FDSAUDITLINK__" localSheetId="5"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69__FDSAUDITLINK__" localSheetId="3"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69__FDSAUDITLINK__" localSheetId="1"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69__FDSAUDITLINK__"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7__FDSAUDITLINK__" localSheetId="4"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__FDSAUDITLINK__" localSheetId="5"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__FDSAUDITLINK__" localSheetId="3"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__FDSAUDITLINK__" localSheetId="1"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__FDSAUDITLINK__"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0__FDSAUDITLINK__" localSheetId="4"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0__FDSAUDITLINK__" localSheetId="5"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0__FDSAUDITLINK__" localSheetId="3"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0__FDSAUDITLINK__" localSheetId="1"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0__FDSAUDITLINK__"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1__FDSAUDITLINK__" localSheetId="4"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1__FDSAUDITLINK__" localSheetId="5"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1__FDSAUDITLINK__" localSheetId="3"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1__FDSAUDITLINK__" localSheetId="1"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1__FDSAUDITLINK__"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2__FDSAUDITLINK__" localSheetId="4"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2__FDSAUDITLINK__" localSheetId="5"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2__FDSAUDITLINK__" localSheetId="3"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2__FDSAUDITLINK__" localSheetId="1"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2__FDSAUDITLINK__"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3__FDSAUDITLINK__" localSheetId="4"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3__FDSAUDITLINK__" localSheetId="5"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3__FDSAUDITLINK__" localSheetId="3"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3__FDSAUDITLINK__" localSheetId="1"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3__FDSAUDITLINK__"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4__FDSAUDITLINK__" localSheetId="4"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4__FDSAUDITLINK__" localSheetId="5"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4__FDSAUDITLINK__" localSheetId="3"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4__FDSAUDITLINK__" localSheetId="1"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4__FDSAUDITLINK__"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5__FDSAUDITLINK__" localSheetId="4"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5__FDSAUDITLINK__" localSheetId="5"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5__FDSAUDITLINK__" localSheetId="3"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5__FDSAUDITLINK__" localSheetId="1"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5__FDSAUDITLINK__"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6__FDSAUDITLINK__" localSheetId="4"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6__FDSAUDITLINK__" localSheetId="5"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6__FDSAUDITLINK__" localSheetId="3"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6__FDSAUDITLINK__" localSheetId="1"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6__FDSAUDITLINK__"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7__FDSAUDITLINK__" localSheetId="4"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7__FDSAUDITLINK__" localSheetId="5"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7__FDSAUDITLINK__" localSheetId="3"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7__FDSAUDITLINK__" localSheetId="1"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7__FDSAUDITLINK__"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8__FDSAUDITLINK__" localSheetId="4"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8__FDSAUDITLINK__" localSheetId="5"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8__FDSAUDITLINK__" localSheetId="3"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8__FDSAUDITLINK__" localSheetId="1"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8__FDSAUDITLINK__"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9__FDSAUDITLINK__" localSheetId="4"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79__FDSAUDITLINK__" localSheetId="5"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79__FDSAUDITLINK__" localSheetId="3"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79__FDSAUDITLINK__" localSheetId="1"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79__FDSAUDITLINK__"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8__FDSAUDITLINK__" localSheetId="4"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__FDSAUDITLINK__" localSheetId="5"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__FDSAUDITLINK__" localSheetId="3"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__FDSAUDITLINK__" localSheetId="1"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__FDSAUDITLINK__"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0__FDSAUDITLINK__" localSheetId="4"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0__FDSAUDITLINK__" localSheetId="5"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0__FDSAUDITLINK__" localSheetId="3"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0__FDSAUDITLINK__" localSheetId="1"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0__FDSAUDITLINK__"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1__FDSAUDITLINK__" localSheetId="4"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1__FDSAUDITLINK__" localSheetId="5"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1__FDSAUDITLINK__" localSheetId="3"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1__FDSAUDITLINK__" localSheetId="1"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1__FDSAUDITLINK__"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2__FDSAUDITLINK__" localSheetId="4"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2__FDSAUDITLINK__" localSheetId="5"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2__FDSAUDITLINK__" localSheetId="3"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2__FDSAUDITLINK__" localSheetId="1"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2__FDSAUDITLINK__"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3__FDSAUDITLINK__" localSheetId="4"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3__FDSAUDITLINK__" localSheetId="5"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3__FDSAUDITLINK__" localSheetId="3"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3__FDSAUDITLINK__" localSheetId="1"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3__FDSAUDITLINK__"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4__FDSAUDITLINK__" localSheetId="4"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4__FDSAUDITLINK__" localSheetId="5"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4__FDSAUDITLINK__" localSheetId="3"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4__FDSAUDITLINK__" localSheetId="1"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4__FDSAUDITLINK__"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5__FDSAUDITLINK__" localSheetId="4"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5__FDSAUDITLINK__" localSheetId="5"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5__FDSAUDITLINK__" localSheetId="3"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5__FDSAUDITLINK__" localSheetId="1"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5__FDSAUDITLINK__"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6__FDSAUDITLINK__" localSheetId="4"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6__FDSAUDITLINK__" localSheetId="5"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6__FDSAUDITLINK__" localSheetId="3"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6__FDSAUDITLINK__" localSheetId="1"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6__FDSAUDITLINK__"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7__FDSAUDITLINK__" localSheetId="4"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7__FDSAUDITLINK__" localSheetId="5"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7__FDSAUDITLINK__" localSheetId="3"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7__FDSAUDITLINK__" localSheetId="1"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7__FDSAUDITLINK__"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8__FDSAUDITLINK__" localSheetId="4"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8__FDSAUDITLINK__" localSheetId="5"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8__FDSAUDITLINK__" localSheetId="3"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8__FDSAUDITLINK__" localSheetId="1"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8__FDSAUDITLINK__"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9__FDSAUDITLINK__" localSheetId="4"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89__FDSAUDITLINK__" localSheetId="5"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89__FDSAUDITLINK__" localSheetId="3"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89__FDSAUDITLINK__" localSheetId="1"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89__FDSAUDITLINK__"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9__FDSAUDITLINK__" localSheetId="4"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__FDSAUDITLINK__" localSheetId="5"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__FDSAUDITLINK__" localSheetId="3"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__FDSAUDITLINK__" localSheetId="1"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__FDSAUDITLINK__"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0__FDSAUDITLINK__" localSheetId="4"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0__FDSAUDITLINK__" localSheetId="5"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0__FDSAUDITLINK__" localSheetId="3"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0__FDSAUDITLINK__" localSheetId="1"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0__FDSAUDITLINK__"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1__FDSAUDITLINK__" localSheetId="4"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1__FDSAUDITLINK__" localSheetId="5"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1__FDSAUDITLINK__" localSheetId="3"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1__FDSAUDITLINK__" localSheetId="1"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1__FDSAUDITLINK__"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2__FDSAUDITLINK__" localSheetId="4"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2__FDSAUDITLINK__" localSheetId="5"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2__FDSAUDITLINK__" localSheetId="3"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2__FDSAUDITLINK__" localSheetId="1"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2__FDSAUDITLINK__"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3__FDSAUDITLINK__" localSheetId="4"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3__FDSAUDITLINK__" localSheetId="5"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3__FDSAUDITLINK__" localSheetId="3"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3__FDSAUDITLINK__" localSheetId="1"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3__FDSAUDITLINK__"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4__FDSAUDITLINK__" localSheetId="4"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4__FDSAUDITLINK__" localSheetId="5"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4__FDSAUDITLINK__" localSheetId="3"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4__FDSAUDITLINK__" localSheetId="1"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4__FDSAUDITLINK__"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5__FDSAUDITLINK__" localSheetId="4"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5__FDSAUDITLINK__" localSheetId="5"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5__FDSAUDITLINK__" localSheetId="3"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5__FDSAUDITLINK__" localSheetId="1"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5__FDSAUDITLINK__"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6__FDSAUDITLINK__" localSheetId="4"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6__FDSAUDITLINK__" localSheetId="5"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6__FDSAUDITLINK__" localSheetId="3"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6__FDSAUDITLINK__" localSheetId="1"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6__FDSAUDITLINK__"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7__FDSAUDITLINK__" localSheetId="4"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7__FDSAUDITLINK__" localSheetId="5"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7__FDSAUDITLINK__" localSheetId="3"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7__FDSAUDITLINK__" localSheetId="1"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7__FDSAUDITLINK__"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8__FDSAUDITLINK__" localSheetId="4"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8__FDSAUDITLINK__" localSheetId="5"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8__FDSAUDITLINK__" localSheetId="3"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8__FDSAUDITLINK__" localSheetId="1"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8__FDSAUDITLINK__"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9__FDSAUDITLINK__" localSheetId="4"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399__FDSAUDITLINK__" localSheetId="5"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399__FDSAUDITLINK__" localSheetId="3"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399__FDSAUDITLINK__" localSheetId="1"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399__FDSAUDITLINK__"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4__FDSAUDITLINK__" localSheetId="4"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__FDSAUDITLINK__" localSheetId="5"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__FDSAUDITLINK__" localSheetId="3"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__FDSAUDITLINK__" localSheetId="1"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__FDSAUDITLINK__"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0__FDSAUDITLINK__" localSheetId="4"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__FDSAUDITLINK__" localSheetId="5"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__FDSAUDITLINK__" localSheetId="3"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__FDSAUDITLINK__" localSheetId="1"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__FDSAUDITLINK__"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0__FDSAUDITLINK__" localSheetId="4"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0__FDSAUDITLINK__" localSheetId="5"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0__FDSAUDITLINK__" localSheetId="3"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0__FDSAUDITLINK__" localSheetId="1"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0__FDSAUDITLINK__"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1__FDSAUDITLINK__" localSheetId="4"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1__FDSAUDITLINK__" localSheetId="5"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1__FDSAUDITLINK__" localSheetId="3"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1__FDSAUDITLINK__" localSheetId="1"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1__FDSAUDITLINK__"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2__FDSAUDITLINK__" localSheetId="4"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2__FDSAUDITLINK__" localSheetId="5"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2__FDSAUDITLINK__" localSheetId="3"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2__FDSAUDITLINK__" localSheetId="1"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2__FDSAUDITLINK__"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3__FDSAUDITLINK__" localSheetId="4"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3__FDSAUDITLINK__" localSheetId="5"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3__FDSAUDITLINK__" localSheetId="3"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3__FDSAUDITLINK__" localSheetId="1"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3__FDSAUDITLINK__"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4__FDSAUDITLINK__" localSheetId="4"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4__FDSAUDITLINK__" localSheetId="5"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4__FDSAUDITLINK__" localSheetId="3"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4__FDSAUDITLINK__" localSheetId="1"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4__FDSAUDITLINK__"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5__FDSAUDITLINK__" localSheetId="4"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5__FDSAUDITLINK__" localSheetId="5"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5__FDSAUDITLINK__" localSheetId="3"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5__FDSAUDITLINK__" localSheetId="1"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5__FDSAUDITLINK__"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6__FDSAUDITLINK__" localSheetId="4"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6__FDSAUDITLINK__" localSheetId="5"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6__FDSAUDITLINK__" localSheetId="3"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6__FDSAUDITLINK__" localSheetId="1"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6__FDSAUDITLINK__"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7__FDSAUDITLINK__" localSheetId="4"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7__FDSAUDITLINK__" localSheetId="5"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7__FDSAUDITLINK__" localSheetId="3"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7__FDSAUDITLINK__" localSheetId="1"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7__FDSAUDITLINK__"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8__FDSAUDITLINK__" localSheetId="4"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8__FDSAUDITLINK__" localSheetId="5"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8__FDSAUDITLINK__" localSheetId="3"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8__FDSAUDITLINK__" localSheetId="1"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8__FDSAUDITLINK__"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9__FDSAUDITLINK__" localSheetId="4"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09__FDSAUDITLINK__" localSheetId="5"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09__FDSAUDITLINK__" localSheetId="3"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09__FDSAUDITLINK__" localSheetId="1"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09__FDSAUDITLINK__"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1__FDSAUDITLINK__" localSheetId="4"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__FDSAUDITLINK__" localSheetId="5"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__FDSAUDITLINK__" localSheetId="3"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__FDSAUDITLINK__" localSheetId="1"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__FDSAUDITLINK__"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0__FDSAUDITLINK__" localSheetId="4"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0__FDSAUDITLINK__" localSheetId="5"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0__FDSAUDITLINK__" localSheetId="3"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0__FDSAUDITLINK__" localSheetId="1"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0__FDSAUDITLINK__"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1__FDSAUDITLINK__" localSheetId="4"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1__FDSAUDITLINK__" localSheetId="5"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1__FDSAUDITLINK__" localSheetId="3"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1__FDSAUDITLINK__" localSheetId="1"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1__FDSAUDITLINK__"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2__FDSAUDITLINK__" localSheetId="4"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2__FDSAUDITLINK__" localSheetId="5"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2__FDSAUDITLINK__" localSheetId="3"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2__FDSAUDITLINK__" localSheetId="1"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2__FDSAUDITLINK__"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3__FDSAUDITLINK__" localSheetId="4"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3__FDSAUDITLINK__" localSheetId="5"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3__FDSAUDITLINK__" localSheetId="3"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3__FDSAUDITLINK__" localSheetId="1"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3__FDSAUDITLINK__"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4__FDSAUDITLINK__" localSheetId="4"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4__FDSAUDITLINK__" localSheetId="5"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4__FDSAUDITLINK__" localSheetId="3"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4__FDSAUDITLINK__" localSheetId="1"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4__FDSAUDITLINK__"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5__FDSAUDITLINK__" localSheetId="4"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5__FDSAUDITLINK__" localSheetId="5"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5__FDSAUDITLINK__" localSheetId="3"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5__FDSAUDITLINK__" localSheetId="1"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5__FDSAUDITLINK__"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6__FDSAUDITLINK__" localSheetId="4"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6__FDSAUDITLINK__" localSheetId="5"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6__FDSAUDITLINK__" localSheetId="3"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6__FDSAUDITLINK__" localSheetId="1"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6__FDSAUDITLINK__"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7__FDSAUDITLINK__" localSheetId="4"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7__FDSAUDITLINK__" localSheetId="5"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7__FDSAUDITLINK__" localSheetId="3"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7__FDSAUDITLINK__" localSheetId="1"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7__FDSAUDITLINK__"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8__FDSAUDITLINK__" localSheetId="4"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8__FDSAUDITLINK__" localSheetId="5"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8__FDSAUDITLINK__" localSheetId="3"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8__FDSAUDITLINK__" localSheetId="1"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8__FDSAUDITLINK__"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9__FDSAUDITLINK__" localSheetId="4"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19__FDSAUDITLINK__" localSheetId="5"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19__FDSAUDITLINK__" localSheetId="3"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19__FDSAUDITLINK__" localSheetId="1"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19__FDSAUDITLINK__"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2__FDSAUDITLINK__" localSheetId="4"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__FDSAUDITLINK__" localSheetId="5"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__FDSAUDITLINK__" localSheetId="3"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__FDSAUDITLINK__" localSheetId="1"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__FDSAUDITLINK__"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0__FDSAUDITLINK__" localSheetId="4"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0__FDSAUDITLINK__" localSheetId="5"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0__FDSAUDITLINK__" localSheetId="3"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0__FDSAUDITLINK__" localSheetId="1"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0__FDSAUDITLINK__"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1__FDSAUDITLINK__" localSheetId="4"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1__FDSAUDITLINK__" localSheetId="5"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1__FDSAUDITLINK__" localSheetId="3"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1__FDSAUDITLINK__" localSheetId="1"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1__FDSAUDITLINK__"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2__FDSAUDITLINK__" localSheetId="4"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2__FDSAUDITLINK__" localSheetId="5"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2__FDSAUDITLINK__" localSheetId="3"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2__FDSAUDITLINK__" localSheetId="1"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2__FDSAUDITLINK__"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3__FDSAUDITLINK__" localSheetId="4"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3__FDSAUDITLINK__" localSheetId="5"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3__FDSAUDITLINK__" localSheetId="3"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3__FDSAUDITLINK__" localSheetId="1"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3__FDSAUDITLINK__"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4__FDSAUDITLINK__" localSheetId="4"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4__FDSAUDITLINK__" localSheetId="5"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4__FDSAUDITLINK__" localSheetId="3"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4__FDSAUDITLINK__" localSheetId="1"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4__FDSAUDITLINK__"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5__FDSAUDITLINK__" localSheetId="4"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5__FDSAUDITLINK__" localSheetId="5"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5__FDSAUDITLINK__" localSheetId="3"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5__FDSAUDITLINK__" localSheetId="1"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5__FDSAUDITLINK__"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6__FDSAUDITLINK__" localSheetId="4"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6__FDSAUDITLINK__" localSheetId="5"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6__FDSAUDITLINK__" localSheetId="3"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6__FDSAUDITLINK__" localSheetId="1"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6__FDSAUDITLINK__"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7__FDSAUDITLINK__" localSheetId="4"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7__FDSAUDITLINK__" localSheetId="5"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7__FDSAUDITLINK__" localSheetId="3"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7__FDSAUDITLINK__" localSheetId="1"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7__FDSAUDITLINK__"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8__FDSAUDITLINK__" localSheetId="4"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8__FDSAUDITLINK__" localSheetId="5"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8__FDSAUDITLINK__" localSheetId="3"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8__FDSAUDITLINK__" localSheetId="1"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8__FDSAUDITLINK__"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9__FDSAUDITLINK__" localSheetId="4"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29__FDSAUDITLINK__" localSheetId="5"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29__FDSAUDITLINK__" localSheetId="3"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29__FDSAUDITLINK__" localSheetId="1"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29__FDSAUDITLINK__"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3__FDSAUDITLINK__" localSheetId="4"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__FDSAUDITLINK__" localSheetId="5"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__FDSAUDITLINK__" localSheetId="3"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__FDSAUDITLINK__" localSheetId="1"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__FDSAUDITLINK__"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0__FDSAUDITLINK__" localSheetId="4"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0__FDSAUDITLINK__" localSheetId="5"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0__FDSAUDITLINK__" localSheetId="3"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0__FDSAUDITLINK__" localSheetId="1"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0__FDSAUDITLINK__"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1__FDSAUDITLINK__" localSheetId="4"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1__FDSAUDITLINK__" localSheetId="5"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1__FDSAUDITLINK__" localSheetId="3"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1__FDSAUDITLINK__" localSheetId="1"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1__FDSAUDITLINK__"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2__FDSAUDITLINK__" localSheetId="4"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2__FDSAUDITLINK__" localSheetId="5"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2__FDSAUDITLINK__" localSheetId="3"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2__FDSAUDITLINK__" localSheetId="1"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2__FDSAUDITLINK__"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3__FDSAUDITLINK__" localSheetId="4"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3__FDSAUDITLINK__" localSheetId="5"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3__FDSAUDITLINK__" localSheetId="3"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3__FDSAUDITLINK__" localSheetId="1"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3__FDSAUDITLINK__"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4__FDSAUDITLINK__" localSheetId="4"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4__FDSAUDITLINK__" localSheetId="5"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4__FDSAUDITLINK__" localSheetId="3"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4__FDSAUDITLINK__" localSheetId="1"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4__FDSAUDITLINK__"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5__FDSAUDITLINK__" localSheetId="4"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5__FDSAUDITLINK__" localSheetId="5"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5__FDSAUDITLINK__" localSheetId="3"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5__FDSAUDITLINK__" localSheetId="1"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5__FDSAUDITLINK__"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6__FDSAUDITLINK__" localSheetId="4"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6__FDSAUDITLINK__" localSheetId="5"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6__FDSAUDITLINK__" localSheetId="3"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6__FDSAUDITLINK__" localSheetId="1"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6__FDSAUDITLINK__"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7__FDSAUDITLINK__" localSheetId="4"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7__FDSAUDITLINK__" localSheetId="5"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7__FDSAUDITLINK__" localSheetId="3"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7__FDSAUDITLINK__" localSheetId="1"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7__FDSAUDITLINK__"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8__FDSAUDITLINK__" localSheetId="4"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8__FDSAUDITLINK__" localSheetId="5"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8__FDSAUDITLINK__" localSheetId="3"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8__FDSAUDITLINK__" localSheetId="1"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8__FDSAUDITLINK__"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9__FDSAUDITLINK__" localSheetId="4"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39__FDSAUDITLINK__" localSheetId="5"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39__FDSAUDITLINK__" localSheetId="3"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39__FDSAUDITLINK__" localSheetId="1"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39__FDSAUDITLINK__"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4__FDSAUDITLINK__" localSheetId="4"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__FDSAUDITLINK__" localSheetId="5"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__FDSAUDITLINK__" localSheetId="3"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__FDSAUDITLINK__" localSheetId="1"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__FDSAUDITLINK__"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0__FDSAUDITLINK__" localSheetId="4"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0__FDSAUDITLINK__" localSheetId="5"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0__FDSAUDITLINK__" localSheetId="3"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0__FDSAUDITLINK__" localSheetId="1"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0__FDSAUDITLINK__"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1__FDSAUDITLINK__" localSheetId="4"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1__FDSAUDITLINK__" localSheetId="5"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1__FDSAUDITLINK__" localSheetId="3"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1__FDSAUDITLINK__" localSheetId="1"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1__FDSAUDITLINK__"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2__FDSAUDITLINK__" localSheetId="4"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2__FDSAUDITLINK__" localSheetId="5"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2__FDSAUDITLINK__" localSheetId="3"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2__FDSAUDITLINK__" localSheetId="1"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2__FDSAUDITLINK__"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3__FDSAUDITLINK__" localSheetId="4"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3__FDSAUDITLINK__" localSheetId="5"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3__FDSAUDITLINK__" localSheetId="3"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3__FDSAUDITLINK__" localSheetId="1"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3__FDSAUDITLINK__"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4__FDSAUDITLINK__" localSheetId="4"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4__FDSAUDITLINK__" localSheetId="5"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4__FDSAUDITLINK__" localSheetId="3"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4__FDSAUDITLINK__" localSheetId="1"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4__FDSAUDITLINK__"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5__FDSAUDITLINK__" localSheetId="4"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5__FDSAUDITLINK__" localSheetId="5"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5__FDSAUDITLINK__" localSheetId="3"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5__FDSAUDITLINK__" localSheetId="1"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5__FDSAUDITLINK__"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6__FDSAUDITLINK__" localSheetId="4"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6__FDSAUDITLINK__" localSheetId="5"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6__FDSAUDITLINK__" localSheetId="3"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6__FDSAUDITLINK__" localSheetId="1"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6__FDSAUDITLINK__"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7__FDSAUDITLINK__" localSheetId="4"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7__FDSAUDITLINK__" localSheetId="5"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7__FDSAUDITLINK__" localSheetId="3"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7__FDSAUDITLINK__" localSheetId="1"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7__FDSAUDITLINK__"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8__FDSAUDITLINK__" localSheetId="4"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8__FDSAUDITLINK__" localSheetId="5"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8__FDSAUDITLINK__" localSheetId="3"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8__FDSAUDITLINK__" localSheetId="1"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8__FDSAUDITLINK__"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9__FDSAUDITLINK__" localSheetId="4"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49__FDSAUDITLINK__" localSheetId="5"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49__FDSAUDITLINK__" localSheetId="3"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49__FDSAUDITLINK__" localSheetId="1"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49__FDSAUDITLINK__"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5__FDSAUDITLINK__" localSheetId="4"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__FDSAUDITLINK__" localSheetId="5"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__FDSAUDITLINK__" localSheetId="3"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__FDSAUDITLINK__" localSheetId="1"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__FDSAUDITLINK__"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0__FDSAUDITLINK__" localSheetId="4"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0__FDSAUDITLINK__" localSheetId="5"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0__FDSAUDITLINK__" localSheetId="3"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0__FDSAUDITLINK__" localSheetId="1"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0__FDSAUDITLINK__"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1__FDSAUDITLINK__" localSheetId="4"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1__FDSAUDITLINK__" localSheetId="5"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1__FDSAUDITLINK__" localSheetId="3"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1__FDSAUDITLINK__" localSheetId="1"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1__FDSAUDITLINK__"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2__FDSAUDITLINK__" localSheetId="4"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2__FDSAUDITLINK__" localSheetId="5"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2__FDSAUDITLINK__" localSheetId="3"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2__FDSAUDITLINK__" localSheetId="1"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2__FDSAUDITLINK__"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3__FDSAUDITLINK__" localSheetId="4"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3__FDSAUDITLINK__" localSheetId="5"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3__FDSAUDITLINK__" localSheetId="3"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3__FDSAUDITLINK__" localSheetId="1"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3__FDSAUDITLINK__"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4__FDSAUDITLINK__" localSheetId="4"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4__FDSAUDITLINK__" localSheetId="5"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4__FDSAUDITLINK__" localSheetId="3"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4__FDSAUDITLINK__" localSheetId="1"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4__FDSAUDITLINK__"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5__FDSAUDITLINK__" localSheetId="4"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5__FDSAUDITLINK__" localSheetId="5"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5__FDSAUDITLINK__" localSheetId="3"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5__FDSAUDITLINK__" localSheetId="1"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5__FDSAUDITLINK__"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6__FDSAUDITLINK__" localSheetId="4"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6__FDSAUDITLINK__" localSheetId="5"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6__FDSAUDITLINK__" localSheetId="3"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6__FDSAUDITLINK__" localSheetId="1"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6__FDSAUDITLINK__"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7__FDSAUDITLINK__" localSheetId="4"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7__FDSAUDITLINK__" localSheetId="5"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7__FDSAUDITLINK__" localSheetId="3"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7__FDSAUDITLINK__" localSheetId="1"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7__FDSAUDITLINK__"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8__FDSAUDITLINK__" localSheetId="4"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8__FDSAUDITLINK__" localSheetId="5"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8__FDSAUDITLINK__" localSheetId="3"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8__FDSAUDITLINK__" localSheetId="1"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8__FDSAUDITLINK__"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9__FDSAUDITLINK__" localSheetId="4"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59__FDSAUDITLINK__" localSheetId="5"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59__FDSAUDITLINK__" localSheetId="3"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59__FDSAUDITLINK__" localSheetId="1"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59__FDSAUDITLINK__"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6__FDSAUDITLINK__" localSheetId="4"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__FDSAUDITLINK__" localSheetId="5"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__FDSAUDITLINK__" localSheetId="3"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__FDSAUDITLINK__" localSheetId="1"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__FDSAUDITLINK__"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0__FDSAUDITLINK__" localSheetId="4"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0__FDSAUDITLINK__" localSheetId="5"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0__FDSAUDITLINK__" localSheetId="3"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0__FDSAUDITLINK__" localSheetId="1"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0__FDSAUDITLINK__"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1__FDSAUDITLINK__" localSheetId="4"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1__FDSAUDITLINK__" localSheetId="5"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1__FDSAUDITLINK__" localSheetId="3"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1__FDSAUDITLINK__" localSheetId="1"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1__FDSAUDITLINK__"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2__FDSAUDITLINK__" localSheetId="4"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2__FDSAUDITLINK__" localSheetId="5"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2__FDSAUDITLINK__" localSheetId="3"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2__FDSAUDITLINK__" localSheetId="1"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2__FDSAUDITLINK__"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3__FDSAUDITLINK__" localSheetId="4"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3__FDSAUDITLINK__" localSheetId="5"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3__FDSAUDITLINK__" localSheetId="3"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3__FDSAUDITLINK__" localSheetId="1"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3__FDSAUDITLINK__"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4__FDSAUDITLINK__" localSheetId="4"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4__FDSAUDITLINK__" localSheetId="5"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4__FDSAUDITLINK__" localSheetId="3"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4__FDSAUDITLINK__" localSheetId="1"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4__FDSAUDITLINK__"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5__FDSAUDITLINK__" localSheetId="4"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5__FDSAUDITLINK__" localSheetId="5"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5__FDSAUDITLINK__" localSheetId="3"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5__FDSAUDITLINK__" localSheetId="1"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5__FDSAUDITLINK__"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6__FDSAUDITLINK__" localSheetId="4"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6__FDSAUDITLINK__" localSheetId="5"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6__FDSAUDITLINK__" localSheetId="3"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6__FDSAUDITLINK__" localSheetId="1"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6__FDSAUDITLINK__"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7__FDSAUDITLINK__" localSheetId="4"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7__FDSAUDITLINK__" localSheetId="5"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7__FDSAUDITLINK__" localSheetId="3"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7__FDSAUDITLINK__" localSheetId="1"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7__FDSAUDITLINK__"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8__FDSAUDITLINK__" localSheetId="4"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8__FDSAUDITLINK__" localSheetId="5"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8__FDSAUDITLINK__" localSheetId="3"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8__FDSAUDITLINK__" localSheetId="1"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8__FDSAUDITLINK__"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9__FDSAUDITLINK__" localSheetId="4"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69__FDSAUDITLINK__" localSheetId="5"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69__FDSAUDITLINK__" localSheetId="3"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69__FDSAUDITLINK__" localSheetId="1"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69__FDSAUDITLINK__"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7__FDSAUDITLINK__" localSheetId="4"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__FDSAUDITLINK__" localSheetId="5"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__FDSAUDITLINK__" localSheetId="3"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__FDSAUDITLINK__" localSheetId="1"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__FDSAUDITLINK__"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0__FDSAUDITLINK__" localSheetId="4"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0__FDSAUDITLINK__" localSheetId="5"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0__FDSAUDITLINK__" localSheetId="3"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0__FDSAUDITLINK__" localSheetId="1"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0__FDSAUDITLINK__"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1__FDSAUDITLINK__" localSheetId="4"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1__FDSAUDITLINK__" localSheetId="5"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1__FDSAUDITLINK__" localSheetId="3"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1__FDSAUDITLINK__" localSheetId="1"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1__FDSAUDITLINK__"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2__FDSAUDITLINK__" localSheetId="4"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2__FDSAUDITLINK__" localSheetId="5"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2__FDSAUDITLINK__" localSheetId="3"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2__FDSAUDITLINK__" localSheetId="1"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2__FDSAUDITLINK__"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3__FDSAUDITLINK__" localSheetId="4"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3__FDSAUDITLINK__" localSheetId="5"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3__FDSAUDITLINK__" localSheetId="3"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3__FDSAUDITLINK__" localSheetId="1"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3__FDSAUDITLINK__"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4__FDSAUDITLINK__" localSheetId="4"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4__FDSAUDITLINK__" localSheetId="5"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4__FDSAUDITLINK__" localSheetId="3"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4__FDSAUDITLINK__" localSheetId="1"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4__FDSAUDITLINK__"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5__FDSAUDITLINK__" localSheetId="4"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5__FDSAUDITLINK__" localSheetId="5"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5__FDSAUDITLINK__" localSheetId="3"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5__FDSAUDITLINK__" localSheetId="1"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5__FDSAUDITLINK__"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6__FDSAUDITLINK__" localSheetId="4"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6__FDSAUDITLINK__" localSheetId="5"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6__FDSAUDITLINK__" localSheetId="3"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6__FDSAUDITLINK__" localSheetId="1"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6__FDSAUDITLINK__"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7__FDSAUDITLINK__" localSheetId="4"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7__FDSAUDITLINK__" localSheetId="5"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7__FDSAUDITLINK__" localSheetId="3"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7__FDSAUDITLINK__" localSheetId="1"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7__FDSAUDITLINK__"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8__FDSAUDITLINK__" localSheetId="4"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8__FDSAUDITLINK__" localSheetId="5"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8__FDSAUDITLINK__" localSheetId="3"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8__FDSAUDITLINK__" localSheetId="1"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8__FDSAUDITLINK__"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9__FDSAUDITLINK__" localSheetId="4"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79__FDSAUDITLINK__" localSheetId="5"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79__FDSAUDITLINK__" localSheetId="3"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79__FDSAUDITLINK__" localSheetId="1"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79__FDSAUDITLINK__"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8__FDSAUDITLINK__" localSheetId="4"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__FDSAUDITLINK__" localSheetId="5"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__FDSAUDITLINK__" localSheetId="3"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__FDSAUDITLINK__" localSheetId="1"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__FDSAUDITLINK__"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0__FDSAUDITLINK__" localSheetId="4"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0__FDSAUDITLINK__" localSheetId="5"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0__FDSAUDITLINK__" localSheetId="3"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0__FDSAUDITLINK__" localSheetId="1"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0__FDSAUDITLINK__"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1__FDSAUDITLINK__" localSheetId="4"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1__FDSAUDITLINK__" localSheetId="5"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1__FDSAUDITLINK__" localSheetId="3"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1__FDSAUDITLINK__" localSheetId="1"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1__FDSAUDITLINK__"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2__FDSAUDITLINK__" localSheetId="4"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2__FDSAUDITLINK__" localSheetId="5"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2__FDSAUDITLINK__" localSheetId="3"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2__FDSAUDITLINK__" localSheetId="1"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2__FDSAUDITLINK__"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3__FDSAUDITLINK__" localSheetId="4"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3__FDSAUDITLINK__" localSheetId="5"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3__FDSAUDITLINK__" localSheetId="3"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3__FDSAUDITLINK__" localSheetId="1"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3__FDSAUDITLINK__"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4__FDSAUDITLINK__" localSheetId="4"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4__FDSAUDITLINK__" localSheetId="5"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4__FDSAUDITLINK__" localSheetId="3"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4__FDSAUDITLINK__" localSheetId="1"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4__FDSAUDITLINK__"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5__FDSAUDITLINK__" localSheetId="4"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5__FDSAUDITLINK__" localSheetId="5"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5__FDSAUDITLINK__" localSheetId="3"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5__FDSAUDITLINK__" localSheetId="1"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5__FDSAUDITLINK__"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6__FDSAUDITLINK__" localSheetId="4"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6__FDSAUDITLINK__" localSheetId="5"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6__FDSAUDITLINK__" localSheetId="3"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6__FDSAUDITLINK__" localSheetId="1"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6__FDSAUDITLINK__"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7__FDSAUDITLINK__" localSheetId="4"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7__FDSAUDITLINK__" localSheetId="5"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7__FDSAUDITLINK__" localSheetId="3"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7__FDSAUDITLINK__" localSheetId="1"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7__FDSAUDITLINK__"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8__FDSAUDITLINK__" localSheetId="4"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8__FDSAUDITLINK__" localSheetId="5"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8__FDSAUDITLINK__" localSheetId="3"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8__FDSAUDITLINK__" localSheetId="1"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8__FDSAUDITLINK__"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9__FDSAUDITLINK__" localSheetId="4"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89__FDSAUDITLINK__" localSheetId="5"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89__FDSAUDITLINK__" localSheetId="3"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89__FDSAUDITLINK__" localSheetId="1"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89__FDSAUDITLINK__"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9__FDSAUDITLINK__" localSheetId="4"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__FDSAUDITLINK__" localSheetId="5"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__FDSAUDITLINK__" localSheetId="3"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__FDSAUDITLINK__" localSheetId="1"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__FDSAUDITLINK__"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0__FDSAUDITLINK__" localSheetId="4"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0__FDSAUDITLINK__" localSheetId="5"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0__FDSAUDITLINK__" localSheetId="3"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0__FDSAUDITLINK__" localSheetId="1"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0__FDSAUDITLINK__"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1__FDSAUDITLINK__" localSheetId="4"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1__FDSAUDITLINK__" localSheetId="5"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1__FDSAUDITLINK__" localSheetId="3"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1__FDSAUDITLINK__" localSheetId="1"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1__FDSAUDITLINK__"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2__FDSAUDITLINK__" localSheetId="4"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2__FDSAUDITLINK__" localSheetId="5"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2__FDSAUDITLINK__" localSheetId="3"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2__FDSAUDITLINK__" localSheetId="1"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2__FDSAUDITLINK__"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3__FDSAUDITLINK__" localSheetId="4"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3__FDSAUDITLINK__" localSheetId="5"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3__FDSAUDITLINK__" localSheetId="3"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3__FDSAUDITLINK__" localSheetId="1"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3__FDSAUDITLINK__"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4__FDSAUDITLINK__" localSheetId="4"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4__FDSAUDITLINK__" localSheetId="5"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4__FDSAUDITLINK__" localSheetId="3"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4__FDSAUDITLINK__" localSheetId="1"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4__FDSAUDITLINK__"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5__FDSAUDITLINK__" localSheetId="4"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5__FDSAUDITLINK__" localSheetId="5"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5__FDSAUDITLINK__" localSheetId="3"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5__FDSAUDITLINK__" localSheetId="1"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5__FDSAUDITLINK__"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6__FDSAUDITLINK__" localSheetId="4"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6__FDSAUDITLINK__" localSheetId="5"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6__FDSAUDITLINK__" localSheetId="3"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6__FDSAUDITLINK__" localSheetId="1"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6__FDSAUDITLINK__"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7__FDSAUDITLINK__" localSheetId="4"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7__FDSAUDITLINK__" localSheetId="5"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7__FDSAUDITLINK__" localSheetId="3"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7__FDSAUDITLINK__" localSheetId="1"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7__FDSAUDITLINK__"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8__FDSAUDITLINK__" localSheetId="4"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8__FDSAUDITLINK__" localSheetId="5"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8__FDSAUDITLINK__" localSheetId="3"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8__FDSAUDITLINK__" localSheetId="1"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8__FDSAUDITLINK__"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9__FDSAUDITLINK__" localSheetId="4"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499__FDSAUDITLINK__" localSheetId="5"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499__FDSAUDITLINK__" localSheetId="3"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499__FDSAUDITLINK__" localSheetId="1"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499__FDSAUDITLINK__"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5__FDSAUDITLINK__" localSheetId="4"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__FDSAUDITLINK__" localSheetId="5"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__FDSAUDITLINK__" localSheetId="3"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__FDSAUDITLINK__" localSheetId="1"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__FDSAUDITLINK__"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0__FDSAUDITLINK__" localSheetId="4"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__FDSAUDITLINK__" localSheetId="5"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__FDSAUDITLINK__" localSheetId="3"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__FDSAUDITLINK__" localSheetId="1"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__FDSAUDITLINK__"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0__FDSAUDITLINK__" localSheetId="4"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0__FDSAUDITLINK__" localSheetId="5"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0__FDSAUDITLINK__" localSheetId="3"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0__FDSAUDITLINK__" localSheetId="1"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0__FDSAUDITLINK__"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1__FDSAUDITLINK__" localSheetId="4"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1__FDSAUDITLINK__" localSheetId="5"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1__FDSAUDITLINK__" localSheetId="3"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1__FDSAUDITLINK__" localSheetId="1"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1__FDSAUDITLINK__"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2__FDSAUDITLINK__" localSheetId="4"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2__FDSAUDITLINK__" localSheetId="5"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2__FDSAUDITLINK__" localSheetId="3"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2__FDSAUDITLINK__" localSheetId="1"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2__FDSAUDITLINK__"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3__FDSAUDITLINK__" localSheetId="4"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3__FDSAUDITLINK__" localSheetId="5"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3__FDSAUDITLINK__" localSheetId="3"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3__FDSAUDITLINK__" localSheetId="1"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3__FDSAUDITLINK__"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4__FDSAUDITLINK__" localSheetId="4"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4__FDSAUDITLINK__" localSheetId="5"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4__FDSAUDITLINK__" localSheetId="3"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4__FDSAUDITLINK__" localSheetId="1"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4__FDSAUDITLINK__"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5__FDSAUDITLINK__" localSheetId="4"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5__FDSAUDITLINK__" localSheetId="5"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5__FDSAUDITLINK__" localSheetId="3"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5__FDSAUDITLINK__" localSheetId="1"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5__FDSAUDITLINK__"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6__FDSAUDITLINK__" localSheetId="4"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6__FDSAUDITLINK__" localSheetId="5"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6__FDSAUDITLINK__" localSheetId="3"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6__FDSAUDITLINK__" localSheetId="1"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6__FDSAUDITLINK__"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7__FDSAUDITLINK__" localSheetId="4"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7__FDSAUDITLINK__" localSheetId="5"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7__FDSAUDITLINK__" localSheetId="3"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7__FDSAUDITLINK__" localSheetId="1"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7__FDSAUDITLINK__"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8__FDSAUDITLINK__" localSheetId="4"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8__FDSAUDITLINK__" localSheetId="5"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8__FDSAUDITLINK__" localSheetId="3"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8__FDSAUDITLINK__" localSheetId="1"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8__FDSAUDITLINK__"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9__FDSAUDITLINK__" localSheetId="4"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09__FDSAUDITLINK__" localSheetId="5"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09__FDSAUDITLINK__" localSheetId="3"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09__FDSAUDITLINK__" localSheetId="1"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09__FDSAUDITLINK__"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1__FDSAUDITLINK__" localSheetId="4"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__FDSAUDITLINK__" localSheetId="5"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__FDSAUDITLINK__" localSheetId="3"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__FDSAUDITLINK__" localSheetId="1"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__FDSAUDITLINK__"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0__FDSAUDITLINK__" localSheetId="4"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0__FDSAUDITLINK__" localSheetId="5"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0__FDSAUDITLINK__" localSheetId="3"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0__FDSAUDITLINK__" localSheetId="1"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0__FDSAUDITLINK__"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1__FDSAUDITLINK__" localSheetId="4"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1__FDSAUDITLINK__" localSheetId="5"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1__FDSAUDITLINK__" localSheetId="3"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1__FDSAUDITLINK__" localSheetId="1"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1__FDSAUDITLINK__"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2__FDSAUDITLINK__" localSheetId="4"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2__FDSAUDITLINK__" localSheetId="5"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2__FDSAUDITLINK__" localSheetId="3"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2__FDSAUDITLINK__" localSheetId="1"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2__FDSAUDITLINK__"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3__FDSAUDITLINK__" localSheetId="4"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3__FDSAUDITLINK__" localSheetId="5"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3__FDSAUDITLINK__" localSheetId="3"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3__FDSAUDITLINK__" localSheetId="1"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3__FDSAUDITLINK__"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4__FDSAUDITLINK__" localSheetId="4"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4__FDSAUDITLINK__" localSheetId="5"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4__FDSAUDITLINK__" localSheetId="3"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4__FDSAUDITLINK__" localSheetId="1"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4__FDSAUDITLINK__"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5__FDSAUDITLINK__" localSheetId="4"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5__FDSAUDITLINK__" localSheetId="5"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5__FDSAUDITLINK__" localSheetId="3"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5__FDSAUDITLINK__" localSheetId="1"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5__FDSAUDITLINK__"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6__FDSAUDITLINK__" localSheetId="4"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6__FDSAUDITLINK__" localSheetId="5"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6__FDSAUDITLINK__" localSheetId="3"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6__FDSAUDITLINK__" localSheetId="1"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6__FDSAUDITLINK__"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7__FDSAUDITLINK__" localSheetId="4"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7__FDSAUDITLINK__" localSheetId="5"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7__FDSAUDITLINK__" localSheetId="3"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7__FDSAUDITLINK__" localSheetId="1"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7__FDSAUDITLINK__"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8__FDSAUDITLINK__" localSheetId="4"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8__FDSAUDITLINK__" localSheetId="5"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8__FDSAUDITLINK__" localSheetId="3"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8__FDSAUDITLINK__" localSheetId="1"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8__FDSAUDITLINK__"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9__FDSAUDITLINK__" localSheetId="4"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19__FDSAUDITLINK__" localSheetId="5"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19__FDSAUDITLINK__" localSheetId="3"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19__FDSAUDITLINK__" localSheetId="1"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19__FDSAUDITLINK__"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2__FDSAUDITLINK__" localSheetId="4"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__FDSAUDITLINK__" localSheetId="5"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__FDSAUDITLINK__" localSheetId="3"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__FDSAUDITLINK__" localSheetId="1"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__FDSAUDITLINK__"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0__FDSAUDITLINK__" localSheetId="4"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0__FDSAUDITLINK__" localSheetId="5"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0__FDSAUDITLINK__" localSheetId="3"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0__FDSAUDITLINK__" localSheetId="1"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0__FDSAUDITLINK__"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1__FDSAUDITLINK__" localSheetId="4"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1__FDSAUDITLINK__" localSheetId="5"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1__FDSAUDITLINK__" localSheetId="3"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1__FDSAUDITLINK__" localSheetId="1"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1__FDSAUDITLINK__"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2__FDSAUDITLINK__" localSheetId="4"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2__FDSAUDITLINK__" localSheetId="5"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2__FDSAUDITLINK__" localSheetId="3"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2__FDSAUDITLINK__" localSheetId="1"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2__FDSAUDITLINK__"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3__FDSAUDITLINK__" localSheetId="4"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3__FDSAUDITLINK__" localSheetId="5"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3__FDSAUDITLINK__" localSheetId="3"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3__FDSAUDITLINK__" localSheetId="1"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3__FDSAUDITLINK__"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4__FDSAUDITLINK__" localSheetId="4"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4__FDSAUDITLINK__" localSheetId="5"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4__FDSAUDITLINK__" localSheetId="3"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4__FDSAUDITLINK__" localSheetId="1"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4__FDSAUDITLINK__"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5__FDSAUDITLINK__" localSheetId="4"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5__FDSAUDITLINK__" localSheetId="5"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5__FDSAUDITLINK__" localSheetId="3"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5__FDSAUDITLINK__" localSheetId="1"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5__FDSAUDITLINK__"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6__FDSAUDITLINK__" localSheetId="4"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6__FDSAUDITLINK__" localSheetId="5"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6__FDSAUDITLINK__" localSheetId="3"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6__FDSAUDITLINK__" localSheetId="1"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6__FDSAUDITLINK__"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7__FDSAUDITLINK__" localSheetId="4"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7__FDSAUDITLINK__" localSheetId="5"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7__FDSAUDITLINK__" localSheetId="3"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7__FDSAUDITLINK__" localSheetId="1"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7__FDSAUDITLINK__"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8__FDSAUDITLINK__" localSheetId="4"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8__FDSAUDITLINK__" localSheetId="5"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8__FDSAUDITLINK__" localSheetId="3"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8__FDSAUDITLINK__" localSheetId="1"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8__FDSAUDITLINK__"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9__FDSAUDITLINK__" localSheetId="4"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29__FDSAUDITLINK__" localSheetId="5"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29__FDSAUDITLINK__" localSheetId="3"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29__FDSAUDITLINK__" localSheetId="1"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29__FDSAUDITLINK__"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3__FDSAUDITLINK__" localSheetId="4"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__FDSAUDITLINK__" localSheetId="5"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__FDSAUDITLINK__" localSheetId="3"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__FDSAUDITLINK__" localSheetId="1"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__FDSAUDITLINK__"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0__FDSAUDITLINK__" localSheetId="4"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0__FDSAUDITLINK__" localSheetId="5"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0__FDSAUDITLINK__" localSheetId="3"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0__FDSAUDITLINK__" localSheetId="1"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0__FDSAUDITLINK__"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1__FDSAUDITLINK__" localSheetId="4"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1__FDSAUDITLINK__" localSheetId="5"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1__FDSAUDITLINK__" localSheetId="3"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1__FDSAUDITLINK__" localSheetId="1"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1__FDSAUDITLINK__"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2__FDSAUDITLINK__" localSheetId="4"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2__FDSAUDITLINK__" localSheetId="5"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2__FDSAUDITLINK__" localSheetId="3"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2__FDSAUDITLINK__" localSheetId="1"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2__FDSAUDITLINK__"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3__FDSAUDITLINK__" localSheetId="4"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3__FDSAUDITLINK__" localSheetId="5"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3__FDSAUDITLINK__" localSheetId="3"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3__FDSAUDITLINK__" localSheetId="1"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3__FDSAUDITLINK__"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4__FDSAUDITLINK__" localSheetId="4"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4__FDSAUDITLINK__" localSheetId="5"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4__FDSAUDITLINK__" localSheetId="3"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4__FDSAUDITLINK__" localSheetId="1"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4__FDSAUDITLINK__"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5__FDSAUDITLINK__" localSheetId="4"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5__FDSAUDITLINK__" localSheetId="5"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5__FDSAUDITLINK__" localSheetId="3"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5__FDSAUDITLINK__" localSheetId="1"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5__FDSAUDITLINK__"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6__FDSAUDITLINK__" localSheetId="4"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6__FDSAUDITLINK__" localSheetId="5"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6__FDSAUDITLINK__" localSheetId="3"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6__FDSAUDITLINK__" localSheetId="1"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6__FDSAUDITLINK__"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7__FDSAUDITLINK__" localSheetId="4"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7__FDSAUDITLINK__" localSheetId="5"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7__FDSAUDITLINK__" localSheetId="3"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7__FDSAUDITLINK__" localSheetId="1"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7__FDSAUDITLINK__"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8__FDSAUDITLINK__" localSheetId="4"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8__FDSAUDITLINK__" localSheetId="5"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8__FDSAUDITLINK__" localSheetId="3"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8__FDSAUDITLINK__" localSheetId="1"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8__FDSAUDITLINK__"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9__FDSAUDITLINK__" localSheetId="4"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39__FDSAUDITLINK__" localSheetId="5"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39__FDSAUDITLINK__" localSheetId="3"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39__FDSAUDITLINK__" localSheetId="1"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39__FDSAUDITLINK__"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4__FDSAUDITLINK__" localSheetId="4"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__FDSAUDITLINK__" localSheetId="5"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__FDSAUDITLINK__" localSheetId="3"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__FDSAUDITLINK__" localSheetId="1"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__FDSAUDITLINK__"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0__FDSAUDITLINK__" localSheetId="4"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0__FDSAUDITLINK__" localSheetId="5"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0__FDSAUDITLINK__" localSheetId="3"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0__FDSAUDITLINK__" localSheetId="1"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0__FDSAUDITLINK__"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1__FDSAUDITLINK__" localSheetId="4"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1__FDSAUDITLINK__" localSheetId="5"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1__FDSAUDITLINK__" localSheetId="3"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1__FDSAUDITLINK__" localSheetId="1"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1__FDSAUDITLINK__"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2__FDSAUDITLINK__" localSheetId="4"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2__FDSAUDITLINK__" localSheetId="5"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2__FDSAUDITLINK__" localSheetId="3"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2__FDSAUDITLINK__" localSheetId="1"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2__FDSAUDITLINK__"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3__FDSAUDITLINK__" localSheetId="4"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3__FDSAUDITLINK__" localSheetId="5"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3__FDSAUDITLINK__" localSheetId="3"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3__FDSAUDITLINK__" localSheetId="1"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3__FDSAUDITLINK__"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4__FDSAUDITLINK__" localSheetId="4"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4__FDSAUDITLINK__" localSheetId="5"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4__FDSAUDITLINK__" localSheetId="3"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4__FDSAUDITLINK__" localSheetId="1"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4__FDSAUDITLINK__"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5__FDSAUDITLINK__" localSheetId="4"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5__FDSAUDITLINK__" localSheetId="5"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5__FDSAUDITLINK__" localSheetId="3"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5__FDSAUDITLINK__" localSheetId="1"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5__FDSAUDITLINK__"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6__FDSAUDITLINK__" localSheetId="4"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6__FDSAUDITLINK__" localSheetId="5"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6__FDSAUDITLINK__" localSheetId="3"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6__FDSAUDITLINK__" localSheetId="1"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6__FDSAUDITLINK__"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7__FDSAUDITLINK__" localSheetId="4"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7__FDSAUDITLINK__" localSheetId="5"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7__FDSAUDITLINK__" localSheetId="3"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7__FDSAUDITLINK__" localSheetId="1"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7__FDSAUDITLINK__"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8__FDSAUDITLINK__" localSheetId="4"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8__FDSAUDITLINK__" localSheetId="5"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8__FDSAUDITLINK__" localSheetId="3"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8__FDSAUDITLINK__" localSheetId="1"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8__FDSAUDITLINK__"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9__FDSAUDITLINK__" localSheetId="4"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49__FDSAUDITLINK__" localSheetId="5"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49__FDSAUDITLINK__" localSheetId="3"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49__FDSAUDITLINK__" localSheetId="1"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49__FDSAUDITLINK__"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5__FDSAUDITLINK__" localSheetId="4"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__FDSAUDITLINK__" localSheetId="5"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__FDSAUDITLINK__" localSheetId="3"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__FDSAUDITLINK__" localSheetId="1"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__FDSAUDITLINK__"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0__FDSAUDITLINK__" localSheetId="4"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0__FDSAUDITLINK__" localSheetId="5"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0__FDSAUDITLINK__" localSheetId="3"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0__FDSAUDITLINK__" localSheetId="1"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0__FDSAUDITLINK__"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1__FDSAUDITLINK__" localSheetId="4"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1__FDSAUDITLINK__" localSheetId="5"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1__FDSAUDITLINK__" localSheetId="3"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1__FDSAUDITLINK__" localSheetId="1"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1__FDSAUDITLINK__"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2__FDSAUDITLINK__" localSheetId="4"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2__FDSAUDITLINK__" localSheetId="5"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2__FDSAUDITLINK__" localSheetId="3"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2__FDSAUDITLINK__" localSheetId="1"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2__FDSAUDITLINK__"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3__FDSAUDITLINK__" localSheetId="4"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3__FDSAUDITLINK__" localSheetId="5"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3__FDSAUDITLINK__" localSheetId="3"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3__FDSAUDITLINK__" localSheetId="1"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3__FDSAUDITLINK__"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4__FDSAUDITLINK__" localSheetId="4"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4__FDSAUDITLINK__" localSheetId="5"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4__FDSAUDITLINK__" localSheetId="3"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4__FDSAUDITLINK__" localSheetId="1"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4__FDSAUDITLINK__"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5__FDSAUDITLINK__" localSheetId="4"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5__FDSAUDITLINK__" localSheetId="5"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5__FDSAUDITLINK__" localSheetId="3"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5__FDSAUDITLINK__" localSheetId="1"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5__FDSAUDITLINK__"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6__FDSAUDITLINK__" localSheetId="4"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6__FDSAUDITLINK__" localSheetId="5"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6__FDSAUDITLINK__" localSheetId="3"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6__FDSAUDITLINK__" localSheetId="1"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6__FDSAUDITLINK__"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7__FDSAUDITLINK__" localSheetId="4"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7__FDSAUDITLINK__" localSheetId="5"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7__FDSAUDITLINK__" localSheetId="3"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7__FDSAUDITLINK__" localSheetId="1"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7__FDSAUDITLINK__"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8__FDSAUDITLINK__" localSheetId="4"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8__FDSAUDITLINK__" localSheetId="5"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8__FDSAUDITLINK__" localSheetId="3"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8__FDSAUDITLINK__" localSheetId="1"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8__FDSAUDITLINK__"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9__FDSAUDITLINK__" localSheetId="4"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59__FDSAUDITLINK__" localSheetId="5"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59__FDSAUDITLINK__" localSheetId="3"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59__FDSAUDITLINK__" localSheetId="1"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59__FDSAUDITLINK__"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6__FDSAUDITLINK__" localSheetId="4"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__FDSAUDITLINK__" localSheetId="5"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__FDSAUDITLINK__" localSheetId="3"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__FDSAUDITLINK__" localSheetId="1"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__FDSAUDITLINK__"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0__FDSAUDITLINK__" localSheetId="4"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0__FDSAUDITLINK__" localSheetId="5"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0__FDSAUDITLINK__" localSheetId="3"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0__FDSAUDITLINK__" localSheetId="1"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0__FDSAUDITLINK__"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1__FDSAUDITLINK__" localSheetId="4"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1__FDSAUDITLINK__" localSheetId="5"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1__FDSAUDITLINK__" localSheetId="3"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1__FDSAUDITLINK__" localSheetId="1"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1__FDSAUDITLINK__"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2__FDSAUDITLINK__" localSheetId="4"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2__FDSAUDITLINK__" localSheetId="5"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2__FDSAUDITLINK__" localSheetId="3"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2__FDSAUDITLINK__" localSheetId="1"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2__FDSAUDITLINK__"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3__FDSAUDITLINK__" localSheetId="4"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3__FDSAUDITLINK__" localSheetId="5"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3__FDSAUDITLINK__" localSheetId="3"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3__FDSAUDITLINK__" localSheetId="1"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3__FDSAUDITLINK__"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4__FDSAUDITLINK__" localSheetId="4"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4__FDSAUDITLINK__" localSheetId="5"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4__FDSAUDITLINK__" localSheetId="3"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4__FDSAUDITLINK__" localSheetId="1"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4__FDSAUDITLINK__"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5__FDSAUDITLINK__" localSheetId="4"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5__FDSAUDITLINK__" localSheetId="5"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5__FDSAUDITLINK__" localSheetId="3"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5__FDSAUDITLINK__" localSheetId="1"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5__FDSAUDITLINK__"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6__FDSAUDITLINK__" localSheetId="4"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6__FDSAUDITLINK__" localSheetId="5"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6__FDSAUDITLINK__" localSheetId="3"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6__FDSAUDITLINK__" localSheetId="1"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6__FDSAUDITLINK__"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7__FDSAUDITLINK__" localSheetId="4"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7__FDSAUDITLINK__" localSheetId="5"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7__FDSAUDITLINK__" localSheetId="3"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7__FDSAUDITLINK__" localSheetId="1"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7__FDSAUDITLINK__"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8__FDSAUDITLINK__" localSheetId="4"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8__FDSAUDITLINK__" localSheetId="5"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8__FDSAUDITLINK__" localSheetId="3"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8__FDSAUDITLINK__" localSheetId="1"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8__FDSAUDITLINK__"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9__FDSAUDITLINK__" localSheetId="4"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69__FDSAUDITLINK__" localSheetId="5"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69__FDSAUDITLINK__" localSheetId="3"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69__FDSAUDITLINK__" localSheetId="1"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69__FDSAUDITLINK__"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7__FDSAUDITLINK__" localSheetId="4"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__FDSAUDITLINK__" localSheetId="5"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__FDSAUDITLINK__" localSheetId="3"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__FDSAUDITLINK__" localSheetId="1"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__FDSAUDITLINK__"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0__FDSAUDITLINK__" localSheetId="4"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0__FDSAUDITLINK__" localSheetId="5"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0__FDSAUDITLINK__" localSheetId="3"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0__FDSAUDITLINK__" localSheetId="1"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0__FDSAUDITLINK__"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1__FDSAUDITLINK__" localSheetId="4"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1__FDSAUDITLINK__" localSheetId="5"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1__FDSAUDITLINK__" localSheetId="3"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1__FDSAUDITLINK__" localSheetId="1"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1__FDSAUDITLINK__"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2__FDSAUDITLINK__" localSheetId="4"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2__FDSAUDITLINK__" localSheetId="5"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2__FDSAUDITLINK__" localSheetId="3"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2__FDSAUDITLINK__" localSheetId="1"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2__FDSAUDITLINK__"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3__FDSAUDITLINK__" localSheetId="4"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3__FDSAUDITLINK__" localSheetId="5"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3__FDSAUDITLINK__" localSheetId="3"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3__FDSAUDITLINK__" localSheetId="1"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3__FDSAUDITLINK__"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4__FDSAUDITLINK__" localSheetId="4"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4__FDSAUDITLINK__" localSheetId="5"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4__FDSAUDITLINK__" localSheetId="3"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4__FDSAUDITLINK__" localSheetId="1"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4__FDSAUDITLINK__"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5__FDSAUDITLINK__" localSheetId="4"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5__FDSAUDITLINK__" localSheetId="5"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5__FDSAUDITLINK__" localSheetId="3"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5__FDSAUDITLINK__" localSheetId="1"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5__FDSAUDITLINK__"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6__FDSAUDITLINK__" localSheetId="4"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6__FDSAUDITLINK__" localSheetId="5"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6__FDSAUDITLINK__" localSheetId="3"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6__FDSAUDITLINK__" localSheetId="1"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6__FDSAUDITLINK__"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7__FDSAUDITLINK__" localSheetId="4"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7__FDSAUDITLINK__" localSheetId="5"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7__FDSAUDITLINK__" localSheetId="3"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7__FDSAUDITLINK__" localSheetId="1"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7__FDSAUDITLINK__"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8__FDSAUDITLINK__" localSheetId="4"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8__FDSAUDITLINK__" localSheetId="5"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8__FDSAUDITLINK__" localSheetId="3"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8__FDSAUDITLINK__" localSheetId="1"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8__FDSAUDITLINK__"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9__FDSAUDITLINK__" localSheetId="4"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79__FDSAUDITLINK__" localSheetId="5"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79__FDSAUDITLINK__" localSheetId="3"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79__FDSAUDITLINK__" localSheetId="1"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79__FDSAUDITLINK__"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8__FDSAUDITLINK__" localSheetId="4"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__FDSAUDITLINK__" localSheetId="5"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__FDSAUDITLINK__" localSheetId="3"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__FDSAUDITLINK__" localSheetId="1"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__FDSAUDITLINK__"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0__FDSAUDITLINK__" localSheetId="4"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0__FDSAUDITLINK__" localSheetId="5"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0__FDSAUDITLINK__" localSheetId="3"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0__FDSAUDITLINK__" localSheetId="1"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0__FDSAUDITLINK__"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1__FDSAUDITLINK__" localSheetId="4"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1__FDSAUDITLINK__" localSheetId="5"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1__FDSAUDITLINK__" localSheetId="3"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1__FDSAUDITLINK__" localSheetId="1"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1__FDSAUDITLINK__"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2__FDSAUDITLINK__" localSheetId="4"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2__FDSAUDITLINK__" localSheetId="5"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2__FDSAUDITLINK__" localSheetId="3"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2__FDSAUDITLINK__" localSheetId="1"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2__FDSAUDITLINK__"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3__FDSAUDITLINK__" localSheetId="4"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3__FDSAUDITLINK__" localSheetId="5"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3__FDSAUDITLINK__" localSheetId="3"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3__FDSAUDITLINK__" localSheetId="1"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3__FDSAUDITLINK__"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4__FDSAUDITLINK__" localSheetId="4"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4__FDSAUDITLINK__" localSheetId="5"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4__FDSAUDITLINK__" localSheetId="3"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4__FDSAUDITLINK__" localSheetId="1"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4__FDSAUDITLINK__"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5__FDSAUDITLINK__" localSheetId="4"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5__FDSAUDITLINK__" localSheetId="5"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5__FDSAUDITLINK__" localSheetId="3"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5__FDSAUDITLINK__" localSheetId="1"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5__FDSAUDITLINK__"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6__FDSAUDITLINK__" localSheetId="4"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6__FDSAUDITLINK__" localSheetId="5"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6__FDSAUDITLINK__" localSheetId="3"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6__FDSAUDITLINK__" localSheetId="1"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6__FDSAUDITLINK__"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7__FDSAUDITLINK__" localSheetId="4"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7__FDSAUDITLINK__" localSheetId="5"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7__FDSAUDITLINK__" localSheetId="3"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7__FDSAUDITLINK__" localSheetId="1"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7__FDSAUDITLINK__"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8__FDSAUDITLINK__" localSheetId="4"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8__FDSAUDITLINK__" localSheetId="5"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8__FDSAUDITLINK__" localSheetId="3"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8__FDSAUDITLINK__" localSheetId="1"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8__FDSAUDITLINK__"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9__FDSAUDITLINK__" localSheetId="4"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89__FDSAUDITLINK__" localSheetId="5"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89__FDSAUDITLINK__" localSheetId="3"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89__FDSAUDITLINK__" localSheetId="1"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89__FDSAUDITLINK__"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9__FDSAUDITLINK__" localSheetId="4"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__FDSAUDITLINK__" localSheetId="5"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__FDSAUDITLINK__" localSheetId="3"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__FDSAUDITLINK__" localSheetId="1"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__FDSAUDITLINK__"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0__FDSAUDITLINK__" localSheetId="4"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0__FDSAUDITLINK__" localSheetId="5"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0__FDSAUDITLINK__" localSheetId="3"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0__FDSAUDITLINK__" localSheetId="1"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0__FDSAUDITLINK__"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1__FDSAUDITLINK__" localSheetId="4"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1__FDSAUDITLINK__" localSheetId="5"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1__FDSAUDITLINK__" localSheetId="3"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1__FDSAUDITLINK__" localSheetId="1"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1__FDSAUDITLINK__"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2__FDSAUDITLINK__" localSheetId="4"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2__FDSAUDITLINK__" localSheetId="5"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2__FDSAUDITLINK__" localSheetId="3"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2__FDSAUDITLINK__" localSheetId="1"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2__FDSAUDITLINK__"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3__FDSAUDITLINK__" localSheetId="4"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3__FDSAUDITLINK__" localSheetId="5"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3__FDSAUDITLINK__" localSheetId="3"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3__FDSAUDITLINK__" localSheetId="1"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3__FDSAUDITLINK__"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4__FDSAUDITLINK__" localSheetId="4"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4__FDSAUDITLINK__" localSheetId="5"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4__FDSAUDITLINK__" localSheetId="3"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4__FDSAUDITLINK__" localSheetId="1"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4__FDSAUDITLINK__"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5__FDSAUDITLINK__" localSheetId="4"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5__FDSAUDITLINK__" localSheetId="5"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5__FDSAUDITLINK__" localSheetId="3"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5__FDSAUDITLINK__" localSheetId="1"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5__FDSAUDITLINK__"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6__FDSAUDITLINK__" localSheetId="4"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6__FDSAUDITLINK__" localSheetId="5"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6__FDSAUDITLINK__" localSheetId="3"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6__FDSAUDITLINK__" localSheetId="1"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6__FDSAUDITLINK__"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7__FDSAUDITLINK__" localSheetId="4"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7__FDSAUDITLINK__" localSheetId="5"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7__FDSAUDITLINK__" localSheetId="3"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7__FDSAUDITLINK__" localSheetId="1"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7__FDSAUDITLINK__"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8__FDSAUDITLINK__" localSheetId="4"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8__FDSAUDITLINK__" localSheetId="5"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8__FDSAUDITLINK__" localSheetId="3"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8__FDSAUDITLINK__" localSheetId="1"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8__FDSAUDITLINK__"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9__FDSAUDITLINK__" localSheetId="4"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599__FDSAUDITLINK__" localSheetId="5"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599__FDSAUDITLINK__" localSheetId="3"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599__FDSAUDITLINK__" localSheetId="1"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599__FDSAUDITLINK__"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6__FDSAUDITLINK__" localSheetId="4"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__FDSAUDITLINK__" localSheetId="5"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__FDSAUDITLINK__" localSheetId="3"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__FDSAUDITLINK__" localSheetId="1"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__FDSAUDITLINK__"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0__FDSAUDITLINK__" localSheetId="4"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__FDSAUDITLINK__" localSheetId="5"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__FDSAUDITLINK__" localSheetId="3"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__FDSAUDITLINK__" localSheetId="1"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__FDSAUDITLINK__"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0__FDSAUDITLINK__" localSheetId="4"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0__FDSAUDITLINK__" localSheetId="5"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0__FDSAUDITLINK__" localSheetId="3"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0__FDSAUDITLINK__" localSheetId="1"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0__FDSAUDITLINK__"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1__FDSAUDITLINK__" localSheetId="4"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1__FDSAUDITLINK__" localSheetId="5"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1__FDSAUDITLINK__" localSheetId="3"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1__FDSAUDITLINK__" localSheetId="1"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1__FDSAUDITLINK__"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2__FDSAUDITLINK__" localSheetId="4"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2__FDSAUDITLINK__" localSheetId="5"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2__FDSAUDITLINK__" localSheetId="3"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2__FDSAUDITLINK__" localSheetId="1"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2__FDSAUDITLINK__"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3__FDSAUDITLINK__" localSheetId="4"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3__FDSAUDITLINK__" localSheetId="5"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3__FDSAUDITLINK__" localSheetId="3"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3__FDSAUDITLINK__" localSheetId="1"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3__FDSAUDITLINK__"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4__FDSAUDITLINK__" localSheetId="4"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4__FDSAUDITLINK__" localSheetId="5"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4__FDSAUDITLINK__" localSheetId="3"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4__FDSAUDITLINK__" localSheetId="1"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4__FDSAUDITLINK__"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5__FDSAUDITLINK__" localSheetId="4"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5__FDSAUDITLINK__" localSheetId="5"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5__FDSAUDITLINK__" localSheetId="3"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5__FDSAUDITLINK__" localSheetId="1"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5__FDSAUDITLINK__"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6__FDSAUDITLINK__" localSheetId="4"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6__FDSAUDITLINK__" localSheetId="5"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6__FDSAUDITLINK__" localSheetId="3"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6__FDSAUDITLINK__" localSheetId="1"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6__FDSAUDITLINK__"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7__FDSAUDITLINK__" localSheetId="4"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7__FDSAUDITLINK__" localSheetId="5"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7__FDSAUDITLINK__" localSheetId="3"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7__FDSAUDITLINK__" localSheetId="1"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7__FDSAUDITLINK__"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8__FDSAUDITLINK__" localSheetId="4"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8__FDSAUDITLINK__" localSheetId="5"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8__FDSAUDITLINK__" localSheetId="3"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8__FDSAUDITLINK__" localSheetId="1"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8__FDSAUDITLINK__"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9__FDSAUDITLINK__" localSheetId="4"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09__FDSAUDITLINK__" localSheetId="5"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09__FDSAUDITLINK__" localSheetId="3"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09__FDSAUDITLINK__" localSheetId="1"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09__FDSAUDITLINK__"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1__FDSAUDITLINK__" localSheetId="4"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__FDSAUDITLINK__" localSheetId="5"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__FDSAUDITLINK__" localSheetId="3"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__FDSAUDITLINK__" localSheetId="1"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__FDSAUDITLINK__"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0__FDSAUDITLINK__" localSheetId="4"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0__FDSAUDITLINK__" localSheetId="5"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0__FDSAUDITLINK__" localSheetId="3"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0__FDSAUDITLINK__" localSheetId="1"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0__FDSAUDITLINK__"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1__FDSAUDITLINK__" localSheetId="4"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1__FDSAUDITLINK__" localSheetId="5"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1__FDSAUDITLINK__" localSheetId="3"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1__FDSAUDITLINK__" localSheetId="1"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1__FDSAUDITLINK__"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2__FDSAUDITLINK__" localSheetId="4"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2__FDSAUDITLINK__" localSheetId="5"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2__FDSAUDITLINK__" localSheetId="3"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2__FDSAUDITLINK__" localSheetId="1"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2__FDSAUDITLINK__"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3__FDSAUDITLINK__" localSheetId="4"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3__FDSAUDITLINK__" localSheetId="5"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3__FDSAUDITLINK__" localSheetId="3"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3__FDSAUDITLINK__" localSheetId="1"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3__FDSAUDITLINK__"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4__FDSAUDITLINK__" localSheetId="4"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4__FDSAUDITLINK__" localSheetId="5"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4__FDSAUDITLINK__" localSheetId="3"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4__FDSAUDITLINK__" localSheetId="1"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4__FDSAUDITLINK__"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5__FDSAUDITLINK__" localSheetId="4"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5__FDSAUDITLINK__" localSheetId="5"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5__FDSAUDITLINK__" localSheetId="3"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5__FDSAUDITLINK__" localSheetId="1"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5__FDSAUDITLINK__"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6__FDSAUDITLINK__" localSheetId="4"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6__FDSAUDITLINK__" localSheetId="5"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6__FDSAUDITLINK__" localSheetId="3"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6__FDSAUDITLINK__" localSheetId="1"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6__FDSAUDITLINK__"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7__FDSAUDITLINK__" localSheetId="4"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7__FDSAUDITLINK__" localSheetId="5"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7__FDSAUDITLINK__" localSheetId="3"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7__FDSAUDITLINK__" localSheetId="1"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7__FDSAUDITLINK__"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8__FDSAUDITLINK__" localSheetId="4"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8__FDSAUDITLINK__" localSheetId="5"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8__FDSAUDITLINK__" localSheetId="3"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8__FDSAUDITLINK__" localSheetId="1"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8__FDSAUDITLINK__"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9__FDSAUDITLINK__" localSheetId="4"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19__FDSAUDITLINK__" localSheetId="5"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19__FDSAUDITLINK__" localSheetId="3"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19__FDSAUDITLINK__" localSheetId="1"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19__FDSAUDITLINK__"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2__FDSAUDITLINK__" localSheetId="4"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__FDSAUDITLINK__" localSheetId="5"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__FDSAUDITLINK__" localSheetId="3"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__FDSAUDITLINK__" localSheetId="1"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__FDSAUDITLINK__"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0__FDSAUDITLINK__" localSheetId="4"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0__FDSAUDITLINK__" localSheetId="5"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0__FDSAUDITLINK__" localSheetId="3"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0__FDSAUDITLINK__" localSheetId="1"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0__FDSAUDITLINK__"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1__FDSAUDITLINK__" localSheetId="4"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1__FDSAUDITLINK__" localSheetId="5"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1__FDSAUDITLINK__" localSheetId="3"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1__FDSAUDITLINK__" localSheetId="1"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1__FDSAUDITLINK__"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2__FDSAUDITLINK__" localSheetId="4"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2__FDSAUDITLINK__" localSheetId="5"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2__FDSAUDITLINK__" localSheetId="3"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2__FDSAUDITLINK__" localSheetId="1"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2__FDSAUDITLINK__"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3__FDSAUDITLINK__" localSheetId="4"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3__FDSAUDITLINK__" localSheetId="5"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3__FDSAUDITLINK__" localSheetId="3"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3__FDSAUDITLINK__" localSheetId="1"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3__FDSAUDITLINK__"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4__FDSAUDITLINK__" localSheetId="4"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4__FDSAUDITLINK__" localSheetId="5"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4__FDSAUDITLINK__" localSheetId="3"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4__FDSAUDITLINK__" localSheetId="1"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4__FDSAUDITLINK__"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5__FDSAUDITLINK__" localSheetId="4"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5__FDSAUDITLINK__" localSheetId="5"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5__FDSAUDITLINK__" localSheetId="3"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5__FDSAUDITLINK__" localSheetId="1"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5__FDSAUDITLINK__"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6__FDSAUDITLINK__" localSheetId="4"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6__FDSAUDITLINK__" localSheetId="5"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6__FDSAUDITLINK__" localSheetId="3"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6__FDSAUDITLINK__" localSheetId="1"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6__FDSAUDITLINK__"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7__FDSAUDITLINK__" localSheetId="4"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7__FDSAUDITLINK__" localSheetId="5"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7__FDSAUDITLINK__" localSheetId="3"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7__FDSAUDITLINK__" localSheetId="1"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7__FDSAUDITLINK__"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8__FDSAUDITLINK__" localSheetId="4"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8__FDSAUDITLINK__" localSheetId="5"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8__FDSAUDITLINK__" localSheetId="3"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8__FDSAUDITLINK__" localSheetId="1"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8__FDSAUDITLINK__"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9__FDSAUDITLINK__" localSheetId="4"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29__FDSAUDITLINK__" localSheetId="5"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29__FDSAUDITLINK__" localSheetId="3"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29__FDSAUDITLINK__" localSheetId="1"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29__FDSAUDITLINK__"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3__FDSAUDITLINK__" localSheetId="4"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__FDSAUDITLINK__" localSheetId="5"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__FDSAUDITLINK__" localSheetId="3"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__FDSAUDITLINK__" localSheetId="1"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__FDSAUDITLINK__"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0__FDSAUDITLINK__" localSheetId="4"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0__FDSAUDITLINK__" localSheetId="5"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0__FDSAUDITLINK__" localSheetId="3"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0__FDSAUDITLINK__" localSheetId="1"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0__FDSAUDITLINK__"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1__FDSAUDITLINK__" localSheetId="4"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1__FDSAUDITLINK__" localSheetId="5"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1__FDSAUDITLINK__" localSheetId="3"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1__FDSAUDITLINK__" localSheetId="1"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1__FDSAUDITLINK__"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2__FDSAUDITLINK__" localSheetId="4"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2__FDSAUDITLINK__" localSheetId="5"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2__FDSAUDITLINK__" localSheetId="3"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2__FDSAUDITLINK__" localSheetId="1"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2__FDSAUDITLINK__"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3__FDSAUDITLINK__" localSheetId="4"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3__FDSAUDITLINK__" localSheetId="5"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3__FDSAUDITLINK__" localSheetId="3"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3__FDSAUDITLINK__" localSheetId="1"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3__FDSAUDITLINK__"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4__FDSAUDITLINK__" localSheetId="4"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4__FDSAUDITLINK__" localSheetId="5"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4__FDSAUDITLINK__" localSheetId="3"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4__FDSAUDITLINK__" localSheetId="1"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4__FDSAUDITLINK__"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5__FDSAUDITLINK__" localSheetId="4"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5__FDSAUDITLINK__" localSheetId="5"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5__FDSAUDITLINK__" localSheetId="3"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5__FDSAUDITLINK__" localSheetId="1"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5__FDSAUDITLINK__"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6__FDSAUDITLINK__" localSheetId="4"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6__FDSAUDITLINK__" localSheetId="5"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6__FDSAUDITLINK__" localSheetId="3"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6__FDSAUDITLINK__" localSheetId="1"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6__FDSAUDITLINK__"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7__FDSAUDITLINK__" localSheetId="4"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7__FDSAUDITLINK__" localSheetId="5"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7__FDSAUDITLINK__" localSheetId="3"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7__FDSAUDITLINK__" localSheetId="1"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7__FDSAUDITLINK__"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8__FDSAUDITLINK__" localSheetId="4"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8__FDSAUDITLINK__" localSheetId="5"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8__FDSAUDITLINK__" localSheetId="3"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8__FDSAUDITLINK__" localSheetId="1"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8__FDSAUDITLINK__"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9__FDSAUDITLINK__" localSheetId="4"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39__FDSAUDITLINK__" localSheetId="5"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39__FDSAUDITLINK__" localSheetId="3"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39__FDSAUDITLINK__" localSheetId="1"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39__FDSAUDITLINK__"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4__FDSAUDITLINK__" localSheetId="4"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__FDSAUDITLINK__" localSheetId="5"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__FDSAUDITLINK__" localSheetId="3"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__FDSAUDITLINK__" localSheetId="1"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__FDSAUDITLINK__"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0__FDSAUDITLINK__" localSheetId="4"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0__FDSAUDITLINK__" localSheetId="5"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0__FDSAUDITLINK__" localSheetId="3"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0__FDSAUDITLINK__" localSheetId="1"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0__FDSAUDITLINK__"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1__FDSAUDITLINK__" localSheetId="4"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1__FDSAUDITLINK__" localSheetId="5"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1__FDSAUDITLINK__" localSheetId="3"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1__FDSAUDITLINK__" localSheetId="1"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1__FDSAUDITLINK__"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2__FDSAUDITLINK__" localSheetId="4"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2__FDSAUDITLINK__" localSheetId="5"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2__FDSAUDITLINK__" localSheetId="3"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2__FDSAUDITLINK__" localSheetId="1"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2__FDSAUDITLINK__"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3__FDSAUDITLINK__" localSheetId="4"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3__FDSAUDITLINK__" localSheetId="5"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3__FDSAUDITLINK__" localSheetId="3"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3__FDSAUDITLINK__" localSheetId="1"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3__FDSAUDITLINK__"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4__FDSAUDITLINK__" localSheetId="4"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4__FDSAUDITLINK__" localSheetId="5"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4__FDSAUDITLINK__" localSheetId="3"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4__FDSAUDITLINK__" localSheetId="1"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4__FDSAUDITLINK__"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5__FDSAUDITLINK__" localSheetId="4"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5__FDSAUDITLINK__" localSheetId="5"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5__FDSAUDITLINK__" localSheetId="3"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5__FDSAUDITLINK__" localSheetId="1"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5__FDSAUDITLINK__"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6__FDSAUDITLINK__" localSheetId="4"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6__FDSAUDITLINK__" localSheetId="5"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6__FDSAUDITLINK__" localSheetId="3"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6__FDSAUDITLINK__" localSheetId="1"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6__FDSAUDITLINK__"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7__FDSAUDITLINK__" localSheetId="4"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7__FDSAUDITLINK__" localSheetId="5"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7__FDSAUDITLINK__" localSheetId="3"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7__FDSAUDITLINK__" localSheetId="1"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7__FDSAUDITLINK__"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8__FDSAUDITLINK__" localSheetId="4"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8__FDSAUDITLINK__" localSheetId="5"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8__FDSAUDITLINK__" localSheetId="3"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8__FDSAUDITLINK__" localSheetId="1"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8__FDSAUDITLINK__"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9__FDSAUDITLINK__" localSheetId="4"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49__FDSAUDITLINK__" localSheetId="5"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49__FDSAUDITLINK__" localSheetId="3"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49__FDSAUDITLINK__" localSheetId="1"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49__FDSAUDITLINK__"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5__FDSAUDITLINK__" localSheetId="4"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__FDSAUDITLINK__" localSheetId="5"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__FDSAUDITLINK__" localSheetId="3"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__FDSAUDITLINK__" localSheetId="1"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__FDSAUDITLINK__"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0__FDSAUDITLINK__" localSheetId="4"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0__FDSAUDITLINK__" localSheetId="5"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0__FDSAUDITLINK__" localSheetId="3"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0__FDSAUDITLINK__" localSheetId="1"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0__FDSAUDITLINK__"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1__FDSAUDITLINK__" localSheetId="4"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1__FDSAUDITLINK__" localSheetId="5"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1__FDSAUDITLINK__" localSheetId="3"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1__FDSAUDITLINK__" localSheetId="1"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1__FDSAUDITLINK__"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2__FDSAUDITLINK__" localSheetId="4"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2__FDSAUDITLINK__" localSheetId="5"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2__FDSAUDITLINK__" localSheetId="3"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2__FDSAUDITLINK__" localSheetId="1"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2__FDSAUDITLINK__"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3__FDSAUDITLINK__" localSheetId="4"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3__FDSAUDITLINK__" localSheetId="5"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3__FDSAUDITLINK__" localSheetId="3"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3__FDSAUDITLINK__" localSheetId="1"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3__FDSAUDITLINK__"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4__FDSAUDITLINK__" localSheetId="4"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4__FDSAUDITLINK__" localSheetId="5"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4__FDSAUDITLINK__" localSheetId="3"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4__FDSAUDITLINK__" localSheetId="1"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4__FDSAUDITLINK__"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5__FDSAUDITLINK__" localSheetId="4"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5__FDSAUDITLINK__" localSheetId="5"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5__FDSAUDITLINK__" localSheetId="3"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5__FDSAUDITLINK__" localSheetId="1"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5__FDSAUDITLINK__"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6__FDSAUDITLINK__" localSheetId="4"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6__FDSAUDITLINK__" localSheetId="5"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6__FDSAUDITLINK__" localSheetId="3"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6__FDSAUDITLINK__" localSheetId="1"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6__FDSAUDITLINK__"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7__FDSAUDITLINK__" localSheetId="4"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7__FDSAUDITLINK__" localSheetId="5"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7__FDSAUDITLINK__" localSheetId="3"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7__FDSAUDITLINK__" localSheetId="1"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7__FDSAUDITLINK__"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8__FDSAUDITLINK__" localSheetId="4"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8__FDSAUDITLINK__" localSheetId="5"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8__FDSAUDITLINK__" localSheetId="3"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8__FDSAUDITLINK__" localSheetId="1"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8__FDSAUDITLINK__"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9__FDSAUDITLINK__" localSheetId="4"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59__FDSAUDITLINK__" localSheetId="5"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59__FDSAUDITLINK__" localSheetId="3"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59__FDSAUDITLINK__" localSheetId="1"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59__FDSAUDITLINK__"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6__FDSAUDITLINK__" localSheetId="4"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__FDSAUDITLINK__" localSheetId="5"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__FDSAUDITLINK__" localSheetId="3"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__FDSAUDITLINK__" localSheetId="1"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__FDSAUDITLINK__"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0__FDSAUDITLINK__" localSheetId="4"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0__FDSAUDITLINK__" localSheetId="5"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0__FDSAUDITLINK__" localSheetId="3"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0__FDSAUDITLINK__" localSheetId="1"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0__FDSAUDITLINK__"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1__FDSAUDITLINK__" localSheetId="4"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1__FDSAUDITLINK__" localSheetId="5"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1__FDSAUDITLINK__" localSheetId="3"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1__FDSAUDITLINK__" localSheetId="1"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1__FDSAUDITLINK__"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2__FDSAUDITLINK__" localSheetId="4"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2__FDSAUDITLINK__" localSheetId="5"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2__FDSAUDITLINK__" localSheetId="3"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2__FDSAUDITLINK__" localSheetId="1"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2__FDSAUDITLINK__"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3__FDSAUDITLINK__" localSheetId="4"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3__FDSAUDITLINK__" localSheetId="5"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3__FDSAUDITLINK__" localSheetId="3"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3__FDSAUDITLINK__" localSheetId="1"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3__FDSAUDITLINK__"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4__FDSAUDITLINK__" localSheetId="4"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4__FDSAUDITLINK__" localSheetId="5"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4__FDSAUDITLINK__" localSheetId="3"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4__FDSAUDITLINK__" localSheetId="1"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4__FDSAUDITLINK__"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5__FDSAUDITLINK__" localSheetId="4"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5__FDSAUDITLINK__" localSheetId="5"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5__FDSAUDITLINK__" localSheetId="3"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5__FDSAUDITLINK__" localSheetId="1"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5__FDSAUDITLINK__"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6__FDSAUDITLINK__" localSheetId="4"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6__FDSAUDITLINK__" localSheetId="5"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6__FDSAUDITLINK__" localSheetId="3"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6__FDSAUDITLINK__" localSheetId="1"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6__FDSAUDITLINK__"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7__FDSAUDITLINK__" localSheetId="4"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7__FDSAUDITLINK__" localSheetId="5"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7__FDSAUDITLINK__" localSheetId="3"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7__FDSAUDITLINK__" localSheetId="1"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7__FDSAUDITLINK__"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8__FDSAUDITLINK__" localSheetId="4"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8__FDSAUDITLINK__" localSheetId="5"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8__FDSAUDITLINK__" localSheetId="3"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8__FDSAUDITLINK__" localSheetId="1"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8__FDSAUDITLINK__"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9__FDSAUDITLINK__" localSheetId="4"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69__FDSAUDITLINK__" localSheetId="5"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69__FDSAUDITLINK__" localSheetId="3"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69__FDSAUDITLINK__" localSheetId="1"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69__FDSAUDITLINK__"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7__FDSAUDITLINK__" localSheetId="4"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__FDSAUDITLINK__" localSheetId="5"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__FDSAUDITLINK__" localSheetId="3"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__FDSAUDITLINK__" localSheetId="1"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__FDSAUDITLINK__"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0__FDSAUDITLINK__" localSheetId="4"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0__FDSAUDITLINK__" localSheetId="5"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0__FDSAUDITLINK__" localSheetId="3"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0__FDSAUDITLINK__" localSheetId="1"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0__FDSAUDITLINK__"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1__FDSAUDITLINK__" localSheetId="4"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1__FDSAUDITLINK__" localSheetId="5"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1__FDSAUDITLINK__" localSheetId="3"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1__FDSAUDITLINK__" localSheetId="1"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1__FDSAUDITLINK__"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2__FDSAUDITLINK__" localSheetId="4"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2__FDSAUDITLINK__" localSheetId="5"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2__FDSAUDITLINK__" localSheetId="3"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2__FDSAUDITLINK__" localSheetId="1"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2__FDSAUDITLINK__"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3__FDSAUDITLINK__" localSheetId="4"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3__FDSAUDITLINK__" localSheetId="5"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3__FDSAUDITLINK__" localSheetId="3"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3__FDSAUDITLINK__" localSheetId="1"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3__FDSAUDITLINK__"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4__FDSAUDITLINK__" localSheetId="4"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4__FDSAUDITLINK__" localSheetId="5"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4__FDSAUDITLINK__" localSheetId="3"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4__FDSAUDITLINK__" localSheetId="1"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4__FDSAUDITLINK__"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5__FDSAUDITLINK__" localSheetId="4"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5__FDSAUDITLINK__" localSheetId="5"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5__FDSAUDITLINK__" localSheetId="3"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5__FDSAUDITLINK__" localSheetId="1"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5__FDSAUDITLINK__"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6__FDSAUDITLINK__" localSheetId="4"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6__FDSAUDITLINK__" localSheetId="5"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6__FDSAUDITLINK__" localSheetId="3"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6__FDSAUDITLINK__" localSheetId="1"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6__FDSAUDITLINK__"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7__FDSAUDITLINK__" localSheetId="4"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7__FDSAUDITLINK__" localSheetId="5"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7__FDSAUDITLINK__" localSheetId="3"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7__FDSAUDITLINK__" localSheetId="1"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7__FDSAUDITLINK__"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8__FDSAUDITLINK__" localSheetId="4"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8__FDSAUDITLINK__" localSheetId="5"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8__FDSAUDITLINK__" localSheetId="3"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8__FDSAUDITLINK__" localSheetId="1"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8__FDSAUDITLINK__"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9__FDSAUDITLINK__" localSheetId="4"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79__FDSAUDITLINK__" localSheetId="5"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79__FDSAUDITLINK__" localSheetId="3"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79__FDSAUDITLINK__" localSheetId="1"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79__FDSAUDITLINK__"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8__FDSAUDITLINK__" localSheetId="4"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__FDSAUDITLINK__" localSheetId="5"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__FDSAUDITLINK__" localSheetId="3"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__FDSAUDITLINK__" localSheetId="1"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__FDSAUDITLINK__"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0__FDSAUDITLINK__" localSheetId="4"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0__FDSAUDITLINK__" localSheetId="5"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0__FDSAUDITLINK__" localSheetId="3"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0__FDSAUDITLINK__" localSheetId="1"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0__FDSAUDITLINK__"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1__FDSAUDITLINK__" localSheetId="4"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1__FDSAUDITLINK__" localSheetId="5"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1__FDSAUDITLINK__" localSheetId="3"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1__FDSAUDITLINK__" localSheetId="1"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1__FDSAUDITLINK__"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2__FDSAUDITLINK__" localSheetId="4"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2__FDSAUDITLINK__" localSheetId="5"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2__FDSAUDITLINK__" localSheetId="3"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2__FDSAUDITLINK__" localSheetId="1"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2__FDSAUDITLINK__"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3__FDSAUDITLINK__" localSheetId="4"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3__FDSAUDITLINK__" localSheetId="5"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3__FDSAUDITLINK__" localSheetId="3"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3__FDSAUDITLINK__" localSheetId="1"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3__FDSAUDITLINK__"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4__FDSAUDITLINK__" localSheetId="4"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4__FDSAUDITLINK__" localSheetId="5"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4__FDSAUDITLINK__" localSheetId="3"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4__FDSAUDITLINK__" localSheetId="1"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4__FDSAUDITLINK__"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5__FDSAUDITLINK__" localSheetId="4"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5__FDSAUDITLINK__" localSheetId="5"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5__FDSAUDITLINK__" localSheetId="3"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5__FDSAUDITLINK__" localSheetId="1"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5__FDSAUDITLINK__"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6__FDSAUDITLINK__" localSheetId="4"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6__FDSAUDITLINK__" localSheetId="5"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6__FDSAUDITLINK__" localSheetId="3"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6__FDSAUDITLINK__" localSheetId="1"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6__FDSAUDITLINK__"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7__FDSAUDITLINK__" localSheetId="4"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7__FDSAUDITLINK__" localSheetId="5"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7__FDSAUDITLINK__" localSheetId="3"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7__FDSAUDITLINK__" localSheetId="1"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7__FDSAUDITLINK__"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8__FDSAUDITLINK__" localSheetId="4"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8__FDSAUDITLINK__" localSheetId="5"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8__FDSAUDITLINK__" localSheetId="3"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8__FDSAUDITLINK__" localSheetId="1"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8__FDSAUDITLINK__"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9__FDSAUDITLINK__" localSheetId="4"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89__FDSAUDITLINK__" localSheetId="5"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89__FDSAUDITLINK__" localSheetId="3"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89__FDSAUDITLINK__" localSheetId="1"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89__FDSAUDITLINK__"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9__FDSAUDITLINK__" localSheetId="4"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__FDSAUDITLINK__" localSheetId="5"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__FDSAUDITLINK__" localSheetId="3"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__FDSAUDITLINK__" localSheetId="1"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__FDSAUDITLINK__"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0__FDSAUDITLINK__" localSheetId="4"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0__FDSAUDITLINK__" localSheetId="5"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0__FDSAUDITLINK__" localSheetId="3"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0__FDSAUDITLINK__" localSheetId="1"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0__FDSAUDITLINK__"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1__FDSAUDITLINK__" localSheetId="4"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1__FDSAUDITLINK__" localSheetId="5"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1__FDSAUDITLINK__" localSheetId="3"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1__FDSAUDITLINK__" localSheetId="1"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1__FDSAUDITLINK__"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2__FDSAUDITLINK__" localSheetId="4"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2__FDSAUDITLINK__" localSheetId="5"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2__FDSAUDITLINK__" localSheetId="3"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2__FDSAUDITLINK__" localSheetId="1"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2__FDSAUDITLINK__"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3__FDSAUDITLINK__" localSheetId="4"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3__FDSAUDITLINK__" localSheetId="5"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3__FDSAUDITLINK__" localSheetId="3"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3__FDSAUDITLINK__" localSheetId="1"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3__FDSAUDITLINK__"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4__FDSAUDITLINK__" localSheetId="4"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4__FDSAUDITLINK__" localSheetId="5"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4__FDSAUDITLINK__" localSheetId="3"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4__FDSAUDITLINK__" localSheetId="1"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4__FDSAUDITLINK__"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5__FDSAUDITLINK__" localSheetId="4"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5__FDSAUDITLINK__" localSheetId="5"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5__FDSAUDITLINK__" localSheetId="3"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5__FDSAUDITLINK__" localSheetId="1"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5__FDSAUDITLINK__"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6__FDSAUDITLINK__" localSheetId="4"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6__FDSAUDITLINK__" localSheetId="5"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6__FDSAUDITLINK__" localSheetId="3"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6__FDSAUDITLINK__" localSheetId="1"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6__FDSAUDITLINK__"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7__FDSAUDITLINK__" localSheetId="4"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7__FDSAUDITLINK__" localSheetId="5"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7__FDSAUDITLINK__" localSheetId="3"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7__FDSAUDITLINK__" localSheetId="1"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7__FDSAUDITLINK__"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8__FDSAUDITLINK__" localSheetId="4"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8__FDSAUDITLINK__" localSheetId="5"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8__FDSAUDITLINK__" localSheetId="3"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8__FDSAUDITLINK__" localSheetId="1"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8__FDSAUDITLINK__"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9__FDSAUDITLINK__" localSheetId="4"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699__FDSAUDITLINK__" localSheetId="5"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699__FDSAUDITLINK__" localSheetId="3"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699__FDSAUDITLINK__" localSheetId="1"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699__FDSAUDITLINK__"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7__FDSAUDITLINK__" localSheetId="4"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__FDSAUDITLINK__" localSheetId="5"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__FDSAUDITLINK__" localSheetId="3"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__FDSAUDITLINK__" localSheetId="1"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__FDSAUDITLINK__"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0__FDSAUDITLINK__" localSheetId="4"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__FDSAUDITLINK__" localSheetId="5"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__FDSAUDITLINK__" localSheetId="3"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__FDSAUDITLINK__" localSheetId="1"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__FDSAUDITLINK__"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0__FDSAUDITLINK__" localSheetId="4"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0__FDSAUDITLINK__" localSheetId="5"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0__FDSAUDITLINK__" localSheetId="3"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0__FDSAUDITLINK__" localSheetId="1"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0__FDSAUDITLINK__"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1__FDSAUDITLINK__" localSheetId="4"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1__FDSAUDITLINK__" localSheetId="5"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1__FDSAUDITLINK__" localSheetId="3"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1__FDSAUDITLINK__" localSheetId="1"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1__FDSAUDITLINK__"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2__FDSAUDITLINK__" localSheetId="4"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2__FDSAUDITLINK__" localSheetId="5"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2__FDSAUDITLINK__" localSheetId="3"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2__FDSAUDITLINK__" localSheetId="1"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2__FDSAUDITLINK__"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3__FDSAUDITLINK__" localSheetId="4"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3__FDSAUDITLINK__" localSheetId="5"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3__FDSAUDITLINK__" localSheetId="3"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3__FDSAUDITLINK__" localSheetId="1"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3__FDSAUDITLINK__"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4__FDSAUDITLINK__" localSheetId="4"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4__FDSAUDITLINK__" localSheetId="5"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4__FDSAUDITLINK__" localSheetId="3"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4__FDSAUDITLINK__" localSheetId="1"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4__FDSAUDITLINK__"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5__FDSAUDITLINK__" localSheetId="4"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5__FDSAUDITLINK__" localSheetId="5"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5__FDSAUDITLINK__" localSheetId="3"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5__FDSAUDITLINK__" localSheetId="1"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5__FDSAUDITLINK__"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6__FDSAUDITLINK__" localSheetId="4"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6__FDSAUDITLINK__" localSheetId="5"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6__FDSAUDITLINK__" localSheetId="3"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6__FDSAUDITLINK__" localSheetId="1"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6__FDSAUDITLINK__"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7__FDSAUDITLINK__" localSheetId="4"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7__FDSAUDITLINK__" localSheetId="5"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7__FDSAUDITLINK__" localSheetId="3"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7__FDSAUDITLINK__" localSheetId="1"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7__FDSAUDITLINK__"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8__FDSAUDITLINK__" localSheetId="4"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8__FDSAUDITLINK__" localSheetId="5"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8__FDSAUDITLINK__" localSheetId="3"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8__FDSAUDITLINK__" localSheetId="1"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8__FDSAUDITLINK__"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9__FDSAUDITLINK__" localSheetId="4"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09__FDSAUDITLINK__" localSheetId="5"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09__FDSAUDITLINK__" localSheetId="3"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09__FDSAUDITLINK__" localSheetId="1"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09__FDSAUDITLINK__"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1__FDSAUDITLINK__" localSheetId="4"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__FDSAUDITLINK__" localSheetId="5"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__FDSAUDITLINK__" localSheetId="3"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__FDSAUDITLINK__" localSheetId="1"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__FDSAUDITLINK__"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0__FDSAUDITLINK__" localSheetId="4"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0__FDSAUDITLINK__" localSheetId="5"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0__FDSAUDITLINK__" localSheetId="3"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0__FDSAUDITLINK__" localSheetId="1"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0__FDSAUDITLINK__"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1__FDSAUDITLINK__" localSheetId="4"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1__FDSAUDITLINK__" localSheetId="5"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1__FDSAUDITLINK__" localSheetId="3"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1__FDSAUDITLINK__" localSheetId="1"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1__FDSAUDITLINK__"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2__FDSAUDITLINK__" localSheetId="4"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2__FDSAUDITLINK__" localSheetId="5"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2__FDSAUDITLINK__" localSheetId="3"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2__FDSAUDITLINK__" localSheetId="1"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2__FDSAUDITLINK__"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3__FDSAUDITLINK__" localSheetId="4"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3__FDSAUDITLINK__" localSheetId="5"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3__FDSAUDITLINK__" localSheetId="3"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3__FDSAUDITLINK__" localSheetId="1"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3__FDSAUDITLINK__"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4__FDSAUDITLINK__" localSheetId="4"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4__FDSAUDITLINK__" localSheetId="5"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4__FDSAUDITLINK__" localSheetId="3"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4__FDSAUDITLINK__" localSheetId="1"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4__FDSAUDITLINK__"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5__FDSAUDITLINK__" localSheetId="4"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5__FDSAUDITLINK__" localSheetId="5"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5__FDSAUDITLINK__" localSheetId="3"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5__FDSAUDITLINK__" localSheetId="1"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5__FDSAUDITLINK__"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6__FDSAUDITLINK__" localSheetId="4"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6__FDSAUDITLINK__" localSheetId="5"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6__FDSAUDITLINK__" localSheetId="3"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6__FDSAUDITLINK__" localSheetId="1"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6__FDSAUDITLINK__"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7__FDSAUDITLINK__" localSheetId="4"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7__FDSAUDITLINK__" localSheetId="5"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7__FDSAUDITLINK__" localSheetId="3"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7__FDSAUDITLINK__" localSheetId="1"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7__FDSAUDITLINK__"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8__FDSAUDITLINK__" localSheetId="4"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8__FDSAUDITLINK__" localSheetId="5"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8__FDSAUDITLINK__" localSheetId="3"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8__FDSAUDITLINK__" localSheetId="1"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8__FDSAUDITLINK__"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9__FDSAUDITLINK__" localSheetId="4"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19__FDSAUDITLINK__" localSheetId="5"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19__FDSAUDITLINK__" localSheetId="3"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19__FDSAUDITLINK__" localSheetId="1"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19__FDSAUDITLINK__"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2__FDSAUDITLINK__" localSheetId="4"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__FDSAUDITLINK__" localSheetId="5"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__FDSAUDITLINK__" localSheetId="3"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__FDSAUDITLINK__" localSheetId="1"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__FDSAUDITLINK__"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0__FDSAUDITLINK__" localSheetId="4"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0__FDSAUDITLINK__" localSheetId="5"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0__FDSAUDITLINK__" localSheetId="3"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0__FDSAUDITLINK__" localSheetId="1"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0__FDSAUDITLINK__"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1__FDSAUDITLINK__" localSheetId="4"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1__FDSAUDITLINK__" localSheetId="5"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1__FDSAUDITLINK__" localSheetId="3"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1__FDSAUDITLINK__" localSheetId="1"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1__FDSAUDITLINK__"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2__FDSAUDITLINK__" localSheetId="4"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2__FDSAUDITLINK__" localSheetId="5"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2__FDSAUDITLINK__" localSheetId="3"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2__FDSAUDITLINK__" localSheetId="1"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2__FDSAUDITLINK__"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3__FDSAUDITLINK__" localSheetId="4"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3__FDSAUDITLINK__" localSheetId="5"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3__FDSAUDITLINK__" localSheetId="3"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3__FDSAUDITLINK__" localSheetId="1"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3__FDSAUDITLINK__"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4__FDSAUDITLINK__" localSheetId="4"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4__FDSAUDITLINK__" localSheetId="5"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4__FDSAUDITLINK__" localSheetId="3"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4__FDSAUDITLINK__" localSheetId="1"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4__FDSAUDITLINK__"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5__FDSAUDITLINK__" localSheetId="4"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5__FDSAUDITLINK__" localSheetId="5"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5__FDSAUDITLINK__" localSheetId="3"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5__FDSAUDITLINK__" localSheetId="1"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5__FDSAUDITLINK__"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6__FDSAUDITLINK__" localSheetId="4"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6__FDSAUDITLINK__" localSheetId="5"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6__FDSAUDITLINK__" localSheetId="3"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6__FDSAUDITLINK__" localSheetId="1"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6__FDSAUDITLINK__"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7__FDSAUDITLINK__" localSheetId="4"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7__FDSAUDITLINK__" localSheetId="5"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7__FDSAUDITLINK__" localSheetId="3"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7__FDSAUDITLINK__" localSheetId="1"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7__FDSAUDITLINK__"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8__FDSAUDITLINK__" localSheetId="4"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8__FDSAUDITLINK__" localSheetId="5"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8__FDSAUDITLINK__" localSheetId="3"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8__FDSAUDITLINK__" localSheetId="1"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8__FDSAUDITLINK__"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9__FDSAUDITLINK__" localSheetId="4"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29__FDSAUDITLINK__" localSheetId="5"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29__FDSAUDITLINK__" localSheetId="3"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29__FDSAUDITLINK__" localSheetId="1"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29__FDSAUDITLINK__"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3__FDSAUDITLINK__" localSheetId="4"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__FDSAUDITLINK__" localSheetId="5"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__FDSAUDITLINK__" localSheetId="3"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__FDSAUDITLINK__" localSheetId="1"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__FDSAUDITLINK__"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0__FDSAUDITLINK__" localSheetId="4"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0__FDSAUDITLINK__" localSheetId="5"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0__FDSAUDITLINK__" localSheetId="3"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0__FDSAUDITLINK__" localSheetId="1"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0__FDSAUDITLINK__"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1__FDSAUDITLINK__" localSheetId="4"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1__FDSAUDITLINK__" localSheetId="5"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1__FDSAUDITLINK__" localSheetId="3"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1__FDSAUDITLINK__" localSheetId="1"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1__FDSAUDITLINK__"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2__FDSAUDITLINK__" localSheetId="4"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2__FDSAUDITLINK__" localSheetId="5"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2__FDSAUDITLINK__" localSheetId="3"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2__FDSAUDITLINK__" localSheetId="1"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2__FDSAUDITLINK__"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3__FDSAUDITLINK__" localSheetId="4"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3__FDSAUDITLINK__" localSheetId="5"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3__FDSAUDITLINK__" localSheetId="3"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3__FDSAUDITLINK__" localSheetId="1"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3__FDSAUDITLINK__"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4__FDSAUDITLINK__" localSheetId="4"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4__FDSAUDITLINK__" localSheetId="5"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4__FDSAUDITLINK__" localSheetId="3"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4__FDSAUDITLINK__" localSheetId="1"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4__FDSAUDITLINK__"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5__FDSAUDITLINK__" localSheetId="4"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5__FDSAUDITLINK__" localSheetId="5"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5__FDSAUDITLINK__" localSheetId="3"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5__FDSAUDITLINK__" localSheetId="1"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5__FDSAUDITLINK__"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6__FDSAUDITLINK__" localSheetId="4"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6__FDSAUDITLINK__" localSheetId="5"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6__FDSAUDITLINK__" localSheetId="3"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6__FDSAUDITLINK__" localSheetId="1"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6__FDSAUDITLINK__"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7__FDSAUDITLINK__" localSheetId="4"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7__FDSAUDITLINK__" localSheetId="5"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7__FDSAUDITLINK__" localSheetId="3"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7__FDSAUDITLINK__" localSheetId="1"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7__FDSAUDITLINK__"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8__FDSAUDITLINK__" localSheetId="4"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8__FDSAUDITLINK__" localSheetId="5"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8__FDSAUDITLINK__" localSheetId="3"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8__FDSAUDITLINK__" localSheetId="1"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8__FDSAUDITLINK__"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9__FDSAUDITLINK__" localSheetId="4"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39__FDSAUDITLINK__" localSheetId="5"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39__FDSAUDITLINK__" localSheetId="3"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39__FDSAUDITLINK__" localSheetId="1"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39__FDSAUDITLINK__"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4__FDSAUDITLINK__" localSheetId="4"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__FDSAUDITLINK__" localSheetId="5"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__FDSAUDITLINK__" localSheetId="3"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__FDSAUDITLINK__" localSheetId="1"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__FDSAUDITLINK__"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0__FDSAUDITLINK__" localSheetId="4"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0__FDSAUDITLINK__" localSheetId="5"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0__FDSAUDITLINK__" localSheetId="3"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0__FDSAUDITLINK__" localSheetId="1"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0__FDSAUDITLINK__"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1__FDSAUDITLINK__" localSheetId="4"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1__FDSAUDITLINK__" localSheetId="5"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1__FDSAUDITLINK__" localSheetId="3"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1__FDSAUDITLINK__" localSheetId="1"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1__FDSAUDITLINK__"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2__FDSAUDITLINK__" localSheetId="4"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2__FDSAUDITLINK__" localSheetId="5"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2__FDSAUDITLINK__" localSheetId="3"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2__FDSAUDITLINK__" localSheetId="1"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2__FDSAUDITLINK__"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3__FDSAUDITLINK__" localSheetId="4"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3__FDSAUDITLINK__" localSheetId="5"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3__FDSAUDITLINK__" localSheetId="3"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3__FDSAUDITLINK__" localSheetId="1"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3__FDSAUDITLINK__"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4__FDSAUDITLINK__" localSheetId="4"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4__FDSAUDITLINK__" localSheetId="5"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4__FDSAUDITLINK__" localSheetId="3"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4__FDSAUDITLINK__" localSheetId="1"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4__FDSAUDITLINK__"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5__FDSAUDITLINK__" localSheetId="4"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5__FDSAUDITLINK__" localSheetId="5"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5__FDSAUDITLINK__" localSheetId="3"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5__FDSAUDITLINK__" localSheetId="1"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5__FDSAUDITLINK__"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6__FDSAUDITLINK__" localSheetId="4"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6__FDSAUDITLINK__" localSheetId="5"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6__FDSAUDITLINK__" localSheetId="3"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6__FDSAUDITLINK__" localSheetId="1"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6__FDSAUDITLINK__"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7__FDSAUDITLINK__" localSheetId="4"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7__FDSAUDITLINK__" localSheetId="5"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7__FDSAUDITLINK__" localSheetId="3"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7__FDSAUDITLINK__" localSheetId="1"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7__FDSAUDITLINK__"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8__FDSAUDITLINK__" localSheetId="4"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8__FDSAUDITLINK__" localSheetId="5"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8__FDSAUDITLINK__" localSheetId="3"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8__FDSAUDITLINK__" localSheetId="1"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8__FDSAUDITLINK__"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9__FDSAUDITLINK__" localSheetId="4"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49__FDSAUDITLINK__" localSheetId="5"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49__FDSAUDITLINK__" localSheetId="3"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49__FDSAUDITLINK__" localSheetId="1"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49__FDSAUDITLINK__"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5__FDSAUDITLINK__" localSheetId="4"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__FDSAUDITLINK__" localSheetId="5"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__FDSAUDITLINK__" localSheetId="3"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__FDSAUDITLINK__" localSheetId="1"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__FDSAUDITLINK__"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0__FDSAUDITLINK__" localSheetId="4"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0__FDSAUDITLINK__" localSheetId="5"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0__FDSAUDITLINK__" localSheetId="3"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0__FDSAUDITLINK__" localSheetId="1"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0__FDSAUDITLINK__"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1__FDSAUDITLINK__" localSheetId="4"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1__FDSAUDITLINK__" localSheetId="5"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1__FDSAUDITLINK__" localSheetId="3"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1__FDSAUDITLINK__" localSheetId="1"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1__FDSAUDITLINK__"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2__FDSAUDITLINK__" localSheetId="4"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2__FDSAUDITLINK__" localSheetId="5"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2__FDSAUDITLINK__" localSheetId="3"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2__FDSAUDITLINK__" localSheetId="1"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2__FDSAUDITLINK__"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3__FDSAUDITLINK__" localSheetId="4"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3__FDSAUDITLINK__" localSheetId="5"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3__FDSAUDITLINK__" localSheetId="3"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3__FDSAUDITLINK__" localSheetId="1"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3__FDSAUDITLINK__"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4__FDSAUDITLINK__" localSheetId="4"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4__FDSAUDITLINK__" localSheetId="5"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4__FDSAUDITLINK__" localSheetId="3"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4__FDSAUDITLINK__" localSheetId="1"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4__FDSAUDITLINK__"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5__FDSAUDITLINK__" localSheetId="4"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5__FDSAUDITLINK__" localSheetId="5"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5__FDSAUDITLINK__" localSheetId="3"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5__FDSAUDITLINK__" localSheetId="1"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5__FDSAUDITLINK__"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6__FDSAUDITLINK__" localSheetId="4"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6__FDSAUDITLINK__" localSheetId="5"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6__FDSAUDITLINK__" localSheetId="3"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6__FDSAUDITLINK__" localSheetId="1"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6__FDSAUDITLINK__"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7__FDSAUDITLINK__" localSheetId="4"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7__FDSAUDITLINK__" localSheetId="5"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7__FDSAUDITLINK__" localSheetId="3"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7__FDSAUDITLINK__" localSheetId="1"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7__FDSAUDITLINK__"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8__FDSAUDITLINK__" localSheetId="4"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8__FDSAUDITLINK__" localSheetId="5"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8__FDSAUDITLINK__" localSheetId="3"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8__FDSAUDITLINK__" localSheetId="1"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8__FDSAUDITLINK__"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9__FDSAUDITLINK__" localSheetId="4"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59__FDSAUDITLINK__" localSheetId="5"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59__FDSAUDITLINK__" localSheetId="3"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59__FDSAUDITLINK__" localSheetId="1"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59__FDSAUDITLINK__"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6__FDSAUDITLINK__" localSheetId="4"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__FDSAUDITLINK__" localSheetId="5"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__FDSAUDITLINK__" localSheetId="3"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__FDSAUDITLINK__" localSheetId="1"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__FDSAUDITLINK__"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0__FDSAUDITLINK__" localSheetId="4"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0__FDSAUDITLINK__" localSheetId="5"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0__FDSAUDITLINK__" localSheetId="3"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0__FDSAUDITLINK__" localSheetId="1"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0__FDSAUDITLINK__"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1__FDSAUDITLINK__" localSheetId="4"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1__FDSAUDITLINK__" localSheetId="5"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1__FDSAUDITLINK__" localSheetId="3"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1__FDSAUDITLINK__" localSheetId="1"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1__FDSAUDITLINK__"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2__FDSAUDITLINK__" localSheetId="4"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2__FDSAUDITLINK__" localSheetId="5"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2__FDSAUDITLINK__" localSheetId="3"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2__FDSAUDITLINK__" localSheetId="1"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2__FDSAUDITLINK__"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3__FDSAUDITLINK__" localSheetId="4"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3__FDSAUDITLINK__" localSheetId="5"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3__FDSAUDITLINK__" localSheetId="3"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3__FDSAUDITLINK__" localSheetId="1"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3__FDSAUDITLINK__"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4__FDSAUDITLINK__" localSheetId="4"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4__FDSAUDITLINK__" localSheetId="5"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4__FDSAUDITLINK__" localSheetId="3"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4__FDSAUDITLINK__" localSheetId="1"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4__FDSAUDITLINK__"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5__FDSAUDITLINK__" localSheetId="4"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5__FDSAUDITLINK__" localSheetId="5"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5__FDSAUDITLINK__" localSheetId="3"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5__FDSAUDITLINK__" localSheetId="1"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5__FDSAUDITLINK__"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6__FDSAUDITLINK__" localSheetId="4"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6__FDSAUDITLINK__" localSheetId="5"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6__FDSAUDITLINK__" localSheetId="3"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6__FDSAUDITLINK__" localSheetId="1"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6__FDSAUDITLINK__"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7__FDSAUDITLINK__" localSheetId="4"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7__FDSAUDITLINK__" localSheetId="5"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7__FDSAUDITLINK__" localSheetId="3"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7__FDSAUDITLINK__" localSheetId="1"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7__FDSAUDITLINK__"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8__FDSAUDITLINK__" localSheetId="4"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8__FDSAUDITLINK__" localSheetId="5"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8__FDSAUDITLINK__" localSheetId="3"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8__FDSAUDITLINK__" localSheetId="1"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8__FDSAUDITLINK__"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9__FDSAUDITLINK__" localSheetId="4"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69__FDSAUDITLINK__" localSheetId="5"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69__FDSAUDITLINK__" localSheetId="3"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69__FDSAUDITLINK__" localSheetId="1"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69__FDSAUDITLINK__"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7__FDSAUDITLINK__" localSheetId="4"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__FDSAUDITLINK__" localSheetId="5"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__FDSAUDITLINK__" localSheetId="3"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__FDSAUDITLINK__" localSheetId="1"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__FDSAUDITLINK__"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0__FDSAUDITLINK__" localSheetId="4"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0__FDSAUDITLINK__" localSheetId="5"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0__FDSAUDITLINK__" localSheetId="3"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0__FDSAUDITLINK__" localSheetId="1"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0__FDSAUDITLINK__"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1__FDSAUDITLINK__" localSheetId="4"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1__FDSAUDITLINK__" localSheetId="5"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1__FDSAUDITLINK__" localSheetId="3"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1__FDSAUDITLINK__" localSheetId="1"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1__FDSAUDITLINK__"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2__FDSAUDITLINK__" localSheetId="4"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2__FDSAUDITLINK__" localSheetId="5"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2__FDSAUDITLINK__" localSheetId="3"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2__FDSAUDITLINK__" localSheetId="1"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2__FDSAUDITLINK__"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3__FDSAUDITLINK__" localSheetId="4"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3__FDSAUDITLINK__" localSheetId="5"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3__FDSAUDITLINK__" localSheetId="3"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3__FDSAUDITLINK__" localSheetId="1"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3__FDSAUDITLINK__"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4__FDSAUDITLINK__" localSheetId="4"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4__FDSAUDITLINK__" localSheetId="5"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4__FDSAUDITLINK__" localSheetId="3"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4__FDSAUDITLINK__" localSheetId="1"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4__FDSAUDITLINK__"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5__FDSAUDITLINK__" localSheetId="4"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5__FDSAUDITLINK__" localSheetId="5"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5__FDSAUDITLINK__" localSheetId="3"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5__FDSAUDITLINK__" localSheetId="1"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5__FDSAUDITLINK__"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6__FDSAUDITLINK__" localSheetId="4"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6__FDSAUDITLINK__" localSheetId="5"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6__FDSAUDITLINK__" localSheetId="3"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6__FDSAUDITLINK__" localSheetId="1"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6__FDSAUDITLINK__"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7__FDSAUDITLINK__" localSheetId="4"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7__FDSAUDITLINK__" localSheetId="5"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7__FDSAUDITLINK__" localSheetId="3"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7__FDSAUDITLINK__" localSheetId="1"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7__FDSAUDITLINK__"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8__FDSAUDITLINK__" localSheetId="4"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8__FDSAUDITLINK__" localSheetId="5"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8__FDSAUDITLINK__" localSheetId="3"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8__FDSAUDITLINK__" localSheetId="1"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8__FDSAUDITLINK__"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9__FDSAUDITLINK__" localSheetId="4"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79__FDSAUDITLINK__" localSheetId="5"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79__FDSAUDITLINK__" localSheetId="3"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79__FDSAUDITLINK__" localSheetId="1"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79__FDSAUDITLINK__"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8__FDSAUDITLINK__" localSheetId="4"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__FDSAUDITLINK__" localSheetId="5"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__FDSAUDITLINK__" localSheetId="3"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__FDSAUDITLINK__" localSheetId="1"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__FDSAUDITLINK__"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0__FDSAUDITLINK__" localSheetId="4"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0__FDSAUDITLINK__" localSheetId="5"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0__FDSAUDITLINK__" localSheetId="3"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0__FDSAUDITLINK__" localSheetId="1"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0__FDSAUDITLINK__"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1__FDSAUDITLINK__" localSheetId="4"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1__FDSAUDITLINK__" localSheetId="5"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1__FDSAUDITLINK__" localSheetId="3"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1__FDSAUDITLINK__" localSheetId="1"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1__FDSAUDITLINK__"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2__FDSAUDITLINK__" localSheetId="4"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2__FDSAUDITLINK__" localSheetId="5"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2__FDSAUDITLINK__" localSheetId="3"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2__FDSAUDITLINK__" localSheetId="1"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2__FDSAUDITLINK__"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3__FDSAUDITLINK__" localSheetId="4"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3__FDSAUDITLINK__" localSheetId="5"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3__FDSAUDITLINK__" localSheetId="3"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3__FDSAUDITLINK__" localSheetId="1"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3__FDSAUDITLINK__"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4__FDSAUDITLINK__" localSheetId="4"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4__FDSAUDITLINK__" localSheetId="5"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4__FDSAUDITLINK__" localSheetId="3"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4__FDSAUDITLINK__" localSheetId="1"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4__FDSAUDITLINK__"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5__FDSAUDITLINK__" localSheetId="4"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5__FDSAUDITLINK__" localSheetId="5"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5__FDSAUDITLINK__" localSheetId="3"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5__FDSAUDITLINK__" localSheetId="1"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5__FDSAUDITLINK__"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6__FDSAUDITLINK__" localSheetId="4"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6__FDSAUDITLINK__" localSheetId="5"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6__FDSAUDITLINK__" localSheetId="3"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6__FDSAUDITLINK__" localSheetId="1"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6__FDSAUDITLINK__"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7__FDSAUDITLINK__" localSheetId="4"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7__FDSAUDITLINK__" localSheetId="5"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7__FDSAUDITLINK__" localSheetId="3"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7__FDSAUDITLINK__" localSheetId="1"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7__FDSAUDITLINK__"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8__FDSAUDITLINK__" localSheetId="4"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8__FDSAUDITLINK__" localSheetId="5"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8__FDSAUDITLINK__" localSheetId="3"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8__FDSAUDITLINK__" localSheetId="1"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8__FDSAUDITLINK__"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9__FDSAUDITLINK__" localSheetId="4"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89__FDSAUDITLINK__" localSheetId="5"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89__FDSAUDITLINK__" localSheetId="3"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89__FDSAUDITLINK__" localSheetId="1"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89__FDSAUDITLINK__"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9__FDSAUDITLINK__" localSheetId="4"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__FDSAUDITLINK__" localSheetId="5"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__FDSAUDITLINK__" localSheetId="3"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__FDSAUDITLINK__" localSheetId="1"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__FDSAUDITLINK__"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0__FDSAUDITLINK__" localSheetId="4"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0__FDSAUDITLINK__" localSheetId="5"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0__FDSAUDITLINK__" localSheetId="3"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0__FDSAUDITLINK__" localSheetId="1"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0__FDSAUDITLINK__"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1__FDSAUDITLINK__" localSheetId="4"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1__FDSAUDITLINK__" localSheetId="5"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1__FDSAUDITLINK__" localSheetId="3"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1__FDSAUDITLINK__" localSheetId="1"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1__FDSAUDITLINK__"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2__FDSAUDITLINK__" localSheetId="4"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2__FDSAUDITLINK__" localSheetId="5"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2__FDSAUDITLINK__" localSheetId="3"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2__FDSAUDITLINK__" localSheetId="1"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2__FDSAUDITLINK__"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3__FDSAUDITLINK__" localSheetId="4"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3__FDSAUDITLINK__" localSheetId="5"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3__FDSAUDITLINK__" localSheetId="3"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3__FDSAUDITLINK__" localSheetId="1"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3__FDSAUDITLINK__"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4__FDSAUDITLINK__" localSheetId="4"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4__FDSAUDITLINK__" localSheetId="5"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4__FDSAUDITLINK__" localSheetId="3"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4__FDSAUDITLINK__" localSheetId="1"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4__FDSAUDITLINK__"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5__FDSAUDITLINK__" localSheetId="4"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5__FDSAUDITLINK__" localSheetId="5"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5__FDSAUDITLINK__" localSheetId="3"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5__FDSAUDITLINK__" localSheetId="1"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5__FDSAUDITLINK__"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6__FDSAUDITLINK__" localSheetId="4"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6__FDSAUDITLINK__" localSheetId="5"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6__FDSAUDITLINK__" localSheetId="3"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6__FDSAUDITLINK__" localSheetId="1"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6__FDSAUDITLINK__"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7__FDSAUDITLINK__" localSheetId="4"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7__FDSAUDITLINK__" localSheetId="5"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7__FDSAUDITLINK__" localSheetId="3"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7__FDSAUDITLINK__" localSheetId="1"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7__FDSAUDITLINK__"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8__FDSAUDITLINK__" localSheetId="4"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8__FDSAUDITLINK__" localSheetId="5"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8__FDSAUDITLINK__" localSheetId="3"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8__FDSAUDITLINK__" localSheetId="1"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8__FDSAUDITLINK__"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9__FDSAUDITLINK__" localSheetId="4"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799__FDSAUDITLINK__" localSheetId="5"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799__FDSAUDITLINK__" localSheetId="3"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799__FDSAUDITLINK__" localSheetId="1"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799__FDSAUDITLINK__"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8__FDSAUDITLINK__" localSheetId="4"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__FDSAUDITLINK__" localSheetId="5"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__FDSAUDITLINK__" localSheetId="3"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__FDSAUDITLINK__" localSheetId="1"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__FDSAUDITLINK__"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0__FDSAUDITLINK__" localSheetId="4"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__FDSAUDITLINK__" localSheetId="5"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__FDSAUDITLINK__" localSheetId="3"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__FDSAUDITLINK__" localSheetId="1"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__FDSAUDITLINK__"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0__FDSAUDITLINK__" localSheetId="4"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0__FDSAUDITLINK__" localSheetId="5"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0__FDSAUDITLINK__" localSheetId="3"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0__FDSAUDITLINK__" localSheetId="1"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0__FDSAUDITLINK__"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1__FDSAUDITLINK__" localSheetId="4"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1__FDSAUDITLINK__" localSheetId="5"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1__FDSAUDITLINK__" localSheetId="3"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1__FDSAUDITLINK__" localSheetId="1"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1__FDSAUDITLINK__"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2__FDSAUDITLINK__" localSheetId="4"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2__FDSAUDITLINK__" localSheetId="5"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2__FDSAUDITLINK__" localSheetId="3"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2__FDSAUDITLINK__" localSheetId="1"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2__FDSAUDITLINK__"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3__FDSAUDITLINK__" localSheetId="4"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3__FDSAUDITLINK__" localSheetId="5"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3__FDSAUDITLINK__" localSheetId="3"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3__FDSAUDITLINK__" localSheetId="1"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3__FDSAUDITLINK__"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4__FDSAUDITLINK__" localSheetId="4"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4__FDSAUDITLINK__" localSheetId="5"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4__FDSAUDITLINK__" localSheetId="3"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4__FDSAUDITLINK__" localSheetId="1"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4__FDSAUDITLINK__"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5__FDSAUDITLINK__" localSheetId="4"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5__FDSAUDITLINK__" localSheetId="5"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5__FDSAUDITLINK__" localSheetId="3"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5__FDSAUDITLINK__" localSheetId="1"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5__FDSAUDITLINK__"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6__FDSAUDITLINK__" localSheetId="4"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6__FDSAUDITLINK__" localSheetId="5"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6__FDSAUDITLINK__" localSheetId="3"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6__FDSAUDITLINK__" localSheetId="1"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6__FDSAUDITLINK__"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7__FDSAUDITLINK__" localSheetId="4"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7__FDSAUDITLINK__" localSheetId="5"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7__FDSAUDITLINK__" localSheetId="3"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7__FDSAUDITLINK__" localSheetId="1"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7__FDSAUDITLINK__"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8__FDSAUDITLINK__" localSheetId="4"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8__FDSAUDITLINK__" localSheetId="5"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8__FDSAUDITLINK__" localSheetId="3"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8__FDSAUDITLINK__" localSheetId="1"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8__FDSAUDITLINK__"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9__FDSAUDITLINK__" localSheetId="4"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09__FDSAUDITLINK__" localSheetId="5"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09__FDSAUDITLINK__" localSheetId="3"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09__FDSAUDITLINK__" localSheetId="1"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09__FDSAUDITLINK__"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1__FDSAUDITLINK__" localSheetId="4"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__FDSAUDITLINK__" localSheetId="5"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__FDSAUDITLINK__" localSheetId="3"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__FDSAUDITLINK__" localSheetId="1"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__FDSAUDITLINK__"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0__FDSAUDITLINK__" localSheetId="4"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0__FDSAUDITLINK__" localSheetId="5"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0__FDSAUDITLINK__" localSheetId="3"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0__FDSAUDITLINK__" localSheetId="1"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0__FDSAUDITLINK__"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1__FDSAUDITLINK__" localSheetId="4"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1__FDSAUDITLINK__" localSheetId="5"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1__FDSAUDITLINK__" localSheetId="3"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1__FDSAUDITLINK__" localSheetId="1"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1__FDSAUDITLINK__"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2__FDSAUDITLINK__" localSheetId="4"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2__FDSAUDITLINK__" localSheetId="5"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2__FDSAUDITLINK__" localSheetId="3"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2__FDSAUDITLINK__" localSheetId="1"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2__FDSAUDITLINK__"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3__FDSAUDITLINK__" localSheetId="4"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3__FDSAUDITLINK__" localSheetId="5"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3__FDSAUDITLINK__" localSheetId="3"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3__FDSAUDITLINK__" localSheetId="1"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3__FDSAUDITLINK__"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4__FDSAUDITLINK__" localSheetId="4"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4__FDSAUDITLINK__" localSheetId="5"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4__FDSAUDITLINK__" localSheetId="3"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4__FDSAUDITLINK__" localSheetId="1"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4__FDSAUDITLINK__"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5__FDSAUDITLINK__" localSheetId="4"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5__FDSAUDITLINK__" localSheetId="5"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5__FDSAUDITLINK__" localSheetId="3"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5__FDSAUDITLINK__" localSheetId="1"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5__FDSAUDITLINK__"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6__FDSAUDITLINK__" localSheetId="4"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6__FDSAUDITLINK__" localSheetId="5"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6__FDSAUDITLINK__" localSheetId="3"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6__FDSAUDITLINK__" localSheetId="1"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6__FDSAUDITLINK__"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7__FDSAUDITLINK__" localSheetId="4"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7__FDSAUDITLINK__" localSheetId="5"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7__FDSAUDITLINK__" localSheetId="3"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7__FDSAUDITLINK__" localSheetId="1"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7__FDSAUDITLINK__"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8__FDSAUDITLINK__" localSheetId="4"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8__FDSAUDITLINK__" localSheetId="5"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8__FDSAUDITLINK__" localSheetId="3"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8__FDSAUDITLINK__" localSheetId="1"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8__FDSAUDITLINK__"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9__FDSAUDITLINK__" localSheetId="4"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19__FDSAUDITLINK__" localSheetId="5"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19__FDSAUDITLINK__" localSheetId="3"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19__FDSAUDITLINK__" localSheetId="1"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19__FDSAUDITLINK__"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2__FDSAUDITLINK__" localSheetId="4"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__FDSAUDITLINK__" localSheetId="5"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__FDSAUDITLINK__" localSheetId="3"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__FDSAUDITLINK__" localSheetId="1"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__FDSAUDITLINK__"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0__FDSAUDITLINK__" localSheetId="4"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0__FDSAUDITLINK__" localSheetId="5"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0__FDSAUDITLINK__" localSheetId="3"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0__FDSAUDITLINK__" localSheetId="1"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0__FDSAUDITLINK__"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1__FDSAUDITLINK__" localSheetId="4"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1__FDSAUDITLINK__" localSheetId="5"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1__FDSAUDITLINK__" localSheetId="3"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1__FDSAUDITLINK__" localSheetId="1"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1__FDSAUDITLINK__"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2__FDSAUDITLINK__" localSheetId="4"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2__FDSAUDITLINK__" localSheetId="5"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2__FDSAUDITLINK__" localSheetId="3"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2__FDSAUDITLINK__" localSheetId="1"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2__FDSAUDITLINK__"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3__FDSAUDITLINK__" localSheetId="4"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3__FDSAUDITLINK__" localSheetId="5"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3__FDSAUDITLINK__" localSheetId="3"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3__FDSAUDITLINK__" localSheetId="1"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3__FDSAUDITLINK__"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4__FDSAUDITLINK__" localSheetId="4"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4__FDSAUDITLINK__" localSheetId="5"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4__FDSAUDITLINK__" localSheetId="3"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4__FDSAUDITLINK__" localSheetId="1"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4__FDSAUDITLINK__"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5__FDSAUDITLINK__" localSheetId="4"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5__FDSAUDITLINK__" localSheetId="5"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5__FDSAUDITLINK__" localSheetId="3"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5__FDSAUDITLINK__" localSheetId="1"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5__FDSAUDITLINK__"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6__FDSAUDITLINK__" localSheetId="4"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6__FDSAUDITLINK__" localSheetId="5"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6__FDSAUDITLINK__" localSheetId="3"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6__FDSAUDITLINK__" localSheetId="1"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6__FDSAUDITLINK__"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7__FDSAUDITLINK__" localSheetId="4"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7__FDSAUDITLINK__" localSheetId="5"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7__FDSAUDITLINK__" localSheetId="3"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7__FDSAUDITLINK__" localSheetId="1"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7__FDSAUDITLINK__"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8__FDSAUDITLINK__" localSheetId="4"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8__FDSAUDITLINK__" localSheetId="5"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8__FDSAUDITLINK__" localSheetId="3"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8__FDSAUDITLINK__" localSheetId="1"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8__FDSAUDITLINK__"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9__FDSAUDITLINK__" localSheetId="4"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29__FDSAUDITLINK__" localSheetId="5"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29__FDSAUDITLINK__" localSheetId="3"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29__FDSAUDITLINK__" localSheetId="1"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29__FDSAUDITLINK__"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3__FDSAUDITLINK__" localSheetId="4"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__FDSAUDITLINK__" localSheetId="5"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__FDSAUDITLINK__" localSheetId="3"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__FDSAUDITLINK__" localSheetId="1"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__FDSAUDITLINK__"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0__FDSAUDITLINK__" localSheetId="4"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0__FDSAUDITLINK__" localSheetId="5"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0__FDSAUDITLINK__" localSheetId="3"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0__FDSAUDITLINK__" localSheetId="1"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0__FDSAUDITLINK__"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1__FDSAUDITLINK__" localSheetId="4"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1__FDSAUDITLINK__" localSheetId="5"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1__FDSAUDITLINK__" localSheetId="3"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1__FDSAUDITLINK__" localSheetId="1"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1__FDSAUDITLINK__"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2__FDSAUDITLINK__" localSheetId="4"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2__FDSAUDITLINK__" localSheetId="5"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2__FDSAUDITLINK__" localSheetId="3"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2__FDSAUDITLINK__" localSheetId="1"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2__FDSAUDITLINK__"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3__FDSAUDITLINK__" localSheetId="4"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3__FDSAUDITLINK__" localSheetId="5"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3__FDSAUDITLINK__" localSheetId="3"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3__FDSAUDITLINK__" localSheetId="1"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3__FDSAUDITLINK__"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4__FDSAUDITLINK__" localSheetId="4"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4__FDSAUDITLINK__" localSheetId="5"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4__FDSAUDITLINK__" localSheetId="3"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4__FDSAUDITLINK__" localSheetId="1"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4__FDSAUDITLINK__"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5__FDSAUDITLINK__" localSheetId="4"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5__FDSAUDITLINK__" localSheetId="5"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5__FDSAUDITLINK__" localSheetId="3"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5__FDSAUDITLINK__" localSheetId="1"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5__FDSAUDITLINK__"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6__FDSAUDITLINK__" localSheetId="4"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6__FDSAUDITLINK__" localSheetId="5"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6__FDSAUDITLINK__" localSheetId="3"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6__FDSAUDITLINK__" localSheetId="1"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6__FDSAUDITLINK__"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7__FDSAUDITLINK__" localSheetId="4"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7__FDSAUDITLINK__" localSheetId="5"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7__FDSAUDITLINK__" localSheetId="3"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7__FDSAUDITLINK__" localSheetId="1"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7__FDSAUDITLINK__"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8__FDSAUDITLINK__" localSheetId="4"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8__FDSAUDITLINK__" localSheetId="5"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8__FDSAUDITLINK__" localSheetId="3"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8__FDSAUDITLINK__" localSheetId="1"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8__FDSAUDITLINK__"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9__FDSAUDITLINK__" localSheetId="4"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39__FDSAUDITLINK__" localSheetId="5"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39__FDSAUDITLINK__" localSheetId="3"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39__FDSAUDITLINK__" localSheetId="1"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39__FDSAUDITLINK__"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4__FDSAUDITLINK__" localSheetId="4"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__FDSAUDITLINK__" localSheetId="5"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__FDSAUDITLINK__" localSheetId="3"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__FDSAUDITLINK__" localSheetId="1"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__FDSAUDITLINK__"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0__FDSAUDITLINK__" localSheetId="4"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0__FDSAUDITLINK__" localSheetId="5"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0__FDSAUDITLINK__" localSheetId="3"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0__FDSAUDITLINK__" localSheetId="1"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0__FDSAUDITLINK__"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1__FDSAUDITLINK__" localSheetId="4"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1__FDSAUDITLINK__" localSheetId="5"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1__FDSAUDITLINK__" localSheetId="3"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1__FDSAUDITLINK__" localSheetId="1"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1__FDSAUDITLINK__"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2__FDSAUDITLINK__" localSheetId="4"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2__FDSAUDITLINK__" localSheetId="5"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2__FDSAUDITLINK__" localSheetId="3"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2__FDSAUDITLINK__" localSheetId="1"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2__FDSAUDITLINK__"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3__FDSAUDITLINK__" localSheetId="4"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3__FDSAUDITLINK__" localSheetId="5"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3__FDSAUDITLINK__" localSheetId="3"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3__FDSAUDITLINK__" localSheetId="1"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3__FDSAUDITLINK__"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4__FDSAUDITLINK__" localSheetId="4"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4__FDSAUDITLINK__" localSheetId="5"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4__FDSAUDITLINK__" localSheetId="3"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4__FDSAUDITLINK__" localSheetId="1"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4__FDSAUDITLINK__"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5__FDSAUDITLINK__" localSheetId="4"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5__FDSAUDITLINK__" localSheetId="5"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5__FDSAUDITLINK__" localSheetId="3"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5__FDSAUDITLINK__" localSheetId="1"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5__FDSAUDITLINK__"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6__FDSAUDITLINK__" localSheetId="4"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6__FDSAUDITLINK__" localSheetId="5"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6__FDSAUDITLINK__" localSheetId="3"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6__FDSAUDITLINK__" localSheetId="1"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6__FDSAUDITLINK__"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7__FDSAUDITLINK__" localSheetId="4"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7__FDSAUDITLINK__" localSheetId="5"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7__FDSAUDITLINK__" localSheetId="3"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7__FDSAUDITLINK__" localSheetId="1"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7__FDSAUDITLINK__"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8__FDSAUDITLINK__" localSheetId="4"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8__FDSAUDITLINK__" localSheetId="5"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8__FDSAUDITLINK__" localSheetId="3"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8__FDSAUDITLINK__" localSheetId="1"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8__FDSAUDITLINK__"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9__FDSAUDITLINK__" localSheetId="4"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49__FDSAUDITLINK__" localSheetId="5"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49__FDSAUDITLINK__" localSheetId="3"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49__FDSAUDITLINK__" localSheetId="1"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49__FDSAUDITLINK__"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5__FDSAUDITLINK__" localSheetId="4"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__FDSAUDITLINK__" localSheetId="5"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__FDSAUDITLINK__" localSheetId="3"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__FDSAUDITLINK__" localSheetId="1"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__FDSAUDITLINK__"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0__FDSAUDITLINK__" localSheetId="4"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0__FDSAUDITLINK__" localSheetId="5"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0__FDSAUDITLINK__" localSheetId="3"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0__FDSAUDITLINK__" localSheetId="1"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0__FDSAUDITLINK__"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1__FDSAUDITLINK__" localSheetId="4"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1__FDSAUDITLINK__" localSheetId="5"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1__FDSAUDITLINK__" localSheetId="3"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1__FDSAUDITLINK__" localSheetId="1"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1__FDSAUDITLINK__"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2__FDSAUDITLINK__" localSheetId="4"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2__FDSAUDITLINK__" localSheetId="5"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2__FDSAUDITLINK__" localSheetId="3"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2__FDSAUDITLINK__" localSheetId="1"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2__FDSAUDITLINK__"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3__FDSAUDITLINK__" localSheetId="4"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3__FDSAUDITLINK__" localSheetId="5"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3__FDSAUDITLINK__" localSheetId="3"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3__FDSAUDITLINK__" localSheetId="1"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3__FDSAUDITLINK__"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4__FDSAUDITLINK__" localSheetId="4"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4__FDSAUDITLINK__" localSheetId="5"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4__FDSAUDITLINK__" localSheetId="3"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4__FDSAUDITLINK__" localSheetId="1"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4__FDSAUDITLINK__"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5__FDSAUDITLINK__" localSheetId="4"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5__FDSAUDITLINK__" localSheetId="5"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5__FDSAUDITLINK__" localSheetId="3"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5__FDSAUDITLINK__" localSheetId="1"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5__FDSAUDITLINK__"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6__FDSAUDITLINK__" localSheetId="4"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6__FDSAUDITLINK__" localSheetId="5"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6__FDSAUDITLINK__" localSheetId="3"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6__FDSAUDITLINK__" localSheetId="1"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6__FDSAUDITLINK__"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7__FDSAUDITLINK__" localSheetId="4"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7__FDSAUDITLINK__" localSheetId="5"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7__FDSAUDITLINK__" localSheetId="3"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7__FDSAUDITLINK__" localSheetId="1"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7__FDSAUDITLINK__"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8__FDSAUDITLINK__" localSheetId="4"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8__FDSAUDITLINK__" localSheetId="5"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8__FDSAUDITLINK__" localSheetId="3"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8__FDSAUDITLINK__" localSheetId="1"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8__FDSAUDITLINK__"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9__FDSAUDITLINK__" localSheetId="4"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59__FDSAUDITLINK__" localSheetId="5"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59__FDSAUDITLINK__" localSheetId="3"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59__FDSAUDITLINK__" localSheetId="1"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59__FDSAUDITLINK__"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6__FDSAUDITLINK__" localSheetId="4"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__FDSAUDITLINK__" localSheetId="5"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__FDSAUDITLINK__" localSheetId="3"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__FDSAUDITLINK__" localSheetId="1"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__FDSAUDITLINK__"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0__FDSAUDITLINK__" localSheetId="4"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0__FDSAUDITLINK__" localSheetId="5"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0__FDSAUDITLINK__" localSheetId="3"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0__FDSAUDITLINK__" localSheetId="1"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0__FDSAUDITLINK__"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1__FDSAUDITLINK__" localSheetId="4"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1__FDSAUDITLINK__" localSheetId="5"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1__FDSAUDITLINK__" localSheetId="3"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1__FDSAUDITLINK__" localSheetId="1"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1__FDSAUDITLINK__"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2__FDSAUDITLINK__" localSheetId="4"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2__FDSAUDITLINK__" localSheetId="5"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2__FDSAUDITLINK__" localSheetId="3"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2__FDSAUDITLINK__" localSheetId="1"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2__FDSAUDITLINK__"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3__FDSAUDITLINK__" localSheetId="4"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3__FDSAUDITLINK__" localSheetId="5"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3__FDSAUDITLINK__" localSheetId="3"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3__FDSAUDITLINK__" localSheetId="1"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3__FDSAUDITLINK__"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4__FDSAUDITLINK__" localSheetId="4"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4__FDSAUDITLINK__" localSheetId="5"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4__FDSAUDITLINK__" localSheetId="3"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4__FDSAUDITLINK__" localSheetId="1"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4__FDSAUDITLINK__"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5__FDSAUDITLINK__" localSheetId="4"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5__FDSAUDITLINK__" localSheetId="5"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5__FDSAUDITLINK__" localSheetId="3"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5__FDSAUDITLINK__" localSheetId="1"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5__FDSAUDITLINK__"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6__FDSAUDITLINK__" localSheetId="4"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6__FDSAUDITLINK__" localSheetId="5"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6__FDSAUDITLINK__" localSheetId="3"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6__FDSAUDITLINK__" localSheetId="1"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6__FDSAUDITLINK__"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7__FDSAUDITLINK__" localSheetId="4"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7__FDSAUDITLINK__" localSheetId="5"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7__FDSAUDITLINK__" localSheetId="3"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7__FDSAUDITLINK__" localSheetId="1"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7__FDSAUDITLINK__"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8__FDSAUDITLINK__" localSheetId="4"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8__FDSAUDITLINK__" localSheetId="5"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8__FDSAUDITLINK__" localSheetId="3"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8__FDSAUDITLINK__" localSheetId="1"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8__FDSAUDITLINK__"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9__FDSAUDITLINK__" localSheetId="4"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69__FDSAUDITLINK__" localSheetId="5"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69__FDSAUDITLINK__" localSheetId="3"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69__FDSAUDITLINK__" localSheetId="1"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69__FDSAUDITLINK__"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7__FDSAUDITLINK__" localSheetId="4"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__FDSAUDITLINK__" localSheetId="5"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__FDSAUDITLINK__" localSheetId="3"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__FDSAUDITLINK__" localSheetId="1"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__FDSAUDITLINK__"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0__FDSAUDITLINK__" localSheetId="4"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0__FDSAUDITLINK__" localSheetId="5"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0__FDSAUDITLINK__" localSheetId="3"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0__FDSAUDITLINK__" localSheetId="1"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0__FDSAUDITLINK__"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1__FDSAUDITLINK__" localSheetId="4"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1__FDSAUDITLINK__" localSheetId="5"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1__FDSAUDITLINK__" localSheetId="3"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1__FDSAUDITLINK__" localSheetId="1"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1__FDSAUDITLINK__"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2__FDSAUDITLINK__" localSheetId="4"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2__FDSAUDITLINK__" localSheetId="5"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2__FDSAUDITLINK__" localSheetId="3"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2__FDSAUDITLINK__" localSheetId="1"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2__FDSAUDITLINK__"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3__FDSAUDITLINK__" localSheetId="4"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3__FDSAUDITLINK__" localSheetId="5"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3__FDSAUDITLINK__" localSheetId="3"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3__FDSAUDITLINK__" localSheetId="1"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3__FDSAUDITLINK__"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4__FDSAUDITLINK__" localSheetId="4"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4__FDSAUDITLINK__" localSheetId="5"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4__FDSAUDITLINK__" localSheetId="3"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4__FDSAUDITLINK__" localSheetId="1"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4__FDSAUDITLINK__"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5__FDSAUDITLINK__" localSheetId="4"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5__FDSAUDITLINK__" localSheetId="5"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5__FDSAUDITLINK__" localSheetId="3"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5__FDSAUDITLINK__" localSheetId="1"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5__FDSAUDITLINK__"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6__FDSAUDITLINK__" localSheetId="4"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6__FDSAUDITLINK__" localSheetId="5"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6__FDSAUDITLINK__" localSheetId="3"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6__FDSAUDITLINK__" localSheetId="1"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6__FDSAUDITLINK__"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7__FDSAUDITLINK__" localSheetId="4"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7__FDSAUDITLINK__" localSheetId="5"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7__FDSAUDITLINK__" localSheetId="3"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7__FDSAUDITLINK__" localSheetId="1"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7__FDSAUDITLINK__"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8__FDSAUDITLINK__" localSheetId="4"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8__FDSAUDITLINK__" localSheetId="5"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8__FDSAUDITLINK__" localSheetId="3"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8__FDSAUDITLINK__" localSheetId="1"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8__FDSAUDITLINK__"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9__FDSAUDITLINK__" localSheetId="4"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79__FDSAUDITLINK__" localSheetId="5"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79__FDSAUDITLINK__" localSheetId="3"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79__FDSAUDITLINK__" localSheetId="1"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79__FDSAUDITLINK__"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8__FDSAUDITLINK__" localSheetId="4"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__FDSAUDITLINK__" localSheetId="5"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__FDSAUDITLINK__" localSheetId="3"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__FDSAUDITLINK__" localSheetId="1"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__FDSAUDITLINK__"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0__FDSAUDITLINK__" localSheetId="4"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0__FDSAUDITLINK__" localSheetId="5"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0__FDSAUDITLINK__" localSheetId="3"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0__FDSAUDITLINK__" localSheetId="1"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0__FDSAUDITLINK__"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1__FDSAUDITLINK__" localSheetId="4"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1__FDSAUDITLINK__" localSheetId="5"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1__FDSAUDITLINK__" localSheetId="3"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1__FDSAUDITLINK__" localSheetId="1"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1__FDSAUDITLINK__"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2__FDSAUDITLINK__" localSheetId="4"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2__FDSAUDITLINK__" localSheetId="5"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2__FDSAUDITLINK__" localSheetId="3"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2__FDSAUDITLINK__" localSheetId="1"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2__FDSAUDITLINK__"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3__FDSAUDITLINK__" localSheetId="4"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3__FDSAUDITLINK__" localSheetId="5"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3__FDSAUDITLINK__" localSheetId="3"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3__FDSAUDITLINK__" localSheetId="1"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3__FDSAUDITLINK__"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4__FDSAUDITLINK__" localSheetId="4"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4__FDSAUDITLINK__" localSheetId="5"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4__FDSAUDITLINK__" localSheetId="3"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4__FDSAUDITLINK__" localSheetId="1"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4__FDSAUDITLINK__"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5__FDSAUDITLINK__" localSheetId="4"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5__FDSAUDITLINK__" localSheetId="5"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5__FDSAUDITLINK__" localSheetId="3"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5__FDSAUDITLINK__" localSheetId="1"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5__FDSAUDITLINK__"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6__FDSAUDITLINK__" localSheetId="4"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6__FDSAUDITLINK__" localSheetId="5"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6__FDSAUDITLINK__" localSheetId="3"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6__FDSAUDITLINK__" localSheetId="1"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6__FDSAUDITLINK__"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7__FDSAUDITLINK__" localSheetId="4"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7__FDSAUDITLINK__" localSheetId="5"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7__FDSAUDITLINK__" localSheetId="3"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7__FDSAUDITLINK__" localSheetId="1"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7__FDSAUDITLINK__"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8__FDSAUDITLINK__" localSheetId="4"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8__FDSAUDITLINK__" localSheetId="5"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8__FDSAUDITLINK__" localSheetId="3"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8__FDSAUDITLINK__" localSheetId="1"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8__FDSAUDITLINK__"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9__FDSAUDITLINK__" localSheetId="4"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89__FDSAUDITLINK__" localSheetId="5"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89__FDSAUDITLINK__" localSheetId="3"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89__FDSAUDITLINK__" localSheetId="1"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89__FDSAUDITLINK__"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9__FDSAUDITLINK__" localSheetId="4"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__FDSAUDITLINK__" localSheetId="5"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__FDSAUDITLINK__" localSheetId="3"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__FDSAUDITLINK__" localSheetId="1"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__FDSAUDITLINK__"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0__FDSAUDITLINK__" localSheetId="4"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0__FDSAUDITLINK__" localSheetId="5"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0__FDSAUDITLINK__" localSheetId="3"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0__FDSAUDITLINK__" localSheetId="1"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0__FDSAUDITLINK__"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1__FDSAUDITLINK__" localSheetId="4"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1__FDSAUDITLINK__" localSheetId="5"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1__FDSAUDITLINK__" localSheetId="3"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1__FDSAUDITLINK__" localSheetId="1"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1__FDSAUDITLINK__"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2__FDSAUDITLINK__" localSheetId="4"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2__FDSAUDITLINK__" localSheetId="5"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2__FDSAUDITLINK__" localSheetId="3"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2__FDSAUDITLINK__" localSheetId="1"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2__FDSAUDITLINK__"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3__FDSAUDITLINK__" localSheetId="4"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3__FDSAUDITLINK__" localSheetId="5"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3__FDSAUDITLINK__" localSheetId="3"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3__FDSAUDITLINK__" localSheetId="1"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3__FDSAUDITLINK__"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4__FDSAUDITLINK__" localSheetId="4"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4__FDSAUDITLINK__" localSheetId="5"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4__FDSAUDITLINK__" localSheetId="3"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4__FDSAUDITLINK__" localSheetId="1"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4__FDSAUDITLINK__"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5__FDSAUDITLINK__" localSheetId="4"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5__FDSAUDITLINK__" localSheetId="5"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5__FDSAUDITLINK__" localSheetId="3"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5__FDSAUDITLINK__" localSheetId="1"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5__FDSAUDITLINK__"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6__FDSAUDITLINK__" localSheetId="4"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6__FDSAUDITLINK__" localSheetId="5"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6__FDSAUDITLINK__" localSheetId="3"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6__FDSAUDITLINK__" localSheetId="1"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6__FDSAUDITLINK__"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7__FDSAUDITLINK__" localSheetId="4"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7__FDSAUDITLINK__" localSheetId="5"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7__FDSAUDITLINK__" localSheetId="3"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7__FDSAUDITLINK__" localSheetId="1"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7__FDSAUDITLINK__"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8__FDSAUDITLINK__" localSheetId="4"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8__FDSAUDITLINK__" localSheetId="5"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8__FDSAUDITLINK__" localSheetId="3"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8__FDSAUDITLINK__" localSheetId="1"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8__FDSAUDITLINK__"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9__FDSAUDITLINK__" localSheetId="4"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899__FDSAUDITLINK__" localSheetId="5"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899__FDSAUDITLINK__" localSheetId="3"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899__FDSAUDITLINK__" localSheetId="1"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899__FDSAUDITLINK__"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9__FDSAUDITLINK__" localSheetId="4"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__FDSAUDITLINK__" localSheetId="5"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__FDSAUDITLINK__" localSheetId="3"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__FDSAUDITLINK__" localSheetId="1"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__FDSAUDITLINK__"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0__FDSAUDITLINK__" localSheetId="4"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__FDSAUDITLINK__" localSheetId="5"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__FDSAUDITLINK__" localSheetId="3"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__FDSAUDITLINK__" localSheetId="1"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__FDSAUDITLINK__"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0__FDSAUDITLINK__" localSheetId="4"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0__FDSAUDITLINK__" localSheetId="5"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0__FDSAUDITLINK__" localSheetId="3"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0__FDSAUDITLINK__" localSheetId="1"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0__FDSAUDITLINK__"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1__FDSAUDITLINK__" localSheetId="4"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1__FDSAUDITLINK__" localSheetId="5"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1__FDSAUDITLINK__" localSheetId="3"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1__FDSAUDITLINK__" localSheetId="1"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1__FDSAUDITLINK__"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2__FDSAUDITLINK__" localSheetId="4"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2__FDSAUDITLINK__" localSheetId="5"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2__FDSAUDITLINK__" localSheetId="3"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2__FDSAUDITLINK__" localSheetId="1"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2__FDSAUDITLINK__"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3__FDSAUDITLINK__" localSheetId="4"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3__FDSAUDITLINK__" localSheetId="5"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3__FDSAUDITLINK__" localSheetId="3"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3__FDSAUDITLINK__" localSheetId="1"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3__FDSAUDITLINK__"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4__FDSAUDITLINK__" localSheetId="4"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4__FDSAUDITLINK__" localSheetId="5"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4__FDSAUDITLINK__" localSheetId="3"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4__FDSAUDITLINK__" localSheetId="1"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4__FDSAUDITLINK__"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5__FDSAUDITLINK__" localSheetId="4"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5__FDSAUDITLINK__" localSheetId="5"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5__FDSAUDITLINK__" localSheetId="3"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5__FDSAUDITLINK__" localSheetId="1"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5__FDSAUDITLINK__"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6__FDSAUDITLINK__" localSheetId="4"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6__FDSAUDITLINK__" localSheetId="5"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6__FDSAUDITLINK__" localSheetId="3"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6__FDSAUDITLINK__" localSheetId="1"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6__FDSAUDITLINK__"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7__FDSAUDITLINK__" localSheetId="4"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7__FDSAUDITLINK__" localSheetId="5"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7__FDSAUDITLINK__" localSheetId="3"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7__FDSAUDITLINK__" localSheetId="1"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7__FDSAUDITLINK__"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8__FDSAUDITLINK__" localSheetId="4"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8__FDSAUDITLINK__" localSheetId="5"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8__FDSAUDITLINK__" localSheetId="3"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8__FDSAUDITLINK__" localSheetId="1"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8__FDSAUDITLINK__"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9__FDSAUDITLINK__" localSheetId="4"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09__FDSAUDITLINK__" localSheetId="5"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09__FDSAUDITLINK__" localSheetId="3"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09__FDSAUDITLINK__" localSheetId="1"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09__FDSAUDITLINK__"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1__FDSAUDITLINK__" localSheetId="4"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__FDSAUDITLINK__" localSheetId="5"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__FDSAUDITLINK__" localSheetId="3"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__FDSAUDITLINK__" localSheetId="1"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__FDSAUDITLINK__"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0__FDSAUDITLINK__" localSheetId="4"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0__FDSAUDITLINK__" localSheetId="5"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0__FDSAUDITLINK__" localSheetId="3"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0__FDSAUDITLINK__" localSheetId="1"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0__FDSAUDITLINK__"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1__FDSAUDITLINK__" localSheetId="4"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1__FDSAUDITLINK__" localSheetId="5"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1__FDSAUDITLINK__" localSheetId="3"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1__FDSAUDITLINK__" localSheetId="1"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1__FDSAUDITLINK__"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2__FDSAUDITLINK__" localSheetId="4"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2__FDSAUDITLINK__" localSheetId="5"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2__FDSAUDITLINK__" localSheetId="3"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2__FDSAUDITLINK__" localSheetId="1"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2__FDSAUDITLINK__"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3__FDSAUDITLINK__" localSheetId="4"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3__FDSAUDITLINK__" localSheetId="5"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3__FDSAUDITLINK__" localSheetId="3"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3__FDSAUDITLINK__" localSheetId="1"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3__FDSAUDITLINK__"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4__FDSAUDITLINK__" localSheetId="4"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4__FDSAUDITLINK__" localSheetId="5"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4__FDSAUDITLINK__" localSheetId="3"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4__FDSAUDITLINK__" localSheetId="1"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4__FDSAUDITLINK__"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5__FDSAUDITLINK__" localSheetId="4"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5__FDSAUDITLINK__" localSheetId="5"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5__FDSAUDITLINK__" localSheetId="3"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5__FDSAUDITLINK__" localSheetId="1"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5__FDSAUDITLINK__"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6__FDSAUDITLINK__" localSheetId="4"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6__FDSAUDITLINK__" localSheetId="5"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6__FDSAUDITLINK__" localSheetId="3"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6__FDSAUDITLINK__" localSheetId="1"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6__FDSAUDITLINK__"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7__FDSAUDITLINK__" localSheetId="4"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7__FDSAUDITLINK__" localSheetId="5"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7__FDSAUDITLINK__" localSheetId="3"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7__FDSAUDITLINK__" localSheetId="1"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7__FDSAUDITLINK__"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8__FDSAUDITLINK__" localSheetId="4"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8__FDSAUDITLINK__" localSheetId="5"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8__FDSAUDITLINK__" localSheetId="3"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8__FDSAUDITLINK__" localSheetId="1"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8__FDSAUDITLINK__"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9__FDSAUDITLINK__" localSheetId="4"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19__FDSAUDITLINK__" localSheetId="5"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19__FDSAUDITLINK__" localSheetId="3"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19__FDSAUDITLINK__" localSheetId="1"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19__FDSAUDITLINK__"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2__FDSAUDITLINK__" localSheetId="4"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__FDSAUDITLINK__" localSheetId="5"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__FDSAUDITLINK__" localSheetId="3"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__FDSAUDITLINK__" localSheetId="1"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__FDSAUDITLINK__"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0__FDSAUDITLINK__" localSheetId="4"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0__FDSAUDITLINK__" localSheetId="5"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0__FDSAUDITLINK__" localSheetId="3"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0__FDSAUDITLINK__" localSheetId="1"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0__FDSAUDITLINK__"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1__FDSAUDITLINK__" localSheetId="4"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1__FDSAUDITLINK__" localSheetId="5"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1__FDSAUDITLINK__" localSheetId="3"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1__FDSAUDITLINK__" localSheetId="1"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1__FDSAUDITLINK__"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2__FDSAUDITLINK__" localSheetId="4"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2__FDSAUDITLINK__" localSheetId="5"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2__FDSAUDITLINK__" localSheetId="3"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2__FDSAUDITLINK__" localSheetId="1"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2__FDSAUDITLINK__"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3__FDSAUDITLINK__" localSheetId="4"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3__FDSAUDITLINK__" localSheetId="5"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3__FDSAUDITLINK__" localSheetId="3"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3__FDSAUDITLINK__" localSheetId="1"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3__FDSAUDITLINK__"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4__FDSAUDITLINK__" localSheetId="4"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4__FDSAUDITLINK__" localSheetId="5"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4__FDSAUDITLINK__" localSheetId="3"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4__FDSAUDITLINK__" localSheetId="1"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4__FDSAUDITLINK__"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5__FDSAUDITLINK__" localSheetId="4"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5__FDSAUDITLINK__" localSheetId="5"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5__FDSAUDITLINK__" localSheetId="3"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5__FDSAUDITLINK__" localSheetId="1"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5__FDSAUDITLINK__"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6__FDSAUDITLINK__" localSheetId="4"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6__FDSAUDITLINK__" localSheetId="5"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6__FDSAUDITLINK__" localSheetId="3"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6__FDSAUDITLINK__" localSheetId="1"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6__FDSAUDITLINK__"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7__FDSAUDITLINK__" localSheetId="4"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7__FDSAUDITLINK__" localSheetId="5"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7__FDSAUDITLINK__" localSheetId="3"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7__FDSAUDITLINK__" localSheetId="1"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7__FDSAUDITLINK__"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8__FDSAUDITLINK__" localSheetId="4"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8__FDSAUDITLINK__" localSheetId="5"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8__FDSAUDITLINK__" localSheetId="3"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8__FDSAUDITLINK__" localSheetId="1"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8__FDSAUDITLINK__"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9__FDSAUDITLINK__" localSheetId="4"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29__FDSAUDITLINK__" localSheetId="5"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29__FDSAUDITLINK__" localSheetId="3"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29__FDSAUDITLINK__" localSheetId="1"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29__FDSAUDITLINK__"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3__FDSAUDITLINK__" localSheetId="4"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__FDSAUDITLINK__" localSheetId="5"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__FDSAUDITLINK__" localSheetId="3"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__FDSAUDITLINK__" localSheetId="1"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__FDSAUDITLINK__"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0__FDSAUDITLINK__" localSheetId="4"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0__FDSAUDITLINK__" localSheetId="5"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0__FDSAUDITLINK__" localSheetId="3"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0__FDSAUDITLINK__" localSheetId="1"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0__FDSAUDITLINK__"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1__FDSAUDITLINK__" localSheetId="4"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1__FDSAUDITLINK__" localSheetId="5"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1__FDSAUDITLINK__" localSheetId="3"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1__FDSAUDITLINK__" localSheetId="1"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1__FDSAUDITLINK__"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2__FDSAUDITLINK__" localSheetId="4"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2__FDSAUDITLINK__" localSheetId="5"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2__FDSAUDITLINK__" localSheetId="3"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2__FDSAUDITLINK__" localSheetId="1"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2__FDSAUDITLINK__"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3__FDSAUDITLINK__" localSheetId="4"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3__FDSAUDITLINK__" localSheetId="5"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3__FDSAUDITLINK__" localSheetId="3"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3__FDSAUDITLINK__" localSheetId="1"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3__FDSAUDITLINK__"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4__FDSAUDITLINK__" localSheetId="4"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4__FDSAUDITLINK__" localSheetId="5"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4__FDSAUDITLINK__" localSheetId="3"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4__FDSAUDITLINK__" localSheetId="1"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4__FDSAUDITLINK__"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5__FDSAUDITLINK__" localSheetId="4"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5__FDSAUDITLINK__" localSheetId="5"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5__FDSAUDITLINK__" localSheetId="3"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5__FDSAUDITLINK__" localSheetId="1"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5__FDSAUDITLINK__"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6__FDSAUDITLINK__" localSheetId="4"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6__FDSAUDITLINK__" localSheetId="5"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6__FDSAUDITLINK__" localSheetId="3"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6__FDSAUDITLINK__" localSheetId="1"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6__FDSAUDITLINK__"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7__FDSAUDITLINK__" localSheetId="4"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7__FDSAUDITLINK__" localSheetId="5"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7__FDSAUDITLINK__" localSheetId="3"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7__FDSAUDITLINK__" localSheetId="1"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7__FDSAUDITLINK__"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8__FDSAUDITLINK__" localSheetId="4"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8__FDSAUDITLINK__" localSheetId="5"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8__FDSAUDITLINK__" localSheetId="3"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8__FDSAUDITLINK__" localSheetId="1"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8__FDSAUDITLINK__"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9__FDSAUDITLINK__" localSheetId="4"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39__FDSAUDITLINK__" localSheetId="5"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39__FDSAUDITLINK__" localSheetId="3"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39__FDSAUDITLINK__" localSheetId="1"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39__FDSAUDITLINK__"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4__FDSAUDITLINK__" localSheetId="4" hidden="1">{"fdsup://Directions/FactSet Auditing Viewer?action=AUDIT_VALUE&amp;DB=129&amp;ID1=69840W10&amp;VALUEID=P05202&amp;SDATE=2011&amp;PERIODTYPE=ANN_STD&amp;SCFT=3&amp;window=popup_no_bar&amp;width=385&amp;height=120&amp;START_MAXIMIZED=FALSE&amp;creator=factset&amp;display_string=Audit"}</definedName>
    <definedName name="_194__FDSAUDITLINK__" localSheetId="5" hidden="1">{"fdsup://Directions/FactSet Auditing Viewer?action=AUDIT_VALUE&amp;DB=129&amp;ID1=69840W10&amp;VALUEID=P05202&amp;SDATE=2011&amp;PERIODTYPE=ANN_STD&amp;SCFT=3&amp;window=popup_no_bar&amp;width=385&amp;height=120&amp;START_MAXIMIZED=FALSE&amp;creator=factset&amp;display_string=Audit"}</definedName>
    <definedName name="_194__FDSAUDITLINK__" localSheetId="3" hidden="1">{"fdsup://Directions/FactSet Auditing Viewer?action=AUDIT_VALUE&amp;DB=129&amp;ID1=69840W10&amp;VALUEID=P05202&amp;SDATE=2011&amp;PERIODTYPE=ANN_STD&amp;SCFT=3&amp;window=popup_no_bar&amp;width=385&amp;height=120&amp;START_MAXIMIZED=FALSE&amp;creator=factset&amp;display_string=Audit"}</definedName>
    <definedName name="_194__FDSAUDITLINK__" localSheetId="1" hidden="1">{"fdsup://Directions/FactSet Auditing Viewer?action=AUDIT_VALUE&amp;DB=129&amp;ID1=69840W10&amp;VALUEID=P05202&amp;SDATE=2011&amp;PERIODTYPE=ANN_STD&amp;SCFT=3&amp;window=popup_no_bar&amp;width=385&amp;height=120&amp;START_MAXIMIZED=FALSE&amp;creator=factset&amp;display_string=Audit"}</definedName>
    <definedName name="_194__FDSAUDITLINK__" hidden="1">{"fdsup://Directions/FactSet Auditing Viewer?action=AUDIT_VALUE&amp;DB=129&amp;ID1=69840W10&amp;VALUEID=P05202&amp;SDATE=2011&amp;PERIODTYPE=ANN_STD&amp;SCFT=3&amp;window=popup_no_bar&amp;width=385&amp;height=120&amp;START_MAXIMIZED=FALSE&amp;creator=factset&amp;display_string=Audit"}</definedName>
    <definedName name="_1940__FDSAUDITLINK__" localSheetId="4"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0__FDSAUDITLINK__" localSheetId="5"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0__FDSAUDITLINK__" localSheetId="3"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0__FDSAUDITLINK__" localSheetId="1"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0__FDSAUDITLINK__"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1__FDSAUDITLINK__" localSheetId="4"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1__FDSAUDITLINK__" localSheetId="5"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1__FDSAUDITLINK__" localSheetId="3"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1__FDSAUDITLINK__" localSheetId="1"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1__FDSAUDITLINK__"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2__FDSAUDITLINK__" localSheetId="4"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2__FDSAUDITLINK__" localSheetId="5"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2__FDSAUDITLINK__" localSheetId="3"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2__FDSAUDITLINK__" localSheetId="1"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2__FDSAUDITLINK__"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3__FDSAUDITLINK__" localSheetId="4"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3__FDSAUDITLINK__" localSheetId="5"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3__FDSAUDITLINK__" localSheetId="3"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3__FDSAUDITLINK__" localSheetId="1"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3__FDSAUDITLINK__"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4__FDSAUDITLINK__" localSheetId="4"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4__FDSAUDITLINK__" localSheetId="5"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4__FDSAUDITLINK__" localSheetId="3"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4__FDSAUDITLINK__" localSheetId="1"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4__FDSAUDITLINK__"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5__FDSAUDITLINK__" localSheetId="4"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5__FDSAUDITLINK__" localSheetId="5"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5__FDSAUDITLINK__" localSheetId="3"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5__FDSAUDITLINK__" localSheetId="1"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5__FDSAUDITLINK__"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6__FDSAUDITLINK__" localSheetId="4"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6__FDSAUDITLINK__" localSheetId="5"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6__FDSAUDITLINK__" localSheetId="3"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6__FDSAUDITLINK__" localSheetId="1"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6__FDSAUDITLINK__"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7__FDSAUDITLINK__" localSheetId="4"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7__FDSAUDITLINK__" localSheetId="5"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7__FDSAUDITLINK__" localSheetId="3"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7__FDSAUDITLINK__" localSheetId="1"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7__FDSAUDITLINK__"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8__FDSAUDITLINK__" localSheetId="4"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8__FDSAUDITLINK__" localSheetId="5"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8__FDSAUDITLINK__" localSheetId="3"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8__FDSAUDITLINK__" localSheetId="1"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8__FDSAUDITLINK__"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9__FDSAUDITLINK__" localSheetId="4"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49__FDSAUDITLINK__" localSheetId="5"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49__FDSAUDITLINK__" localSheetId="3"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49__FDSAUDITLINK__" localSheetId="1"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49__FDSAUDITLINK__"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5__FDSAUDITLINK__" localSheetId="4" hidden="1">{"fdsup://Directions/FactSet Auditing Viewer?action=AUDIT_VALUE&amp;DB=129&amp;ID1=93114210&amp;VALUEID=P05202&amp;SDATE=2011&amp;PERIODTYPE=ANN_STD&amp;SCFT=3&amp;window=popup_no_bar&amp;width=385&amp;height=120&amp;START_MAXIMIZED=FALSE&amp;creator=factset&amp;display_string=Audit"}</definedName>
    <definedName name="_195__FDSAUDITLINK__" localSheetId="5" hidden="1">{"fdsup://Directions/FactSet Auditing Viewer?action=AUDIT_VALUE&amp;DB=129&amp;ID1=93114210&amp;VALUEID=P05202&amp;SDATE=2011&amp;PERIODTYPE=ANN_STD&amp;SCFT=3&amp;window=popup_no_bar&amp;width=385&amp;height=120&amp;START_MAXIMIZED=FALSE&amp;creator=factset&amp;display_string=Audit"}</definedName>
    <definedName name="_195__FDSAUDITLINK__" localSheetId="3" hidden="1">{"fdsup://Directions/FactSet Auditing Viewer?action=AUDIT_VALUE&amp;DB=129&amp;ID1=93114210&amp;VALUEID=P05202&amp;SDATE=2011&amp;PERIODTYPE=ANN_STD&amp;SCFT=3&amp;window=popup_no_bar&amp;width=385&amp;height=120&amp;START_MAXIMIZED=FALSE&amp;creator=factset&amp;display_string=Audit"}</definedName>
    <definedName name="_195__FDSAUDITLINK__" localSheetId="1" hidden="1">{"fdsup://Directions/FactSet Auditing Viewer?action=AUDIT_VALUE&amp;DB=129&amp;ID1=93114210&amp;VALUEID=P05202&amp;SDATE=2011&amp;PERIODTYPE=ANN_STD&amp;SCFT=3&amp;window=popup_no_bar&amp;width=385&amp;height=120&amp;START_MAXIMIZED=FALSE&amp;creator=factset&amp;display_string=Audit"}</definedName>
    <definedName name="_195__FDSAUDITLINK__" hidden="1">{"fdsup://Directions/FactSet Auditing Viewer?action=AUDIT_VALUE&amp;DB=129&amp;ID1=93114210&amp;VALUEID=P05202&amp;SDATE=2011&amp;PERIODTYPE=ANN_STD&amp;SCFT=3&amp;window=popup_no_bar&amp;width=385&amp;height=120&amp;START_MAXIMIZED=FALSE&amp;creator=factset&amp;display_string=Audit"}</definedName>
    <definedName name="_1950__FDSAUDITLINK__" localSheetId="4"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0__FDSAUDITLINK__" localSheetId="5"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0__FDSAUDITLINK__" localSheetId="3"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0__FDSAUDITLINK__" localSheetId="1"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0__FDSAUDITLINK__"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1__FDSAUDITLINK__" localSheetId="4"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1__FDSAUDITLINK__" localSheetId="5"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1__FDSAUDITLINK__" localSheetId="3"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1__FDSAUDITLINK__" localSheetId="1"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1__FDSAUDITLINK__"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2__FDSAUDITLINK__" localSheetId="4"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2__FDSAUDITLINK__" localSheetId="5"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2__FDSAUDITLINK__" localSheetId="3"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2__FDSAUDITLINK__" localSheetId="1"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2__FDSAUDITLINK__"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3__FDSAUDITLINK__" localSheetId="4"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3__FDSAUDITLINK__" localSheetId="5"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3__FDSAUDITLINK__" localSheetId="3"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3__FDSAUDITLINK__" localSheetId="1"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3__FDSAUDITLINK__"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4__FDSAUDITLINK__" localSheetId="4"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4__FDSAUDITLINK__" localSheetId="5"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4__FDSAUDITLINK__" localSheetId="3"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4__FDSAUDITLINK__" localSheetId="1"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4__FDSAUDITLINK__"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5__FDSAUDITLINK__" localSheetId="4"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5__FDSAUDITLINK__" localSheetId="5"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5__FDSAUDITLINK__" localSheetId="3"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5__FDSAUDITLINK__" localSheetId="1"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5__FDSAUDITLINK__"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6__FDSAUDITLINK__" localSheetId="4"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6__FDSAUDITLINK__" localSheetId="5"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6__FDSAUDITLINK__" localSheetId="3"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6__FDSAUDITLINK__" localSheetId="1"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6__FDSAUDITLINK__"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7__FDSAUDITLINK__" localSheetId="4"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7__FDSAUDITLINK__" localSheetId="5"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7__FDSAUDITLINK__" localSheetId="3"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7__FDSAUDITLINK__" localSheetId="1"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7__FDSAUDITLINK__"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8__FDSAUDITLINK__" localSheetId="4"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8__FDSAUDITLINK__" localSheetId="5"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8__FDSAUDITLINK__" localSheetId="3"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8__FDSAUDITLINK__" localSheetId="1"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8__FDSAUDITLINK__"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9__FDSAUDITLINK__" localSheetId="4"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59__FDSAUDITLINK__" localSheetId="5"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59__FDSAUDITLINK__" localSheetId="3"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59__FDSAUDITLINK__" localSheetId="1"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59__FDSAUDITLINK__"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6__FDSAUDITLINK__" localSheetId="4" hidden="1">{"fdsup://Directions/FactSet Auditing Viewer?action=AUDIT_VALUE&amp;DB=129&amp;ID1=74271810&amp;VALUEID=P05202&amp;SDATE=2011&amp;PERIODTYPE=ANN_STD&amp;SCFT=3&amp;window=popup_no_bar&amp;width=385&amp;height=120&amp;START_MAXIMIZED=FALSE&amp;creator=factset&amp;display_string=Audit"}</definedName>
    <definedName name="_196__FDSAUDITLINK__" localSheetId="5" hidden="1">{"fdsup://Directions/FactSet Auditing Viewer?action=AUDIT_VALUE&amp;DB=129&amp;ID1=74271810&amp;VALUEID=P05202&amp;SDATE=2011&amp;PERIODTYPE=ANN_STD&amp;SCFT=3&amp;window=popup_no_bar&amp;width=385&amp;height=120&amp;START_MAXIMIZED=FALSE&amp;creator=factset&amp;display_string=Audit"}</definedName>
    <definedName name="_196__FDSAUDITLINK__" localSheetId="3" hidden="1">{"fdsup://Directions/FactSet Auditing Viewer?action=AUDIT_VALUE&amp;DB=129&amp;ID1=74271810&amp;VALUEID=P05202&amp;SDATE=2011&amp;PERIODTYPE=ANN_STD&amp;SCFT=3&amp;window=popup_no_bar&amp;width=385&amp;height=120&amp;START_MAXIMIZED=FALSE&amp;creator=factset&amp;display_string=Audit"}</definedName>
    <definedName name="_196__FDSAUDITLINK__" localSheetId="1" hidden="1">{"fdsup://Directions/FactSet Auditing Viewer?action=AUDIT_VALUE&amp;DB=129&amp;ID1=74271810&amp;VALUEID=P05202&amp;SDATE=2011&amp;PERIODTYPE=ANN_STD&amp;SCFT=3&amp;window=popup_no_bar&amp;width=385&amp;height=120&amp;START_MAXIMIZED=FALSE&amp;creator=factset&amp;display_string=Audit"}</definedName>
    <definedName name="_196__FDSAUDITLINK__" hidden="1">{"fdsup://Directions/FactSet Auditing Viewer?action=AUDIT_VALUE&amp;DB=129&amp;ID1=74271810&amp;VALUEID=P05202&amp;SDATE=2011&amp;PERIODTYPE=ANN_STD&amp;SCFT=3&amp;window=popup_no_bar&amp;width=385&amp;height=120&amp;START_MAXIMIZED=FALSE&amp;creator=factset&amp;display_string=Audit"}</definedName>
    <definedName name="_1960__FDSAUDITLINK__" localSheetId="4"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0__FDSAUDITLINK__" localSheetId="5"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0__FDSAUDITLINK__" localSheetId="3"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0__FDSAUDITLINK__" localSheetId="1"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0__FDSAUDITLINK__"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1__FDSAUDITLINK__" localSheetId="4"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1__FDSAUDITLINK__" localSheetId="5"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1__FDSAUDITLINK__" localSheetId="3"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1__FDSAUDITLINK__" localSheetId="1"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1__FDSAUDITLINK__"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2__FDSAUDITLINK__" localSheetId="4"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2__FDSAUDITLINK__" localSheetId="5"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2__FDSAUDITLINK__" localSheetId="3"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2__FDSAUDITLINK__" localSheetId="1"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2__FDSAUDITLINK__"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3__FDSAUDITLINK__" localSheetId="4"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3__FDSAUDITLINK__" localSheetId="5"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3__FDSAUDITLINK__" localSheetId="3"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3__FDSAUDITLINK__" localSheetId="1"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3__FDSAUDITLINK__"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4__FDSAUDITLINK__" localSheetId="4"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4__FDSAUDITLINK__" localSheetId="5"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4__FDSAUDITLINK__" localSheetId="3"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4__FDSAUDITLINK__" localSheetId="1"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4__FDSAUDITLINK__"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5__FDSAUDITLINK__" localSheetId="4"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5__FDSAUDITLINK__" localSheetId="5"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5__FDSAUDITLINK__" localSheetId="3"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5__FDSAUDITLINK__" localSheetId="1"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5__FDSAUDITLINK__"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6__FDSAUDITLINK__" localSheetId="4"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6__FDSAUDITLINK__" localSheetId="5"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6__FDSAUDITLINK__" localSheetId="3"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6__FDSAUDITLINK__" localSheetId="1"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6__FDSAUDITLINK__"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7__FDSAUDITLINK__" localSheetId="4"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7__FDSAUDITLINK__" localSheetId="5"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7__FDSAUDITLINK__" localSheetId="3"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7__FDSAUDITLINK__" localSheetId="1"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7__FDSAUDITLINK__"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8__FDSAUDITLINK__" localSheetId="4"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8__FDSAUDITLINK__" localSheetId="5"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8__FDSAUDITLINK__" localSheetId="3"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8__FDSAUDITLINK__" localSheetId="1"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8__FDSAUDITLINK__"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9__FDSAUDITLINK__" localSheetId="4"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69__FDSAUDITLINK__" localSheetId="5"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69__FDSAUDITLINK__" localSheetId="3"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69__FDSAUDITLINK__" localSheetId="1"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69__FDSAUDITLINK__"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7__FDSAUDITLINK__" localSheetId="4" hidden="1">{"fdsup://Directions/FactSet Auditing Viewer?action=AUDIT_VALUE&amp;DB=129&amp;ID1=19416210&amp;VALUEID=P05202&amp;SDATE=2011&amp;PERIODTYPE=ANN_STD&amp;SCFT=3&amp;window=popup_no_bar&amp;width=385&amp;height=120&amp;START_MAXIMIZED=FALSE&amp;creator=factset&amp;display_string=Audit"}</definedName>
    <definedName name="_197__FDSAUDITLINK__" localSheetId="5" hidden="1">{"fdsup://Directions/FactSet Auditing Viewer?action=AUDIT_VALUE&amp;DB=129&amp;ID1=19416210&amp;VALUEID=P05202&amp;SDATE=2011&amp;PERIODTYPE=ANN_STD&amp;SCFT=3&amp;window=popup_no_bar&amp;width=385&amp;height=120&amp;START_MAXIMIZED=FALSE&amp;creator=factset&amp;display_string=Audit"}</definedName>
    <definedName name="_197__FDSAUDITLINK__" localSheetId="3" hidden="1">{"fdsup://Directions/FactSet Auditing Viewer?action=AUDIT_VALUE&amp;DB=129&amp;ID1=19416210&amp;VALUEID=P05202&amp;SDATE=2011&amp;PERIODTYPE=ANN_STD&amp;SCFT=3&amp;window=popup_no_bar&amp;width=385&amp;height=120&amp;START_MAXIMIZED=FALSE&amp;creator=factset&amp;display_string=Audit"}</definedName>
    <definedName name="_197__FDSAUDITLINK__" localSheetId="1" hidden="1">{"fdsup://Directions/FactSet Auditing Viewer?action=AUDIT_VALUE&amp;DB=129&amp;ID1=19416210&amp;VALUEID=P05202&amp;SDATE=2011&amp;PERIODTYPE=ANN_STD&amp;SCFT=3&amp;window=popup_no_bar&amp;width=385&amp;height=120&amp;START_MAXIMIZED=FALSE&amp;creator=factset&amp;display_string=Audit"}</definedName>
    <definedName name="_197__FDSAUDITLINK__" hidden="1">{"fdsup://Directions/FactSet Auditing Viewer?action=AUDIT_VALUE&amp;DB=129&amp;ID1=19416210&amp;VALUEID=P05202&amp;SDATE=2011&amp;PERIODTYPE=ANN_STD&amp;SCFT=3&amp;window=popup_no_bar&amp;width=385&amp;height=120&amp;START_MAXIMIZED=FALSE&amp;creator=factset&amp;display_string=Audit"}</definedName>
    <definedName name="_1970__FDSAUDITLINK__" localSheetId="4"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0__FDSAUDITLINK__" localSheetId="5"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0__FDSAUDITLINK__" localSheetId="3"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0__FDSAUDITLINK__" localSheetId="1"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0__FDSAUDITLINK__"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1__FDSAUDITLINK__" localSheetId="4"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1__FDSAUDITLINK__" localSheetId="5"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1__FDSAUDITLINK__" localSheetId="3"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1__FDSAUDITLINK__" localSheetId="1"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1__FDSAUDITLINK__"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2__FDSAUDITLINK__" localSheetId="4"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2__FDSAUDITLINK__" localSheetId="5"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2__FDSAUDITLINK__" localSheetId="3"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2__FDSAUDITLINK__" localSheetId="1"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2__FDSAUDITLINK__"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3__FDSAUDITLINK__" localSheetId="4"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3__FDSAUDITLINK__" localSheetId="5"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3__FDSAUDITLINK__" localSheetId="3"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3__FDSAUDITLINK__" localSheetId="1"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3__FDSAUDITLINK__"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4__FDSAUDITLINK__" localSheetId="4"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4__FDSAUDITLINK__" localSheetId="5"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4__FDSAUDITLINK__" localSheetId="3"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4__FDSAUDITLINK__" localSheetId="1"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4__FDSAUDITLINK__"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5__FDSAUDITLINK__" localSheetId="4"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5__FDSAUDITLINK__" localSheetId="5"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5__FDSAUDITLINK__" localSheetId="3"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5__FDSAUDITLINK__" localSheetId="1"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5__FDSAUDITLINK__"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6__FDSAUDITLINK__" localSheetId="4"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6__FDSAUDITLINK__" localSheetId="5"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6__FDSAUDITLINK__" localSheetId="3"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6__FDSAUDITLINK__" localSheetId="1"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6__FDSAUDITLINK__"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7__FDSAUDITLINK__" localSheetId="4"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7__FDSAUDITLINK__" localSheetId="5"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7__FDSAUDITLINK__" localSheetId="3"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7__FDSAUDITLINK__" localSheetId="1"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7__FDSAUDITLINK__"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8__FDSAUDITLINK__" localSheetId="4"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8__FDSAUDITLINK__" localSheetId="5"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8__FDSAUDITLINK__" localSheetId="3"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8__FDSAUDITLINK__" localSheetId="1"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8__FDSAUDITLINK__"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9__FDSAUDITLINK__" localSheetId="4"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79__FDSAUDITLINK__" localSheetId="5"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79__FDSAUDITLINK__" localSheetId="3"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79__FDSAUDITLINK__" localSheetId="1"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79__FDSAUDITLINK__"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8__FDSAUDITLINK__" localSheetId="4" hidden="1">{"fdsup://Directions/FactSet Auditing Viewer?action=AUDIT_VALUE&amp;DB=129&amp;ID1=98849810&amp;VALUEID=P05202&amp;SDATE=2011&amp;PERIODTYPE=ANN_STD&amp;SCFT=3&amp;window=popup_no_bar&amp;width=385&amp;height=120&amp;START_MAXIMIZED=FALSE&amp;creator=factset&amp;display_string=Audit"}</definedName>
    <definedName name="_198__FDSAUDITLINK__" localSheetId="5" hidden="1">{"fdsup://Directions/FactSet Auditing Viewer?action=AUDIT_VALUE&amp;DB=129&amp;ID1=98849810&amp;VALUEID=P05202&amp;SDATE=2011&amp;PERIODTYPE=ANN_STD&amp;SCFT=3&amp;window=popup_no_bar&amp;width=385&amp;height=120&amp;START_MAXIMIZED=FALSE&amp;creator=factset&amp;display_string=Audit"}</definedName>
    <definedName name="_198__FDSAUDITLINK__" localSheetId="3" hidden="1">{"fdsup://Directions/FactSet Auditing Viewer?action=AUDIT_VALUE&amp;DB=129&amp;ID1=98849810&amp;VALUEID=P05202&amp;SDATE=2011&amp;PERIODTYPE=ANN_STD&amp;SCFT=3&amp;window=popup_no_bar&amp;width=385&amp;height=120&amp;START_MAXIMIZED=FALSE&amp;creator=factset&amp;display_string=Audit"}</definedName>
    <definedName name="_198__FDSAUDITLINK__" localSheetId="1" hidden="1">{"fdsup://Directions/FactSet Auditing Viewer?action=AUDIT_VALUE&amp;DB=129&amp;ID1=98849810&amp;VALUEID=P05202&amp;SDATE=2011&amp;PERIODTYPE=ANN_STD&amp;SCFT=3&amp;window=popup_no_bar&amp;width=385&amp;height=120&amp;START_MAXIMIZED=FALSE&amp;creator=factset&amp;display_string=Audit"}</definedName>
    <definedName name="_198__FDSAUDITLINK__" hidden="1">{"fdsup://Directions/FactSet Auditing Viewer?action=AUDIT_VALUE&amp;DB=129&amp;ID1=98849810&amp;VALUEID=P05202&amp;SDATE=2011&amp;PERIODTYPE=ANN_STD&amp;SCFT=3&amp;window=popup_no_bar&amp;width=385&amp;height=120&amp;START_MAXIMIZED=FALSE&amp;creator=factset&amp;display_string=Audit"}</definedName>
    <definedName name="_1980__FDSAUDITLINK__" localSheetId="4"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0__FDSAUDITLINK__" localSheetId="5"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0__FDSAUDITLINK__" localSheetId="3"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0__FDSAUDITLINK__" localSheetId="1"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0__FDSAUDITLINK__"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1__FDSAUDITLINK__" localSheetId="4"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1__FDSAUDITLINK__" localSheetId="5"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1__FDSAUDITLINK__" localSheetId="3"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1__FDSAUDITLINK__" localSheetId="1"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1__FDSAUDITLINK__"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2__FDSAUDITLINK__" localSheetId="4"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2__FDSAUDITLINK__" localSheetId="5"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2__FDSAUDITLINK__" localSheetId="3"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2__FDSAUDITLINK__" localSheetId="1"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2__FDSAUDITLINK__"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3__FDSAUDITLINK__" localSheetId="4"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3__FDSAUDITLINK__" localSheetId="5"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3__FDSAUDITLINK__" localSheetId="3"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3__FDSAUDITLINK__" localSheetId="1"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3__FDSAUDITLINK__"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4__FDSAUDITLINK__" localSheetId="4"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4__FDSAUDITLINK__" localSheetId="5"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4__FDSAUDITLINK__" localSheetId="3"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4__FDSAUDITLINK__" localSheetId="1"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4__FDSAUDITLINK__"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5__FDSAUDITLINK__" localSheetId="4"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5__FDSAUDITLINK__" localSheetId="5"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5__FDSAUDITLINK__" localSheetId="3"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5__FDSAUDITLINK__" localSheetId="1"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5__FDSAUDITLINK__"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6__FDSAUDITLINK__" localSheetId="4"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6__FDSAUDITLINK__" localSheetId="5"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6__FDSAUDITLINK__" localSheetId="3"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6__FDSAUDITLINK__" localSheetId="1"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6__FDSAUDITLINK__"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7__FDSAUDITLINK__" localSheetId="4"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7__FDSAUDITLINK__" localSheetId="5"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7__FDSAUDITLINK__" localSheetId="3"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7__FDSAUDITLINK__" localSheetId="1"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7__FDSAUDITLINK__"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8__FDSAUDITLINK__" localSheetId="4"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8__FDSAUDITLINK__" localSheetId="5"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8__FDSAUDITLINK__" localSheetId="3"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8__FDSAUDITLINK__" localSheetId="1"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8__FDSAUDITLINK__"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9__FDSAUDITLINK__" localSheetId="4"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89__FDSAUDITLINK__" localSheetId="5"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89__FDSAUDITLINK__" localSheetId="3"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89__FDSAUDITLINK__" localSheetId="1"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89__FDSAUDITLINK__"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9__FDSAUDITLINK__" localSheetId="4"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__FDSAUDITLINK__" localSheetId="5"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__FDSAUDITLINK__" localSheetId="3"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__FDSAUDITLINK__" localSheetId="1"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__FDSAUDITLINK__"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0__FDSAUDITLINK__" localSheetId="4"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0__FDSAUDITLINK__" localSheetId="5"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0__FDSAUDITLINK__" localSheetId="3"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0__FDSAUDITLINK__" localSheetId="1"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0__FDSAUDITLINK__"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1__FDSAUDITLINK__" localSheetId="4"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1__FDSAUDITLINK__" localSheetId="5"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1__FDSAUDITLINK__" localSheetId="3"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1__FDSAUDITLINK__" localSheetId="1"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1__FDSAUDITLINK__"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2__FDSAUDITLINK__" localSheetId="4"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2__FDSAUDITLINK__" localSheetId="5"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2__FDSAUDITLINK__" localSheetId="3"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2__FDSAUDITLINK__" localSheetId="1"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2__FDSAUDITLINK__"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3__FDSAUDITLINK__" localSheetId="4"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3__FDSAUDITLINK__" localSheetId="5"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3__FDSAUDITLINK__" localSheetId="3"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3__FDSAUDITLINK__" localSheetId="1"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3__FDSAUDITLINK__"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4__FDSAUDITLINK__" localSheetId="4"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4__FDSAUDITLINK__" localSheetId="5"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4__FDSAUDITLINK__" localSheetId="3"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4__FDSAUDITLINK__" localSheetId="1"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4__FDSAUDITLINK__"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5__FDSAUDITLINK__" localSheetId="4"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5__FDSAUDITLINK__" localSheetId="5"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5__FDSAUDITLINK__" localSheetId="3"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5__FDSAUDITLINK__" localSheetId="1"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5__FDSAUDITLINK__"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6__FDSAUDITLINK__" localSheetId="4"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6__FDSAUDITLINK__" localSheetId="5"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6__FDSAUDITLINK__" localSheetId="3"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6__FDSAUDITLINK__" localSheetId="1"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6__FDSAUDITLINK__"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7__FDSAUDITLINK__" localSheetId="4"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7__FDSAUDITLINK__" localSheetId="5"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7__FDSAUDITLINK__" localSheetId="3"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7__FDSAUDITLINK__" localSheetId="1"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7__FDSAUDITLINK__"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8__FDSAUDITLINK__" localSheetId="4"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8__FDSAUDITLINK__" localSheetId="5"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8__FDSAUDITLINK__" localSheetId="3"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8__FDSAUDITLINK__" localSheetId="1"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8__FDSAUDITLINK__"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9__FDSAUDITLINK__" localSheetId="4"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1999__FDSAUDITLINK__" localSheetId="5"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1999__FDSAUDITLINK__" localSheetId="3"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1999__FDSAUDITLINK__" localSheetId="1"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1999__FDSAUDITLINK__"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2__FDSAUDITLINK__" localSheetId="4"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__FDSAUDITLINK__" localSheetId="5"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__FDSAUDITLINK__" localSheetId="3"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__FDSAUDITLINK__" localSheetId="1"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__FDSAUDITLINK__"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0__FDSAUDITLINK__" localSheetId="4"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__FDSAUDITLINK__" localSheetId="5"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__FDSAUDITLINK__" localSheetId="3"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__FDSAUDITLINK__" localSheetId="1"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__FDSAUDITLINK__"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0__FDSAUDITLINK__" localSheetId="4"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__FDSAUDITLINK__" localSheetId="5"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__FDSAUDITLINK__" localSheetId="3"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__FDSAUDITLINK__" localSheetId="1"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__FDSAUDITLINK__"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0__FDSAUDITLINK__" localSheetId="4"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0__FDSAUDITLINK__" localSheetId="5"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0__FDSAUDITLINK__" localSheetId="3"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0__FDSAUDITLINK__" localSheetId="1"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0__FDSAUDITLINK__"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1__FDSAUDITLINK__" localSheetId="4"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1__FDSAUDITLINK__" localSheetId="5"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1__FDSAUDITLINK__" localSheetId="3"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1__FDSAUDITLINK__" localSheetId="1"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1__FDSAUDITLINK__"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2__FDSAUDITLINK__" localSheetId="4"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2__FDSAUDITLINK__" localSheetId="5"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2__FDSAUDITLINK__" localSheetId="3"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2__FDSAUDITLINK__" localSheetId="1"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2__FDSAUDITLINK__"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3__FDSAUDITLINK__" localSheetId="4"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3__FDSAUDITLINK__" localSheetId="5"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3__FDSAUDITLINK__" localSheetId="3"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3__FDSAUDITLINK__" localSheetId="1"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3__FDSAUDITLINK__"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4__FDSAUDITLINK__" localSheetId="4"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4__FDSAUDITLINK__" localSheetId="5"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4__FDSAUDITLINK__" localSheetId="3"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4__FDSAUDITLINK__" localSheetId="1"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4__FDSAUDITLINK__"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5__FDSAUDITLINK__" localSheetId="4"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5__FDSAUDITLINK__" localSheetId="5"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5__FDSAUDITLINK__" localSheetId="3"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5__FDSAUDITLINK__" localSheetId="1"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5__FDSAUDITLINK__"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6__FDSAUDITLINK__" localSheetId="4"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6__FDSAUDITLINK__" localSheetId="5"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6__FDSAUDITLINK__" localSheetId="3"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6__FDSAUDITLINK__" localSheetId="1"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6__FDSAUDITLINK__"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7__FDSAUDITLINK__" localSheetId="4"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7__FDSAUDITLINK__" localSheetId="5"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7__FDSAUDITLINK__" localSheetId="3"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7__FDSAUDITLINK__" localSheetId="1"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7__FDSAUDITLINK__"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8__FDSAUDITLINK__" localSheetId="4"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8__FDSAUDITLINK__" localSheetId="5"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8__FDSAUDITLINK__" localSheetId="3"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8__FDSAUDITLINK__" localSheetId="1"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8__FDSAUDITLINK__"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9__FDSAUDITLINK__" localSheetId="4"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09__FDSAUDITLINK__" localSheetId="5"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09__FDSAUDITLINK__" localSheetId="3"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09__FDSAUDITLINK__" localSheetId="1"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09__FDSAUDITLINK__"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1__FDSAUDITLINK__" localSheetId="4"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__FDSAUDITLINK__" localSheetId="5"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__FDSAUDITLINK__" localSheetId="3"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__FDSAUDITLINK__" localSheetId="1"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__FDSAUDITLINK__"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0__FDSAUDITLINK__" localSheetId="4"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0__FDSAUDITLINK__" localSheetId="5"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0__FDSAUDITLINK__" localSheetId="3"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0__FDSAUDITLINK__" localSheetId="1"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0__FDSAUDITLINK__"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1__FDSAUDITLINK__" localSheetId="4"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1__FDSAUDITLINK__" localSheetId="5"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1__FDSAUDITLINK__" localSheetId="3"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1__FDSAUDITLINK__" localSheetId="1"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1__FDSAUDITLINK__"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2__FDSAUDITLINK__" localSheetId="4"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2__FDSAUDITLINK__" localSheetId="5"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2__FDSAUDITLINK__" localSheetId="3"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2__FDSAUDITLINK__" localSheetId="1"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2__FDSAUDITLINK__"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3__FDSAUDITLINK__" localSheetId="4"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3__FDSAUDITLINK__" localSheetId="5"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3__FDSAUDITLINK__" localSheetId="3"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3__FDSAUDITLINK__" localSheetId="1"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3__FDSAUDITLINK__"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4__FDSAUDITLINK__" localSheetId="4"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4__FDSAUDITLINK__" localSheetId="5"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4__FDSAUDITLINK__" localSheetId="3"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4__FDSAUDITLINK__" localSheetId="1"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4__FDSAUDITLINK__"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5__FDSAUDITLINK__" localSheetId="4"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5__FDSAUDITLINK__" localSheetId="5"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5__FDSAUDITLINK__" localSheetId="3"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5__FDSAUDITLINK__" localSheetId="1"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5__FDSAUDITLINK__"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6__FDSAUDITLINK__" localSheetId="4"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6__FDSAUDITLINK__" localSheetId="5"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6__FDSAUDITLINK__" localSheetId="3"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6__FDSAUDITLINK__" localSheetId="1"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6__FDSAUDITLINK__"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7__FDSAUDITLINK__" localSheetId="4"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7__FDSAUDITLINK__" localSheetId="5"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7__FDSAUDITLINK__" localSheetId="3"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7__FDSAUDITLINK__" localSheetId="1"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7__FDSAUDITLINK__"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8__FDSAUDITLINK__" localSheetId="4"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8__FDSAUDITLINK__" localSheetId="5"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8__FDSAUDITLINK__" localSheetId="3"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8__FDSAUDITLINK__" localSheetId="1"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8__FDSAUDITLINK__"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9__FDSAUDITLINK__" localSheetId="4"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19__FDSAUDITLINK__" localSheetId="5"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19__FDSAUDITLINK__" localSheetId="3"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19__FDSAUDITLINK__" localSheetId="1"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19__FDSAUDITLINK__"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2__FDSAUDITLINK__" localSheetId="4"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__FDSAUDITLINK__" localSheetId="5"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__FDSAUDITLINK__" localSheetId="3"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__FDSAUDITLINK__" localSheetId="1"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__FDSAUDITLINK__"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0__FDSAUDITLINK__" localSheetId="4"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0__FDSAUDITLINK__" localSheetId="5"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0__FDSAUDITLINK__" localSheetId="3"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0__FDSAUDITLINK__" localSheetId="1"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0__FDSAUDITLINK__"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1__FDSAUDITLINK__" localSheetId="4"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1__FDSAUDITLINK__" localSheetId="5"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1__FDSAUDITLINK__" localSheetId="3"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1__FDSAUDITLINK__" localSheetId="1"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1__FDSAUDITLINK__"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2__FDSAUDITLINK__" localSheetId="4"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2__FDSAUDITLINK__" localSheetId="5"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2__FDSAUDITLINK__" localSheetId="3"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2__FDSAUDITLINK__" localSheetId="1"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2__FDSAUDITLINK__"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3__FDSAUDITLINK__" localSheetId="4"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3__FDSAUDITLINK__" localSheetId="5"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3__FDSAUDITLINK__" localSheetId="3"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3__FDSAUDITLINK__" localSheetId="1"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3__FDSAUDITLINK__"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4__FDSAUDITLINK__" localSheetId="4"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4__FDSAUDITLINK__" localSheetId="5"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4__FDSAUDITLINK__" localSheetId="3"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4__FDSAUDITLINK__" localSheetId="1"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4__FDSAUDITLINK__"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5__FDSAUDITLINK__" localSheetId="4"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5__FDSAUDITLINK__" localSheetId="5"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5__FDSAUDITLINK__" localSheetId="3"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5__FDSAUDITLINK__" localSheetId="1"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5__FDSAUDITLINK__"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6__FDSAUDITLINK__" localSheetId="4"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6__FDSAUDITLINK__" localSheetId="5"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6__FDSAUDITLINK__" localSheetId="3"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6__FDSAUDITLINK__" localSheetId="1"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6__FDSAUDITLINK__"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7__FDSAUDITLINK__" localSheetId="4"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7__FDSAUDITLINK__" localSheetId="5"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7__FDSAUDITLINK__" localSheetId="3"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7__FDSAUDITLINK__" localSheetId="1"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7__FDSAUDITLINK__"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8__FDSAUDITLINK__" localSheetId="4"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8__FDSAUDITLINK__" localSheetId="5"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8__FDSAUDITLINK__" localSheetId="3"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8__FDSAUDITLINK__" localSheetId="1"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8__FDSAUDITLINK__"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9__FDSAUDITLINK__" localSheetId="4"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29__FDSAUDITLINK__" localSheetId="5"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29__FDSAUDITLINK__" localSheetId="3"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29__FDSAUDITLINK__" localSheetId="1"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29__FDSAUDITLINK__"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3__FDSAUDITLINK__" localSheetId="4"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__FDSAUDITLINK__" localSheetId="5"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__FDSAUDITLINK__" localSheetId="3"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__FDSAUDITLINK__" localSheetId="1"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__FDSAUDITLINK__"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0__FDSAUDITLINK__" localSheetId="4"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0__FDSAUDITLINK__" localSheetId="5"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0__FDSAUDITLINK__" localSheetId="3"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0__FDSAUDITLINK__" localSheetId="1"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0__FDSAUDITLINK__"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1__FDSAUDITLINK__" localSheetId="4"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1__FDSAUDITLINK__" localSheetId="5"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1__FDSAUDITLINK__" localSheetId="3"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1__FDSAUDITLINK__" localSheetId="1"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1__FDSAUDITLINK__"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2__FDSAUDITLINK__" localSheetId="4"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2__FDSAUDITLINK__" localSheetId="5"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2__FDSAUDITLINK__" localSheetId="3"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2__FDSAUDITLINK__" localSheetId="1"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2__FDSAUDITLINK__"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3__FDSAUDITLINK__" localSheetId="4"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3__FDSAUDITLINK__" localSheetId="5"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3__FDSAUDITLINK__" localSheetId="3"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3__FDSAUDITLINK__" localSheetId="1"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3__FDSAUDITLINK__"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4__FDSAUDITLINK__" localSheetId="4"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4__FDSAUDITLINK__" localSheetId="5"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4__FDSAUDITLINK__" localSheetId="3"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4__FDSAUDITLINK__" localSheetId="1"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4__FDSAUDITLINK__"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5__FDSAUDITLINK__" localSheetId="4"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5__FDSAUDITLINK__" localSheetId="5"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5__FDSAUDITLINK__" localSheetId="3"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5__FDSAUDITLINK__" localSheetId="1"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5__FDSAUDITLINK__"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6__FDSAUDITLINK__" localSheetId="4"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6__FDSAUDITLINK__" localSheetId="5"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6__FDSAUDITLINK__" localSheetId="3"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6__FDSAUDITLINK__" localSheetId="1"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6__FDSAUDITLINK__"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7__FDSAUDITLINK__" localSheetId="4"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7__FDSAUDITLINK__" localSheetId="5"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7__FDSAUDITLINK__" localSheetId="3"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7__FDSAUDITLINK__" localSheetId="1"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7__FDSAUDITLINK__"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8__FDSAUDITLINK__" localSheetId="4"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8__FDSAUDITLINK__" localSheetId="5"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8__FDSAUDITLINK__" localSheetId="3"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8__FDSAUDITLINK__" localSheetId="1"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8__FDSAUDITLINK__"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9__FDSAUDITLINK__" localSheetId="4"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39__FDSAUDITLINK__" localSheetId="5"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39__FDSAUDITLINK__" localSheetId="3"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39__FDSAUDITLINK__" localSheetId="1"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39__FDSAUDITLINK__"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4__FDSAUDITLINK__" localSheetId="4"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__FDSAUDITLINK__" localSheetId="5"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__FDSAUDITLINK__" localSheetId="3"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__FDSAUDITLINK__" localSheetId="1"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__FDSAUDITLINK__"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0__FDSAUDITLINK__" localSheetId="4"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0__FDSAUDITLINK__" localSheetId="5"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0__FDSAUDITLINK__" localSheetId="3"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0__FDSAUDITLINK__" localSheetId="1"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0__FDSAUDITLINK__"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1__FDSAUDITLINK__" localSheetId="4"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1__FDSAUDITLINK__" localSheetId="5"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1__FDSAUDITLINK__" localSheetId="3"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1__FDSAUDITLINK__" localSheetId="1"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1__FDSAUDITLINK__"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2__FDSAUDITLINK__" localSheetId="4"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2__FDSAUDITLINK__" localSheetId="5"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2__FDSAUDITLINK__" localSheetId="3"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2__FDSAUDITLINK__" localSheetId="1"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2__FDSAUDITLINK__"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3__FDSAUDITLINK__" localSheetId="4"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3__FDSAUDITLINK__" localSheetId="5"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3__FDSAUDITLINK__" localSheetId="3"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3__FDSAUDITLINK__" localSheetId="1"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3__FDSAUDITLINK__"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4__FDSAUDITLINK__" localSheetId="4"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4__FDSAUDITLINK__" localSheetId="5"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4__FDSAUDITLINK__" localSheetId="3"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4__FDSAUDITLINK__" localSheetId="1"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4__FDSAUDITLINK__"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5__FDSAUDITLINK__" localSheetId="4"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5__FDSAUDITLINK__" localSheetId="5"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5__FDSAUDITLINK__" localSheetId="3"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5__FDSAUDITLINK__" localSheetId="1"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5__FDSAUDITLINK__"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6__FDSAUDITLINK__" localSheetId="4"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6__FDSAUDITLINK__" localSheetId="5"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6__FDSAUDITLINK__" localSheetId="3"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6__FDSAUDITLINK__" localSheetId="1"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6__FDSAUDITLINK__"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7__FDSAUDITLINK__" localSheetId="4"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7__FDSAUDITLINK__" localSheetId="5"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7__FDSAUDITLINK__" localSheetId="3"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7__FDSAUDITLINK__" localSheetId="1"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7__FDSAUDITLINK__"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8__FDSAUDITLINK__" localSheetId="4"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8__FDSAUDITLINK__" localSheetId="5"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8__FDSAUDITLINK__" localSheetId="3"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8__FDSAUDITLINK__" localSheetId="1"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8__FDSAUDITLINK__"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9__FDSAUDITLINK__" localSheetId="4"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49__FDSAUDITLINK__" localSheetId="5"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49__FDSAUDITLINK__" localSheetId="3"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49__FDSAUDITLINK__" localSheetId="1"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49__FDSAUDITLINK__"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5__FDSAUDITLINK__" localSheetId="4"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__FDSAUDITLINK__" localSheetId="5"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__FDSAUDITLINK__" localSheetId="3"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__FDSAUDITLINK__" localSheetId="1"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__FDSAUDITLINK__"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0__FDSAUDITLINK__" localSheetId="4"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0__FDSAUDITLINK__" localSheetId="5"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0__FDSAUDITLINK__" localSheetId="3"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0__FDSAUDITLINK__" localSheetId="1"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0__FDSAUDITLINK__"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1__FDSAUDITLINK__" localSheetId="4"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1__FDSAUDITLINK__" localSheetId="5"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1__FDSAUDITLINK__" localSheetId="3"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1__FDSAUDITLINK__" localSheetId="1"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1__FDSAUDITLINK__"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2__FDSAUDITLINK__" localSheetId="4"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2__FDSAUDITLINK__" localSheetId="5"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2__FDSAUDITLINK__" localSheetId="3"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2__FDSAUDITLINK__" localSheetId="1"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2__FDSAUDITLINK__"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3__FDSAUDITLINK__" localSheetId="4"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3__FDSAUDITLINK__" localSheetId="5"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3__FDSAUDITLINK__" localSheetId="3"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3__FDSAUDITLINK__" localSheetId="1"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3__FDSAUDITLINK__"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4__FDSAUDITLINK__" localSheetId="4"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4__FDSAUDITLINK__" localSheetId="5"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4__FDSAUDITLINK__" localSheetId="3"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4__FDSAUDITLINK__" localSheetId="1"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4__FDSAUDITLINK__"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5__FDSAUDITLINK__" localSheetId="4"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5__FDSAUDITLINK__" localSheetId="5"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5__FDSAUDITLINK__" localSheetId="3"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5__FDSAUDITLINK__" localSheetId="1"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5__FDSAUDITLINK__"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6__FDSAUDITLINK__" localSheetId="4"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6__FDSAUDITLINK__" localSheetId="5"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6__FDSAUDITLINK__" localSheetId="3"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6__FDSAUDITLINK__" localSheetId="1"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6__FDSAUDITLINK__"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7__FDSAUDITLINK__" localSheetId="4"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7__FDSAUDITLINK__" localSheetId="5"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7__FDSAUDITLINK__" localSheetId="3"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7__FDSAUDITLINK__" localSheetId="1"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7__FDSAUDITLINK__"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8__FDSAUDITLINK__" localSheetId="4"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8__FDSAUDITLINK__" localSheetId="5"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8__FDSAUDITLINK__" localSheetId="3"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8__FDSAUDITLINK__" localSheetId="1"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8__FDSAUDITLINK__"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9__FDSAUDITLINK__" localSheetId="4"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59__FDSAUDITLINK__" localSheetId="5"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59__FDSAUDITLINK__" localSheetId="3"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59__FDSAUDITLINK__" localSheetId="1"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59__FDSAUDITLINK__"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6__FDSAUDITLINK__" localSheetId="4"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__FDSAUDITLINK__" localSheetId="5"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__FDSAUDITLINK__" localSheetId="3"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__FDSAUDITLINK__" localSheetId="1"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__FDSAUDITLINK__"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0__FDSAUDITLINK__" localSheetId="4"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0__FDSAUDITLINK__" localSheetId="5"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0__FDSAUDITLINK__" localSheetId="3"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0__FDSAUDITLINK__" localSheetId="1"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0__FDSAUDITLINK__"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1__FDSAUDITLINK__" localSheetId="4"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1__FDSAUDITLINK__" localSheetId="5"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1__FDSAUDITLINK__" localSheetId="3"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1__FDSAUDITLINK__" localSheetId="1"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1__FDSAUDITLINK__"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2__FDSAUDITLINK__" localSheetId="4"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2__FDSAUDITLINK__" localSheetId="5"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2__FDSAUDITLINK__" localSheetId="3"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2__FDSAUDITLINK__" localSheetId="1"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2__FDSAUDITLINK__"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3__FDSAUDITLINK__" localSheetId="4"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3__FDSAUDITLINK__" localSheetId="5"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3__FDSAUDITLINK__" localSheetId="3"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3__FDSAUDITLINK__" localSheetId="1"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3__FDSAUDITLINK__"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4__FDSAUDITLINK__" localSheetId="4"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4__FDSAUDITLINK__" localSheetId="5"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4__FDSAUDITLINK__" localSheetId="3"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4__FDSAUDITLINK__" localSheetId="1"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4__FDSAUDITLINK__"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5__FDSAUDITLINK__" localSheetId="4"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5__FDSAUDITLINK__" localSheetId="5"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5__FDSAUDITLINK__" localSheetId="3"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5__FDSAUDITLINK__" localSheetId="1"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5__FDSAUDITLINK__"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6__FDSAUDITLINK__" localSheetId="4"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6__FDSAUDITLINK__" localSheetId="5"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6__FDSAUDITLINK__" localSheetId="3"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6__FDSAUDITLINK__" localSheetId="1"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6__FDSAUDITLINK__"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7__FDSAUDITLINK__" localSheetId="4"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7__FDSAUDITLINK__" localSheetId="5"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7__FDSAUDITLINK__" localSheetId="3"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7__FDSAUDITLINK__" localSheetId="1"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7__FDSAUDITLINK__"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8__FDSAUDITLINK__" localSheetId="4"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8__FDSAUDITLINK__" localSheetId="5"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8__FDSAUDITLINK__" localSheetId="3"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8__FDSAUDITLINK__" localSheetId="1"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8__FDSAUDITLINK__"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9__FDSAUDITLINK__" localSheetId="4"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69__FDSAUDITLINK__" localSheetId="5"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69__FDSAUDITLINK__" localSheetId="3"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69__FDSAUDITLINK__" localSheetId="1"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69__FDSAUDITLINK__"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7__FDSAUDITLINK__" localSheetId="4"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__FDSAUDITLINK__" localSheetId="5"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__FDSAUDITLINK__" localSheetId="3"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__FDSAUDITLINK__" localSheetId="1"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__FDSAUDITLINK__"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0__FDSAUDITLINK__" localSheetId="4"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0__FDSAUDITLINK__" localSheetId="5"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0__FDSAUDITLINK__" localSheetId="3"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0__FDSAUDITLINK__" localSheetId="1"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0__FDSAUDITLINK__"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1__FDSAUDITLINK__" localSheetId="4"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1__FDSAUDITLINK__" localSheetId="5"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1__FDSAUDITLINK__" localSheetId="3"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1__FDSAUDITLINK__" localSheetId="1"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1__FDSAUDITLINK__"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2__FDSAUDITLINK__" localSheetId="4"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2__FDSAUDITLINK__" localSheetId="5"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2__FDSAUDITLINK__" localSheetId="3"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2__FDSAUDITLINK__" localSheetId="1"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2__FDSAUDITLINK__"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3__FDSAUDITLINK__" localSheetId="4"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3__FDSAUDITLINK__" localSheetId="5"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3__FDSAUDITLINK__" localSheetId="3"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3__FDSAUDITLINK__" localSheetId="1"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3__FDSAUDITLINK__"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4__FDSAUDITLINK__" localSheetId="4"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4__FDSAUDITLINK__" localSheetId="5"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4__FDSAUDITLINK__" localSheetId="3"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4__FDSAUDITLINK__" localSheetId="1"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4__FDSAUDITLINK__"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5__FDSAUDITLINK__" localSheetId="4"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5__FDSAUDITLINK__" localSheetId="5"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5__FDSAUDITLINK__" localSheetId="3"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5__FDSAUDITLINK__" localSheetId="1"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5__FDSAUDITLINK__"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6__FDSAUDITLINK__" localSheetId="4"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6__FDSAUDITLINK__" localSheetId="5"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6__FDSAUDITLINK__" localSheetId="3"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6__FDSAUDITLINK__" localSheetId="1"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6__FDSAUDITLINK__"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7__FDSAUDITLINK__" localSheetId="4"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7__FDSAUDITLINK__" localSheetId="5"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7__FDSAUDITLINK__" localSheetId="3"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7__FDSAUDITLINK__" localSheetId="1"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7__FDSAUDITLINK__"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8__FDSAUDITLINK__" localSheetId="4"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8__FDSAUDITLINK__" localSheetId="5"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8__FDSAUDITLINK__" localSheetId="3"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8__FDSAUDITLINK__" localSheetId="1"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8__FDSAUDITLINK__"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9__FDSAUDITLINK__" localSheetId="4"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79__FDSAUDITLINK__" localSheetId="5"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79__FDSAUDITLINK__" localSheetId="3"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79__FDSAUDITLINK__" localSheetId="1"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79__FDSAUDITLINK__"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8__FDSAUDITLINK__" localSheetId="4"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__FDSAUDITLINK__" localSheetId="5"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__FDSAUDITLINK__" localSheetId="3"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__FDSAUDITLINK__" localSheetId="1"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__FDSAUDITLINK__"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0__FDSAUDITLINK__" localSheetId="4"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0__FDSAUDITLINK__" localSheetId="5"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0__FDSAUDITLINK__" localSheetId="3"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0__FDSAUDITLINK__" localSheetId="1"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0__FDSAUDITLINK__"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1__FDSAUDITLINK__" localSheetId="4"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1__FDSAUDITLINK__" localSheetId="5"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1__FDSAUDITLINK__" localSheetId="3"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1__FDSAUDITLINK__" localSheetId="1"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1__FDSAUDITLINK__"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2__FDSAUDITLINK__" localSheetId="4"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2__FDSAUDITLINK__" localSheetId="5"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2__FDSAUDITLINK__" localSheetId="3"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2__FDSAUDITLINK__" localSheetId="1"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2__FDSAUDITLINK__"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3__FDSAUDITLINK__" localSheetId="4"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3__FDSAUDITLINK__" localSheetId="5"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3__FDSAUDITLINK__" localSheetId="3"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3__FDSAUDITLINK__" localSheetId="1"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3__FDSAUDITLINK__"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4__FDSAUDITLINK__" localSheetId="4"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4__FDSAUDITLINK__" localSheetId="5"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4__FDSAUDITLINK__" localSheetId="3"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4__FDSAUDITLINK__" localSheetId="1"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4__FDSAUDITLINK__"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5__FDSAUDITLINK__" localSheetId="4"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5__FDSAUDITLINK__" localSheetId="5"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5__FDSAUDITLINK__" localSheetId="3"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5__FDSAUDITLINK__" localSheetId="1"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5__FDSAUDITLINK__"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6__FDSAUDITLINK__" localSheetId="4"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6__FDSAUDITLINK__" localSheetId="5"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6__FDSAUDITLINK__" localSheetId="3"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6__FDSAUDITLINK__" localSheetId="1"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6__FDSAUDITLINK__"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7__FDSAUDITLINK__" localSheetId="4"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7__FDSAUDITLINK__" localSheetId="5"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7__FDSAUDITLINK__" localSheetId="3"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7__FDSAUDITLINK__" localSheetId="1"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7__FDSAUDITLINK__"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8__FDSAUDITLINK__" localSheetId="4"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8__FDSAUDITLINK__" localSheetId="5"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8__FDSAUDITLINK__" localSheetId="3"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8__FDSAUDITLINK__" localSheetId="1"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8__FDSAUDITLINK__"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9__FDSAUDITLINK__" localSheetId="4"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89__FDSAUDITLINK__" localSheetId="5"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89__FDSAUDITLINK__" localSheetId="3"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89__FDSAUDITLINK__" localSheetId="1"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89__FDSAUDITLINK__"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9__FDSAUDITLINK__" localSheetId="4"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__FDSAUDITLINK__" localSheetId="5"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__FDSAUDITLINK__" localSheetId="3"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__FDSAUDITLINK__" localSheetId="1"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__FDSAUDITLINK__"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0__FDSAUDITLINK__" localSheetId="4"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0__FDSAUDITLINK__" localSheetId="5"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0__FDSAUDITLINK__" localSheetId="3"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0__FDSAUDITLINK__" localSheetId="1"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0__FDSAUDITLINK__"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1__FDSAUDITLINK__" localSheetId="4"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1__FDSAUDITLINK__" localSheetId="5"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1__FDSAUDITLINK__" localSheetId="3"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1__FDSAUDITLINK__" localSheetId="1"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1__FDSAUDITLINK__"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2__FDSAUDITLINK__" localSheetId="4"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2__FDSAUDITLINK__" localSheetId="5"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2__FDSAUDITLINK__" localSheetId="3"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2__FDSAUDITLINK__" localSheetId="1"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2__FDSAUDITLINK__"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3__FDSAUDITLINK__" localSheetId="4"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3__FDSAUDITLINK__" localSheetId="5"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3__FDSAUDITLINK__" localSheetId="3"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3__FDSAUDITLINK__" localSheetId="1"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3__FDSAUDITLINK__"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4__FDSAUDITLINK__" localSheetId="4"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4__FDSAUDITLINK__" localSheetId="5"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4__FDSAUDITLINK__" localSheetId="3"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4__FDSAUDITLINK__" localSheetId="1"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4__FDSAUDITLINK__"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5__FDSAUDITLINK__" localSheetId="4"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5__FDSAUDITLINK__" localSheetId="5"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5__FDSAUDITLINK__" localSheetId="3"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5__FDSAUDITLINK__" localSheetId="1"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5__FDSAUDITLINK__"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6__FDSAUDITLINK__" localSheetId="4"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6__FDSAUDITLINK__" localSheetId="5"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6__FDSAUDITLINK__" localSheetId="3"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6__FDSAUDITLINK__" localSheetId="1"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6__FDSAUDITLINK__"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7__FDSAUDITLINK__" localSheetId="4"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7__FDSAUDITLINK__" localSheetId="5"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7__FDSAUDITLINK__" localSheetId="3"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7__FDSAUDITLINK__" localSheetId="1"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7__FDSAUDITLINK__"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8__FDSAUDITLINK__" localSheetId="4"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8__FDSAUDITLINK__" localSheetId="5"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8__FDSAUDITLINK__" localSheetId="3"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8__FDSAUDITLINK__" localSheetId="1"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8__FDSAUDITLINK__"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9__FDSAUDITLINK__" localSheetId="4"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099__FDSAUDITLINK__" localSheetId="5"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099__FDSAUDITLINK__" localSheetId="3"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099__FDSAUDITLINK__" localSheetId="1"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099__FDSAUDITLINK__"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1__FDSAUDITLINK__" localSheetId="4"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__FDSAUDITLINK__" localSheetId="5"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__FDSAUDITLINK__" localSheetId="3"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__FDSAUDITLINK__" localSheetId="1"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__FDSAUDITLINK__"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0__FDSAUDITLINK__" localSheetId="4"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__FDSAUDITLINK__" localSheetId="5"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__FDSAUDITLINK__" localSheetId="3"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__FDSAUDITLINK__" localSheetId="1"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__FDSAUDITLINK__"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0__FDSAUDITLINK__" localSheetId="4"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0__FDSAUDITLINK__" localSheetId="5"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0__FDSAUDITLINK__" localSheetId="3"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0__FDSAUDITLINK__" localSheetId="1"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0__FDSAUDITLINK__"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1__FDSAUDITLINK__" localSheetId="4"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1__FDSAUDITLINK__" localSheetId="5"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1__FDSAUDITLINK__" localSheetId="3"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1__FDSAUDITLINK__" localSheetId="1"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1__FDSAUDITLINK__"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2__FDSAUDITLINK__" localSheetId="4"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2__FDSAUDITLINK__" localSheetId="5"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2__FDSAUDITLINK__" localSheetId="3"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2__FDSAUDITLINK__" localSheetId="1"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2__FDSAUDITLINK__"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3__FDSAUDITLINK__" localSheetId="4"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3__FDSAUDITLINK__" localSheetId="5"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3__FDSAUDITLINK__" localSheetId="3"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3__FDSAUDITLINK__" localSheetId="1"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3__FDSAUDITLINK__"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4__FDSAUDITLINK__" localSheetId="4"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4__FDSAUDITLINK__" localSheetId="5"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4__FDSAUDITLINK__" localSheetId="3"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4__FDSAUDITLINK__" localSheetId="1"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4__FDSAUDITLINK__"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5__FDSAUDITLINK__" localSheetId="4"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5__FDSAUDITLINK__" localSheetId="5"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5__FDSAUDITLINK__" localSheetId="3"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5__FDSAUDITLINK__" localSheetId="1"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5__FDSAUDITLINK__"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6__FDSAUDITLINK__" localSheetId="4"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6__FDSAUDITLINK__" localSheetId="5"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6__FDSAUDITLINK__" localSheetId="3"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6__FDSAUDITLINK__" localSheetId="1"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6__FDSAUDITLINK__"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7__FDSAUDITLINK__" localSheetId="4"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7__FDSAUDITLINK__" localSheetId="5"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7__FDSAUDITLINK__" localSheetId="3"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7__FDSAUDITLINK__" localSheetId="1"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7__FDSAUDITLINK__"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8__FDSAUDITLINK__" localSheetId="4"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8__FDSAUDITLINK__" localSheetId="5"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8__FDSAUDITLINK__" localSheetId="3"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8__FDSAUDITLINK__" localSheetId="1"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8__FDSAUDITLINK__"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9__FDSAUDITLINK__" localSheetId="4"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09__FDSAUDITLINK__" localSheetId="5"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09__FDSAUDITLINK__" localSheetId="3"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09__FDSAUDITLINK__" localSheetId="1"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09__FDSAUDITLINK__"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1__FDSAUDITLINK__" localSheetId="4"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__FDSAUDITLINK__" localSheetId="5"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__FDSAUDITLINK__" localSheetId="3"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__FDSAUDITLINK__" localSheetId="1"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__FDSAUDITLINK__"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0__FDSAUDITLINK__" localSheetId="4"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0__FDSAUDITLINK__" localSheetId="5"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0__FDSAUDITLINK__" localSheetId="3"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0__FDSAUDITLINK__" localSheetId="1"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0__FDSAUDITLINK__"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1__FDSAUDITLINK__" localSheetId="4"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1__FDSAUDITLINK__" localSheetId="5"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1__FDSAUDITLINK__" localSheetId="3"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1__FDSAUDITLINK__" localSheetId="1"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1__FDSAUDITLINK__"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2__FDSAUDITLINK__" localSheetId="4"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2__FDSAUDITLINK__" localSheetId="5"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2__FDSAUDITLINK__" localSheetId="3"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2__FDSAUDITLINK__" localSheetId="1"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2__FDSAUDITLINK__"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3__FDSAUDITLINK__" localSheetId="4"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3__FDSAUDITLINK__" localSheetId="5"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3__FDSAUDITLINK__" localSheetId="3"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3__FDSAUDITLINK__" localSheetId="1"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3__FDSAUDITLINK__"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4__FDSAUDITLINK__" localSheetId="4"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4__FDSAUDITLINK__" localSheetId="5"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4__FDSAUDITLINK__" localSheetId="3"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4__FDSAUDITLINK__" localSheetId="1"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4__FDSAUDITLINK__"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5__FDSAUDITLINK__" localSheetId="4"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5__FDSAUDITLINK__" localSheetId="5"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5__FDSAUDITLINK__" localSheetId="3"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5__FDSAUDITLINK__" localSheetId="1"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5__FDSAUDITLINK__"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6__FDSAUDITLINK__" localSheetId="4"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6__FDSAUDITLINK__" localSheetId="5"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6__FDSAUDITLINK__" localSheetId="3"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6__FDSAUDITLINK__" localSheetId="1"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6__FDSAUDITLINK__"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7__FDSAUDITLINK__" localSheetId="4"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7__FDSAUDITLINK__" localSheetId="5"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7__FDSAUDITLINK__" localSheetId="3"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7__FDSAUDITLINK__" localSheetId="1"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7__FDSAUDITLINK__"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8__FDSAUDITLINK__" localSheetId="4"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8__FDSAUDITLINK__" localSheetId="5"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8__FDSAUDITLINK__" localSheetId="3"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8__FDSAUDITLINK__" localSheetId="1"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8__FDSAUDITLINK__"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9__FDSAUDITLINK__" localSheetId="4"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19__FDSAUDITLINK__" localSheetId="5"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19__FDSAUDITLINK__" localSheetId="3"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19__FDSAUDITLINK__" localSheetId="1"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19__FDSAUDITLINK__"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2__FDSAUDITLINK__" localSheetId="4"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__FDSAUDITLINK__" localSheetId="5"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__FDSAUDITLINK__" localSheetId="3"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__FDSAUDITLINK__" localSheetId="1"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__FDSAUDITLINK__"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0__FDSAUDITLINK__" localSheetId="4"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0__FDSAUDITLINK__" localSheetId="5"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0__FDSAUDITLINK__" localSheetId="3"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0__FDSAUDITLINK__" localSheetId="1"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0__FDSAUDITLINK__"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1__FDSAUDITLINK__" localSheetId="4"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1__FDSAUDITLINK__" localSheetId="5"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1__FDSAUDITLINK__" localSheetId="3"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1__FDSAUDITLINK__" localSheetId="1"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1__FDSAUDITLINK__"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2__FDSAUDITLINK__" localSheetId="4"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2__FDSAUDITLINK__" localSheetId="5"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2__FDSAUDITLINK__" localSheetId="3"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2__FDSAUDITLINK__" localSheetId="1"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2__FDSAUDITLINK__"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3__FDSAUDITLINK__" localSheetId="4"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3__FDSAUDITLINK__" localSheetId="5"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3__FDSAUDITLINK__" localSheetId="3"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3__FDSAUDITLINK__" localSheetId="1"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3__FDSAUDITLINK__"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4__FDSAUDITLINK__" localSheetId="4"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4__FDSAUDITLINK__" localSheetId="5"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4__FDSAUDITLINK__" localSheetId="3"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4__FDSAUDITLINK__" localSheetId="1"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4__FDSAUDITLINK__"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5__FDSAUDITLINK__" localSheetId="4"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5__FDSAUDITLINK__" localSheetId="5"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5__FDSAUDITLINK__" localSheetId="3"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5__FDSAUDITLINK__" localSheetId="1"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5__FDSAUDITLINK__"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6__FDSAUDITLINK__" localSheetId="4"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6__FDSAUDITLINK__" localSheetId="5"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6__FDSAUDITLINK__" localSheetId="3"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6__FDSAUDITLINK__" localSheetId="1"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6__FDSAUDITLINK__"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7__FDSAUDITLINK__" localSheetId="4"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7__FDSAUDITLINK__" localSheetId="5"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7__FDSAUDITLINK__" localSheetId="3"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7__FDSAUDITLINK__" localSheetId="1"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7__FDSAUDITLINK__"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8__FDSAUDITLINK__" localSheetId="4"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8__FDSAUDITLINK__" localSheetId="5"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8__FDSAUDITLINK__" localSheetId="3"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8__FDSAUDITLINK__" localSheetId="1"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8__FDSAUDITLINK__"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9__FDSAUDITLINK__" localSheetId="4"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29__FDSAUDITLINK__" localSheetId="5"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29__FDSAUDITLINK__" localSheetId="3"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29__FDSAUDITLINK__" localSheetId="1"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29__FDSAUDITLINK__"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3__FDSAUDITLINK__" localSheetId="4"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__FDSAUDITLINK__" localSheetId="5"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__FDSAUDITLINK__" localSheetId="3"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__FDSAUDITLINK__" localSheetId="1"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__FDSAUDITLINK__"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0__FDSAUDITLINK__" localSheetId="4"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0__FDSAUDITLINK__" localSheetId="5"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0__FDSAUDITLINK__" localSheetId="3"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0__FDSAUDITLINK__" localSheetId="1"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0__FDSAUDITLINK__"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1__FDSAUDITLINK__" localSheetId="4"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1__FDSAUDITLINK__" localSheetId="5"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1__FDSAUDITLINK__" localSheetId="3"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1__FDSAUDITLINK__" localSheetId="1"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1__FDSAUDITLINK__"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2__FDSAUDITLINK__" localSheetId="4"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2__FDSAUDITLINK__" localSheetId="5"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2__FDSAUDITLINK__" localSheetId="3"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2__FDSAUDITLINK__" localSheetId="1"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2__FDSAUDITLINK__"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3__FDSAUDITLINK__" localSheetId="4"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3__FDSAUDITLINK__" localSheetId="5"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3__FDSAUDITLINK__" localSheetId="3"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3__FDSAUDITLINK__" localSheetId="1"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3__FDSAUDITLINK__"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4__FDSAUDITLINK__" localSheetId="4"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4__FDSAUDITLINK__" localSheetId="5"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4__FDSAUDITLINK__" localSheetId="3"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4__FDSAUDITLINK__" localSheetId="1"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4__FDSAUDITLINK__"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5__FDSAUDITLINK__" localSheetId="4"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5__FDSAUDITLINK__" localSheetId="5"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5__FDSAUDITLINK__" localSheetId="3"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5__FDSAUDITLINK__" localSheetId="1"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5__FDSAUDITLINK__"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6__FDSAUDITLINK__" localSheetId="4"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6__FDSAUDITLINK__" localSheetId="5"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6__FDSAUDITLINK__" localSheetId="3"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6__FDSAUDITLINK__" localSheetId="1"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6__FDSAUDITLINK__"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7__FDSAUDITLINK__" localSheetId="4"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7__FDSAUDITLINK__" localSheetId="5"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7__FDSAUDITLINK__" localSheetId="3"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7__FDSAUDITLINK__" localSheetId="1"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7__FDSAUDITLINK__"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8__FDSAUDITLINK__" localSheetId="4"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8__FDSAUDITLINK__" localSheetId="5"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8__FDSAUDITLINK__" localSheetId="3"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8__FDSAUDITLINK__" localSheetId="1"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8__FDSAUDITLINK__"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9__FDSAUDITLINK__" localSheetId="4"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39__FDSAUDITLINK__" localSheetId="5"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39__FDSAUDITLINK__" localSheetId="3"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39__FDSAUDITLINK__" localSheetId="1"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39__FDSAUDITLINK__"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4__FDSAUDITLINK__" localSheetId="4"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__FDSAUDITLINK__" localSheetId="5"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__FDSAUDITLINK__" localSheetId="3"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__FDSAUDITLINK__" localSheetId="1"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__FDSAUDITLINK__"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0__FDSAUDITLINK__" localSheetId="4"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0__FDSAUDITLINK__" localSheetId="5"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0__FDSAUDITLINK__" localSheetId="3"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0__FDSAUDITLINK__" localSheetId="1"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0__FDSAUDITLINK__"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1__FDSAUDITLINK__" localSheetId="4"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1__FDSAUDITLINK__" localSheetId="5"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1__FDSAUDITLINK__" localSheetId="3"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1__FDSAUDITLINK__" localSheetId="1"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1__FDSAUDITLINK__"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2__FDSAUDITLINK__" localSheetId="4"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2__FDSAUDITLINK__" localSheetId="5"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2__FDSAUDITLINK__" localSheetId="3"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2__FDSAUDITLINK__" localSheetId="1"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2__FDSAUDITLINK__"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3__FDSAUDITLINK__" localSheetId="4"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3__FDSAUDITLINK__" localSheetId="5"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3__FDSAUDITLINK__" localSheetId="3"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3__FDSAUDITLINK__" localSheetId="1"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3__FDSAUDITLINK__"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4__FDSAUDITLINK__" localSheetId="4"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4__FDSAUDITLINK__" localSheetId="5"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4__FDSAUDITLINK__" localSheetId="3"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4__FDSAUDITLINK__" localSheetId="1"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4__FDSAUDITLINK__"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5__FDSAUDITLINK__" localSheetId="4"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5__FDSAUDITLINK__" localSheetId="5"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5__FDSAUDITLINK__" localSheetId="3"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5__FDSAUDITLINK__" localSheetId="1"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5__FDSAUDITLINK__"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6__FDSAUDITLINK__" localSheetId="4"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6__FDSAUDITLINK__" localSheetId="5"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6__FDSAUDITLINK__" localSheetId="3"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6__FDSAUDITLINK__" localSheetId="1"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6__FDSAUDITLINK__"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7__FDSAUDITLINK__" localSheetId="4"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7__FDSAUDITLINK__" localSheetId="5"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7__FDSAUDITLINK__" localSheetId="3"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7__FDSAUDITLINK__" localSheetId="1"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7__FDSAUDITLINK__"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8__FDSAUDITLINK__" localSheetId="4"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8__FDSAUDITLINK__" localSheetId="5"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8__FDSAUDITLINK__" localSheetId="3"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8__FDSAUDITLINK__" localSheetId="1"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8__FDSAUDITLINK__"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9__FDSAUDITLINK__" localSheetId="4"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49__FDSAUDITLINK__" localSheetId="5"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49__FDSAUDITLINK__" localSheetId="3"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49__FDSAUDITLINK__" localSheetId="1"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49__FDSAUDITLINK__"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5__FDSAUDITLINK__" localSheetId="4"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__FDSAUDITLINK__" localSheetId="5"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__FDSAUDITLINK__" localSheetId="3"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__FDSAUDITLINK__" localSheetId="1"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__FDSAUDITLINK__"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0__FDSAUDITLINK__" localSheetId="4"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0__FDSAUDITLINK__" localSheetId="5"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0__FDSAUDITLINK__" localSheetId="3"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0__FDSAUDITLINK__" localSheetId="1"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0__FDSAUDITLINK__"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1__FDSAUDITLINK__" localSheetId="4"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1__FDSAUDITLINK__" localSheetId="5"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1__FDSAUDITLINK__" localSheetId="3"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1__FDSAUDITLINK__" localSheetId="1"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1__FDSAUDITLINK__"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2__FDSAUDITLINK__" localSheetId="4"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2__FDSAUDITLINK__" localSheetId="5"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2__FDSAUDITLINK__" localSheetId="3"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2__FDSAUDITLINK__" localSheetId="1"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2__FDSAUDITLINK__"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3__FDSAUDITLINK__" localSheetId="4"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3__FDSAUDITLINK__" localSheetId="5"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3__FDSAUDITLINK__" localSheetId="3"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3__FDSAUDITLINK__" localSheetId="1"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3__FDSAUDITLINK__"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4__FDSAUDITLINK__" localSheetId="4"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4__FDSAUDITLINK__" localSheetId="5"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4__FDSAUDITLINK__" localSheetId="3"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4__FDSAUDITLINK__" localSheetId="1"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4__FDSAUDITLINK__"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5__FDSAUDITLINK__" localSheetId="4"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5__FDSAUDITLINK__" localSheetId="5"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5__FDSAUDITLINK__" localSheetId="3"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5__FDSAUDITLINK__" localSheetId="1"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5__FDSAUDITLINK__"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6__FDSAUDITLINK__" localSheetId="4"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6__FDSAUDITLINK__" localSheetId="5"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6__FDSAUDITLINK__" localSheetId="3"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6__FDSAUDITLINK__" localSheetId="1"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6__FDSAUDITLINK__"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7__FDSAUDITLINK__" localSheetId="4"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7__FDSAUDITLINK__" localSheetId="5"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7__FDSAUDITLINK__" localSheetId="3"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7__FDSAUDITLINK__" localSheetId="1"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7__FDSAUDITLINK__"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8__FDSAUDITLINK__" localSheetId="4"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8__FDSAUDITLINK__" localSheetId="5"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8__FDSAUDITLINK__" localSheetId="3"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8__FDSAUDITLINK__" localSheetId="1"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8__FDSAUDITLINK__"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9__FDSAUDITLINK__" localSheetId="4"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59__FDSAUDITLINK__" localSheetId="5"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59__FDSAUDITLINK__" localSheetId="3"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59__FDSAUDITLINK__" localSheetId="1"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59__FDSAUDITLINK__"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6__FDSAUDITLINK__" localSheetId="4"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__FDSAUDITLINK__" localSheetId="5"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__FDSAUDITLINK__" localSheetId="3"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__FDSAUDITLINK__" localSheetId="1"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__FDSAUDITLINK__"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0__FDSAUDITLINK__" localSheetId="4"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0__FDSAUDITLINK__" localSheetId="5"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0__FDSAUDITLINK__" localSheetId="3"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0__FDSAUDITLINK__" localSheetId="1"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0__FDSAUDITLINK__"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1__FDSAUDITLINK__" localSheetId="4"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1__FDSAUDITLINK__" localSheetId="5"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1__FDSAUDITLINK__" localSheetId="3"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1__FDSAUDITLINK__" localSheetId="1"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1__FDSAUDITLINK__"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2__FDSAUDITLINK__" localSheetId="4"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2__FDSAUDITLINK__" localSheetId="5"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2__FDSAUDITLINK__" localSheetId="3"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2__FDSAUDITLINK__" localSheetId="1"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2__FDSAUDITLINK__"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3__FDSAUDITLINK__" localSheetId="4"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3__FDSAUDITLINK__" localSheetId="5"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3__FDSAUDITLINK__" localSheetId="3"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3__FDSAUDITLINK__" localSheetId="1"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3__FDSAUDITLINK__"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4__FDSAUDITLINK__" localSheetId="4"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4__FDSAUDITLINK__" localSheetId="5"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4__FDSAUDITLINK__" localSheetId="3"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4__FDSAUDITLINK__" localSheetId="1"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4__FDSAUDITLINK__"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5__FDSAUDITLINK__" localSheetId="4"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5__FDSAUDITLINK__" localSheetId="5"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5__FDSAUDITLINK__" localSheetId="3"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5__FDSAUDITLINK__" localSheetId="1"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5__FDSAUDITLINK__"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6__FDSAUDITLINK__" localSheetId="4"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6__FDSAUDITLINK__" localSheetId="5"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6__FDSAUDITLINK__" localSheetId="3"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6__FDSAUDITLINK__" localSheetId="1"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6__FDSAUDITLINK__"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7__FDSAUDITLINK__" localSheetId="4"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7__FDSAUDITLINK__" localSheetId="5"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7__FDSAUDITLINK__" localSheetId="3"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7__FDSAUDITLINK__" localSheetId="1"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7__FDSAUDITLINK__"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8__FDSAUDITLINK__" localSheetId="4"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8__FDSAUDITLINK__" localSheetId="5"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8__FDSAUDITLINK__" localSheetId="3"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8__FDSAUDITLINK__" localSheetId="1"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8__FDSAUDITLINK__"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9__FDSAUDITLINK__" localSheetId="4"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69__FDSAUDITLINK__" localSheetId="5"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69__FDSAUDITLINK__" localSheetId="3"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69__FDSAUDITLINK__" localSheetId="1"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69__FDSAUDITLINK__"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7__FDSAUDITLINK__" localSheetId="4"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__FDSAUDITLINK__" localSheetId="5"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__FDSAUDITLINK__" localSheetId="3"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__FDSAUDITLINK__" localSheetId="1"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__FDSAUDITLINK__"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0__FDSAUDITLINK__" localSheetId="4"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0__FDSAUDITLINK__" localSheetId="5"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0__FDSAUDITLINK__" localSheetId="3"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0__FDSAUDITLINK__" localSheetId="1"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0__FDSAUDITLINK__"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1__FDSAUDITLINK__" localSheetId="4"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1__FDSAUDITLINK__" localSheetId="5"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1__FDSAUDITLINK__" localSheetId="3"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1__FDSAUDITLINK__" localSheetId="1"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1__FDSAUDITLINK__"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2__FDSAUDITLINK__" localSheetId="4"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2__FDSAUDITLINK__" localSheetId="5"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2__FDSAUDITLINK__" localSheetId="3"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2__FDSAUDITLINK__" localSheetId="1"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2__FDSAUDITLINK__"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3__FDSAUDITLINK__" localSheetId="4"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3__FDSAUDITLINK__" localSheetId="5"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3__FDSAUDITLINK__" localSheetId="3"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3__FDSAUDITLINK__" localSheetId="1"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3__FDSAUDITLINK__"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4__FDSAUDITLINK__" localSheetId="4"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4__FDSAUDITLINK__" localSheetId="5"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4__FDSAUDITLINK__" localSheetId="3"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4__FDSAUDITLINK__" localSheetId="1"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4__FDSAUDITLINK__"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5__FDSAUDITLINK__" localSheetId="4"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5__FDSAUDITLINK__" localSheetId="5"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5__FDSAUDITLINK__" localSheetId="3"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5__FDSAUDITLINK__" localSheetId="1"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5__FDSAUDITLINK__"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6__FDSAUDITLINK__" localSheetId="4"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6__FDSAUDITLINK__" localSheetId="5"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6__FDSAUDITLINK__" localSheetId="3"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6__FDSAUDITLINK__" localSheetId="1"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6__FDSAUDITLINK__"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7__FDSAUDITLINK__" localSheetId="4"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7__FDSAUDITLINK__" localSheetId="5"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7__FDSAUDITLINK__" localSheetId="3"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7__FDSAUDITLINK__" localSheetId="1"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7__FDSAUDITLINK__"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8__FDSAUDITLINK__" localSheetId="4"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8__FDSAUDITLINK__" localSheetId="5"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8__FDSAUDITLINK__" localSheetId="3"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8__FDSAUDITLINK__" localSheetId="1"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8__FDSAUDITLINK__"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9__FDSAUDITLINK__" localSheetId="4"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79__FDSAUDITLINK__" localSheetId="5"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79__FDSAUDITLINK__" localSheetId="3"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79__FDSAUDITLINK__" localSheetId="1"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79__FDSAUDITLINK__"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8__FDSAUDITLINK__" localSheetId="4"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__FDSAUDITLINK__" localSheetId="5"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__FDSAUDITLINK__" localSheetId="3"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__FDSAUDITLINK__" localSheetId="1"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__FDSAUDITLINK__"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0__FDSAUDITLINK__" localSheetId="4"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0__FDSAUDITLINK__" localSheetId="5"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0__FDSAUDITLINK__" localSheetId="3"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0__FDSAUDITLINK__" localSheetId="1"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0__FDSAUDITLINK__"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1__FDSAUDITLINK__" localSheetId="4"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1__FDSAUDITLINK__" localSheetId="5"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1__FDSAUDITLINK__" localSheetId="3"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1__FDSAUDITLINK__" localSheetId="1"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1__FDSAUDITLINK__"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2__FDSAUDITLINK__" localSheetId="4"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2__FDSAUDITLINK__" localSheetId="5"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2__FDSAUDITLINK__" localSheetId="3"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2__FDSAUDITLINK__" localSheetId="1"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2__FDSAUDITLINK__"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3__FDSAUDITLINK__" localSheetId="4"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3__FDSAUDITLINK__" localSheetId="5"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3__FDSAUDITLINK__" localSheetId="3"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3__FDSAUDITLINK__" localSheetId="1"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3__FDSAUDITLINK__"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4__FDSAUDITLINK__" localSheetId="4"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4__FDSAUDITLINK__" localSheetId="5"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4__FDSAUDITLINK__" localSheetId="3"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4__FDSAUDITLINK__" localSheetId="1"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4__FDSAUDITLINK__"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5__FDSAUDITLINK__" localSheetId="4"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5__FDSAUDITLINK__" localSheetId="5"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5__FDSAUDITLINK__" localSheetId="3"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5__FDSAUDITLINK__" localSheetId="1"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5__FDSAUDITLINK__"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6__FDSAUDITLINK__" localSheetId="4"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6__FDSAUDITLINK__" localSheetId="5"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6__FDSAUDITLINK__" localSheetId="3"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6__FDSAUDITLINK__" localSheetId="1"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6__FDSAUDITLINK__"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7__FDSAUDITLINK__" localSheetId="4"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7__FDSAUDITLINK__" localSheetId="5"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7__FDSAUDITLINK__" localSheetId="3"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7__FDSAUDITLINK__" localSheetId="1"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7__FDSAUDITLINK__"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8__FDSAUDITLINK__" localSheetId="4"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8__FDSAUDITLINK__" localSheetId="5"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8__FDSAUDITLINK__" localSheetId="3"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8__FDSAUDITLINK__" localSheetId="1"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8__FDSAUDITLINK__"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9__FDSAUDITLINK__" localSheetId="4"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89__FDSAUDITLINK__" localSheetId="5"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89__FDSAUDITLINK__" localSheetId="3"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89__FDSAUDITLINK__" localSheetId="1"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89__FDSAUDITLINK__"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9__FDSAUDITLINK__" localSheetId="4"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__FDSAUDITLINK__" localSheetId="5"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__FDSAUDITLINK__" localSheetId="3"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__FDSAUDITLINK__" localSheetId="1"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__FDSAUDITLINK__"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0__FDSAUDITLINK__" localSheetId="4"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0__FDSAUDITLINK__" localSheetId="5"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0__FDSAUDITLINK__" localSheetId="3"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0__FDSAUDITLINK__" localSheetId="1"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0__FDSAUDITLINK__"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1__FDSAUDITLINK__" localSheetId="4"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1__FDSAUDITLINK__" localSheetId="5"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1__FDSAUDITLINK__" localSheetId="3"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1__FDSAUDITLINK__" localSheetId="1"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1__FDSAUDITLINK__"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2__FDSAUDITLINK__" localSheetId="4"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2__FDSAUDITLINK__" localSheetId="5"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2__FDSAUDITLINK__" localSheetId="3"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2__FDSAUDITLINK__" localSheetId="1"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2__FDSAUDITLINK__"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3__FDSAUDITLINK__" localSheetId="4"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3__FDSAUDITLINK__" localSheetId="5"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3__FDSAUDITLINK__" localSheetId="3"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3__FDSAUDITLINK__" localSheetId="1"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3__FDSAUDITLINK__"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4__FDSAUDITLINK__" localSheetId="4"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4__FDSAUDITLINK__" localSheetId="5"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4__FDSAUDITLINK__" localSheetId="3"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4__FDSAUDITLINK__" localSheetId="1"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4__FDSAUDITLINK__"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5__FDSAUDITLINK__" localSheetId="4"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5__FDSAUDITLINK__" localSheetId="5"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5__FDSAUDITLINK__" localSheetId="3"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5__FDSAUDITLINK__" localSheetId="1"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5__FDSAUDITLINK__"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6__FDSAUDITLINK__" localSheetId="4"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6__FDSAUDITLINK__" localSheetId="5"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6__FDSAUDITLINK__" localSheetId="3"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6__FDSAUDITLINK__" localSheetId="1"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6__FDSAUDITLINK__"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7__FDSAUDITLINK__" localSheetId="4"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7__FDSAUDITLINK__" localSheetId="5"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7__FDSAUDITLINK__" localSheetId="3"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7__FDSAUDITLINK__" localSheetId="1"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7__FDSAUDITLINK__"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8__FDSAUDITLINK__" localSheetId="4"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8__FDSAUDITLINK__" localSheetId="5"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8__FDSAUDITLINK__" localSheetId="3"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8__FDSAUDITLINK__" localSheetId="1"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8__FDSAUDITLINK__"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9__FDSAUDITLINK__" localSheetId="4"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199__FDSAUDITLINK__" localSheetId="5"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199__FDSAUDITLINK__" localSheetId="3"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199__FDSAUDITLINK__" localSheetId="1"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199__FDSAUDITLINK__"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2__FDSAUDITLINK__" localSheetId="4"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__FDSAUDITLINK__" localSheetId="5"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__FDSAUDITLINK__" localSheetId="3"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__FDSAUDITLINK__" localSheetId="1"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__FDSAUDITLINK__"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0__FDSAUDITLINK__" localSheetId="4"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__FDSAUDITLINK__" localSheetId="5"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__FDSAUDITLINK__" localSheetId="3"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__FDSAUDITLINK__" localSheetId="1"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__FDSAUDITLINK__"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0__FDSAUDITLINK__" localSheetId="4"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0__FDSAUDITLINK__" localSheetId="5"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0__FDSAUDITLINK__" localSheetId="3"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0__FDSAUDITLINK__" localSheetId="1"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0__FDSAUDITLINK__"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1__FDSAUDITLINK__" localSheetId="4"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1__FDSAUDITLINK__" localSheetId="5"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1__FDSAUDITLINK__" localSheetId="3"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1__FDSAUDITLINK__" localSheetId="1"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1__FDSAUDITLINK__"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2__FDSAUDITLINK__" localSheetId="4"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2__FDSAUDITLINK__" localSheetId="5"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2__FDSAUDITLINK__" localSheetId="3"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2__FDSAUDITLINK__" localSheetId="1"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2__FDSAUDITLINK__"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3__FDSAUDITLINK__" localSheetId="4"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3__FDSAUDITLINK__" localSheetId="5"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3__FDSAUDITLINK__" localSheetId="3"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3__FDSAUDITLINK__" localSheetId="1"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3__FDSAUDITLINK__"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4__FDSAUDITLINK__" localSheetId="4"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4__FDSAUDITLINK__" localSheetId="5"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4__FDSAUDITLINK__" localSheetId="3"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4__FDSAUDITLINK__" localSheetId="1"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4__FDSAUDITLINK__"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5__FDSAUDITLINK__" localSheetId="4"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5__FDSAUDITLINK__" localSheetId="5"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5__FDSAUDITLINK__" localSheetId="3"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5__FDSAUDITLINK__" localSheetId="1"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5__FDSAUDITLINK__"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6__FDSAUDITLINK__" localSheetId="4"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6__FDSAUDITLINK__" localSheetId="5"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6__FDSAUDITLINK__" localSheetId="3"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6__FDSAUDITLINK__" localSheetId="1"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6__FDSAUDITLINK__"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7__FDSAUDITLINK__" localSheetId="4"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7__FDSAUDITLINK__" localSheetId="5"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7__FDSAUDITLINK__" localSheetId="3"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7__FDSAUDITLINK__" localSheetId="1"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7__FDSAUDITLINK__"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8__FDSAUDITLINK__" localSheetId="4"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8__FDSAUDITLINK__" localSheetId="5"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8__FDSAUDITLINK__" localSheetId="3"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8__FDSAUDITLINK__" localSheetId="1"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8__FDSAUDITLINK__"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9__FDSAUDITLINK__" localSheetId="4"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09__FDSAUDITLINK__" localSheetId="5"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09__FDSAUDITLINK__" localSheetId="3"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09__FDSAUDITLINK__" localSheetId="1"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09__FDSAUDITLINK__"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1__FDSAUDITLINK__" localSheetId="4"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__FDSAUDITLINK__" localSheetId="5"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__FDSAUDITLINK__" localSheetId="3"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__FDSAUDITLINK__" localSheetId="1"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__FDSAUDITLINK__"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0__FDSAUDITLINK__" localSheetId="4"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0__FDSAUDITLINK__" localSheetId="5"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0__FDSAUDITLINK__" localSheetId="3"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0__FDSAUDITLINK__" localSheetId="1"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0__FDSAUDITLINK__"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1__FDSAUDITLINK__" localSheetId="4"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1__FDSAUDITLINK__" localSheetId="5"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1__FDSAUDITLINK__" localSheetId="3"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1__FDSAUDITLINK__" localSheetId="1"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1__FDSAUDITLINK__"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2__FDSAUDITLINK__" localSheetId="4"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2__FDSAUDITLINK__" localSheetId="5"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2__FDSAUDITLINK__" localSheetId="3"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2__FDSAUDITLINK__" localSheetId="1"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2__FDSAUDITLINK__"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3__FDSAUDITLINK__" localSheetId="4"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3__FDSAUDITLINK__" localSheetId="5"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3__FDSAUDITLINK__" localSheetId="3"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3__FDSAUDITLINK__" localSheetId="1"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3__FDSAUDITLINK__"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4__FDSAUDITLINK__" localSheetId="4"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4__FDSAUDITLINK__" localSheetId="5"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4__FDSAUDITLINK__" localSheetId="3"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4__FDSAUDITLINK__" localSheetId="1"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4__FDSAUDITLINK__"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5__FDSAUDITLINK__" localSheetId="4"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5__FDSAUDITLINK__" localSheetId="5"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5__FDSAUDITLINK__" localSheetId="3"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5__FDSAUDITLINK__" localSheetId="1"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5__FDSAUDITLINK__"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6__FDSAUDITLINK__" localSheetId="4"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6__FDSAUDITLINK__" localSheetId="5"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6__FDSAUDITLINK__" localSheetId="3"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6__FDSAUDITLINK__" localSheetId="1"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6__FDSAUDITLINK__"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7__FDSAUDITLINK__" localSheetId="4"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7__FDSAUDITLINK__" localSheetId="5"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7__FDSAUDITLINK__" localSheetId="3"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7__FDSAUDITLINK__" localSheetId="1"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7__FDSAUDITLINK__"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8__FDSAUDITLINK__" localSheetId="4"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8__FDSAUDITLINK__" localSheetId="5"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8__FDSAUDITLINK__" localSheetId="3"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8__FDSAUDITLINK__" localSheetId="1"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8__FDSAUDITLINK__"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9__FDSAUDITLINK__" localSheetId="4"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19__FDSAUDITLINK__" localSheetId="5"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19__FDSAUDITLINK__" localSheetId="3"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19__FDSAUDITLINK__" localSheetId="1"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19__FDSAUDITLINK__"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2__FDSAUDITLINK__" localSheetId="4"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__FDSAUDITLINK__" localSheetId="5"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__FDSAUDITLINK__" localSheetId="3"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__FDSAUDITLINK__" localSheetId="1"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__FDSAUDITLINK__"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0__FDSAUDITLINK__" localSheetId="4"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0__FDSAUDITLINK__" localSheetId="5"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0__FDSAUDITLINK__" localSheetId="3"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0__FDSAUDITLINK__" localSheetId="1"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0__FDSAUDITLINK__"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1__FDSAUDITLINK__" localSheetId="4"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1__FDSAUDITLINK__" localSheetId="5"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1__FDSAUDITLINK__" localSheetId="3"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1__FDSAUDITLINK__" localSheetId="1"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1__FDSAUDITLINK__"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2__FDSAUDITLINK__" localSheetId="4"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2__FDSAUDITLINK__" localSheetId="5"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2__FDSAUDITLINK__" localSheetId="3"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2__FDSAUDITLINK__" localSheetId="1"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2__FDSAUDITLINK__"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3__FDSAUDITLINK__" localSheetId="4"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3__FDSAUDITLINK__" localSheetId="5"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3__FDSAUDITLINK__" localSheetId="3"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3__FDSAUDITLINK__" localSheetId="1"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3__FDSAUDITLINK__"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4__FDSAUDITLINK__" localSheetId="4"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4__FDSAUDITLINK__" localSheetId="5"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4__FDSAUDITLINK__" localSheetId="3"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4__FDSAUDITLINK__" localSheetId="1"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4__FDSAUDITLINK__"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5__FDSAUDITLINK__" localSheetId="4"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5__FDSAUDITLINK__" localSheetId="5"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5__FDSAUDITLINK__" localSheetId="3"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5__FDSAUDITLINK__" localSheetId="1"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5__FDSAUDITLINK__"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6__FDSAUDITLINK__" localSheetId="4"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6__FDSAUDITLINK__" localSheetId="5"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6__FDSAUDITLINK__" localSheetId="3"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6__FDSAUDITLINK__" localSheetId="1"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6__FDSAUDITLINK__"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7__FDSAUDITLINK__" localSheetId="4"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7__FDSAUDITLINK__" localSheetId="5"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7__FDSAUDITLINK__" localSheetId="3"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7__FDSAUDITLINK__" localSheetId="1"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7__FDSAUDITLINK__"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8__FDSAUDITLINK__" localSheetId="4"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8__FDSAUDITLINK__" localSheetId="5"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8__FDSAUDITLINK__" localSheetId="3"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8__FDSAUDITLINK__" localSheetId="1"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8__FDSAUDITLINK__"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9__FDSAUDITLINK__" localSheetId="4"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29__FDSAUDITLINK__" localSheetId="5"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29__FDSAUDITLINK__" localSheetId="3"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29__FDSAUDITLINK__" localSheetId="1"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29__FDSAUDITLINK__"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3__FDSAUDITLINK__" localSheetId="4"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__FDSAUDITLINK__" localSheetId="5"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__FDSAUDITLINK__" localSheetId="3"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__FDSAUDITLINK__" localSheetId="1"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__FDSAUDITLINK__"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0__FDSAUDITLINK__" localSheetId="4"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0__FDSAUDITLINK__" localSheetId="5"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0__FDSAUDITLINK__" localSheetId="3"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0__FDSAUDITLINK__" localSheetId="1"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0__FDSAUDITLINK__"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1__FDSAUDITLINK__" localSheetId="4"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1__FDSAUDITLINK__" localSheetId="5"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1__FDSAUDITLINK__" localSheetId="3"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1__FDSAUDITLINK__" localSheetId="1"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1__FDSAUDITLINK__"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2__FDSAUDITLINK__" localSheetId="4"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2__FDSAUDITLINK__" localSheetId="5"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2__FDSAUDITLINK__" localSheetId="3"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2__FDSAUDITLINK__" localSheetId="1"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2__FDSAUDITLINK__"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3__FDSAUDITLINK__" localSheetId="4"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3__FDSAUDITLINK__" localSheetId="5"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3__FDSAUDITLINK__" localSheetId="3"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3__FDSAUDITLINK__" localSheetId="1"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3__FDSAUDITLINK__"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4__FDSAUDITLINK__" localSheetId="4"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4__FDSAUDITLINK__" localSheetId="5"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4__FDSAUDITLINK__" localSheetId="3"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4__FDSAUDITLINK__" localSheetId="1"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4__FDSAUDITLINK__"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5__FDSAUDITLINK__" localSheetId="4"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5__FDSAUDITLINK__" localSheetId="5"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5__FDSAUDITLINK__" localSheetId="3"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5__FDSAUDITLINK__" localSheetId="1"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5__FDSAUDITLINK__"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6__FDSAUDITLINK__" localSheetId="4"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6__FDSAUDITLINK__" localSheetId="5"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6__FDSAUDITLINK__" localSheetId="3"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6__FDSAUDITLINK__" localSheetId="1"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6__FDSAUDITLINK__"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7__FDSAUDITLINK__" localSheetId="4"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7__FDSAUDITLINK__" localSheetId="5"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7__FDSAUDITLINK__" localSheetId="3"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7__FDSAUDITLINK__" localSheetId="1"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7__FDSAUDITLINK__"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8__FDSAUDITLINK__" localSheetId="4"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8__FDSAUDITLINK__" localSheetId="5"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8__FDSAUDITLINK__" localSheetId="3"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8__FDSAUDITLINK__" localSheetId="1"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8__FDSAUDITLINK__"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9__FDSAUDITLINK__" localSheetId="4"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39__FDSAUDITLINK__" localSheetId="5"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39__FDSAUDITLINK__" localSheetId="3"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39__FDSAUDITLINK__" localSheetId="1"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39__FDSAUDITLINK__"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4__FDSAUDITLINK__" localSheetId="4"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__FDSAUDITLINK__" localSheetId="5"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__FDSAUDITLINK__" localSheetId="3"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__FDSAUDITLINK__" localSheetId="1"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__FDSAUDITLINK__"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0__FDSAUDITLINK__" localSheetId="4"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0__FDSAUDITLINK__" localSheetId="5"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0__FDSAUDITLINK__" localSheetId="3"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0__FDSAUDITLINK__" localSheetId="1"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0__FDSAUDITLINK__"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1__FDSAUDITLINK__" localSheetId="4"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1__FDSAUDITLINK__" localSheetId="5"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1__FDSAUDITLINK__" localSheetId="3"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1__FDSAUDITLINK__" localSheetId="1"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1__FDSAUDITLINK__"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2__FDSAUDITLINK__" localSheetId="4"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2__FDSAUDITLINK__" localSheetId="5"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2__FDSAUDITLINK__" localSheetId="3"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2__FDSAUDITLINK__" localSheetId="1"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2__FDSAUDITLINK__"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3__FDSAUDITLINK__" localSheetId="4"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3__FDSAUDITLINK__" localSheetId="5"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3__FDSAUDITLINK__" localSheetId="3"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3__FDSAUDITLINK__" localSheetId="1"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3__FDSAUDITLINK__"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4__FDSAUDITLINK__" localSheetId="4"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4__FDSAUDITLINK__" localSheetId="5"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4__FDSAUDITLINK__" localSheetId="3"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4__FDSAUDITLINK__" localSheetId="1"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4__FDSAUDITLINK__"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5__FDSAUDITLINK__" localSheetId="4"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5__FDSAUDITLINK__" localSheetId="5"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5__FDSAUDITLINK__" localSheetId="3"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5__FDSAUDITLINK__" localSheetId="1"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5__FDSAUDITLINK__"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6__FDSAUDITLINK__" localSheetId="4"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6__FDSAUDITLINK__" localSheetId="5"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6__FDSAUDITLINK__" localSheetId="3"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6__FDSAUDITLINK__" localSheetId="1"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6__FDSAUDITLINK__"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7__FDSAUDITLINK__" localSheetId="4"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7__FDSAUDITLINK__" localSheetId="5"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7__FDSAUDITLINK__" localSheetId="3"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7__FDSAUDITLINK__" localSheetId="1"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7__FDSAUDITLINK__"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8__FDSAUDITLINK__" localSheetId="4"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8__FDSAUDITLINK__" localSheetId="5"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8__FDSAUDITLINK__" localSheetId="3"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8__FDSAUDITLINK__" localSheetId="1"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8__FDSAUDITLINK__"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9__FDSAUDITLINK__" localSheetId="4"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49__FDSAUDITLINK__" localSheetId="5"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49__FDSAUDITLINK__" localSheetId="3"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49__FDSAUDITLINK__" localSheetId="1"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49__FDSAUDITLINK__"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5__FDSAUDITLINK__" localSheetId="4"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__FDSAUDITLINK__" localSheetId="5"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__FDSAUDITLINK__" localSheetId="3"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__FDSAUDITLINK__" localSheetId="1"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__FDSAUDITLINK__"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0__FDSAUDITLINK__" localSheetId="4"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0__FDSAUDITLINK__" localSheetId="5"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0__FDSAUDITLINK__" localSheetId="3"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0__FDSAUDITLINK__" localSheetId="1"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0__FDSAUDITLINK__"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1__FDSAUDITLINK__" localSheetId="4"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1__FDSAUDITLINK__" localSheetId="5"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1__FDSAUDITLINK__" localSheetId="3"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1__FDSAUDITLINK__" localSheetId="1"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1__FDSAUDITLINK__"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2__FDSAUDITLINK__" localSheetId="4"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2__FDSAUDITLINK__" localSheetId="5"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2__FDSAUDITLINK__" localSheetId="3"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2__FDSAUDITLINK__" localSheetId="1"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2__FDSAUDITLINK__"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3__FDSAUDITLINK__" localSheetId="4"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3__FDSAUDITLINK__" localSheetId="5"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3__FDSAUDITLINK__" localSheetId="3"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3__FDSAUDITLINK__" localSheetId="1"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3__FDSAUDITLINK__"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4__FDSAUDITLINK__" localSheetId="4"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4__FDSAUDITLINK__" localSheetId="5"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4__FDSAUDITLINK__" localSheetId="3"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4__FDSAUDITLINK__" localSheetId="1"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4__FDSAUDITLINK__"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5__FDSAUDITLINK__" localSheetId="4"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5__FDSAUDITLINK__" localSheetId="5"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5__FDSAUDITLINK__" localSheetId="3"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5__FDSAUDITLINK__" localSheetId="1"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5__FDSAUDITLINK__"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6__FDSAUDITLINK__" localSheetId="4"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6__FDSAUDITLINK__" localSheetId="5"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6__FDSAUDITLINK__" localSheetId="3"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6__FDSAUDITLINK__" localSheetId="1"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6__FDSAUDITLINK__"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7__FDSAUDITLINK__" localSheetId="4"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7__FDSAUDITLINK__" localSheetId="5"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7__FDSAUDITLINK__" localSheetId="3"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7__FDSAUDITLINK__" localSheetId="1"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7__FDSAUDITLINK__"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8__FDSAUDITLINK__" localSheetId="4"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8__FDSAUDITLINK__" localSheetId="5"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8__FDSAUDITLINK__" localSheetId="3"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8__FDSAUDITLINK__" localSheetId="1"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8__FDSAUDITLINK__"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9__FDSAUDITLINK__" localSheetId="4"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59__FDSAUDITLINK__" localSheetId="5"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59__FDSAUDITLINK__" localSheetId="3"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59__FDSAUDITLINK__" localSheetId="1"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59__FDSAUDITLINK__"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6__FDSAUDITLINK__" localSheetId="4"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__FDSAUDITLINK__" localSheetId="5"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__FDSAUDITLINK__" localSheetId="3"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__FDSAUDITLINK__" localSheetId="1"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__FDSAUDITLINK__"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0__FDSAUDITLINK__" localSheetId="4"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0__FDSAUDITLINK__" localSheetId="5"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0__FDSAUDITLINK__" localSheetId="3"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0__FDSAUDITLINK__" localSheetId="1"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0__FDSAUDITLINK__"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1__FDSAUDITLINK__" localSheetId="4"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1__FDSAUDITLINK__" localSheetId="5"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1__FDSAUDITLINK__" localSheetId="3"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1__FDSAUDITLINK__" localSheetId="1"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1__FDSAUDITLINK__"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2__FDSAUDITLINK__" localSheetId="4"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2__FDSAUDITLINK__" localSheetId="5"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2__FDSAUDITLINK__" localSheetId="3"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2__FDSAUDITLINK__" localSheetId="1"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2__FDSAUDITLINK__"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3__FDSAUDITLINK__" localSheetId="4"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3__FDSAUDITLINK__" localSheetId="5"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3__FDSAUDITLINK__" localSheetId="3"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3__FDSAUDITLINK__" localSheetId="1"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3__FDSAUDITLINK__"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4__FDSAUDITLINK__" localSheetId="4"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4__FDSAUDITLINK__" localSheetId="5"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4__FDSAUDITLINK__" localSheetId="3"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4__FDSAUDITLINK__" localSheetId="1"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4__FDSAUDITLINK__"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5__FDSAUDITLINK__" localSheetId="4"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5__FDSAUDITLINK__" localSheetId="5"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5__FDSAUDITLINK__" localSheetId="3"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5__FDSAUDITLINK__" localSheetId="1"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5__FDSAUDITLINK__"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6__FDSAUDITLINK__" localSheetId="4"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6__FDSAUDITLINK__" localSheetId="5"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6__FDSAUDITLINK__" localSheetId="3"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6__FDSAUDITLINK__" localSheetId="1"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6__FDSAUDITLINK__"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7__FDSAUDITLINK__" localSheetId="4"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7__FDSAUDITLINK__" localSheetId="5"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7__FDSAUDITLINK__" localSheetId="3"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7__FDSAUDITLINK__" localSheetId="1"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7__FDSAUDITLINK__"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8__FDSAUDITLINK__" localSheetId="4"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8__FDSAUDITLINK__" localSheetId="5"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8__FDSAUDITLINK__" localSheetId="3"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8__FDSAUDITLINK__" localSheetId="1"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8__FDSAUDITLINK__"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9__FDSAUDITLINK__" localSheetId="4"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69__FDSAUDITLINK__" localSheetId="5"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69__FDSAUDITLINK__" localSheetId="3"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69__FDSAUDITLINK__" localSheetId="1"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69__FDSAUDITLINK__"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7__FDSAUDITLINK__" localSheetId="4"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__FDSAUDITLINK__" localSheetId="5"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__FDSAUDITLINK__" localSheetId="3"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__FDSAUDITLINK__" localSheetId="1"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__FDSAUDITLINK__"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0__FDSAUDITLINK__" localSheetId="4"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0__FDSAUDITLINK__" localSheetId="5"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0__FDSAUDITLINK__" localSheetId="3"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0__FDSAUDITLINK__" localSheetId="1"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0__FDSAUDITLINK__"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1__FDSAUDITLINK__" localSheetId="4"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1__FDSAUDITLINK__" localSheetId="5"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1__FDSAUDITLINK__" localSheetId="3"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1__FDSAUDITLINK__" localSheetId="1"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1__FDSAUDITLINK__"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2__FDSAUDITLINK__" localSheetId="4"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2__FDSAUDITLINK__" localSheetId="5"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2__FDSAUDITLINK__" localSheetId="3"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2__FDSAUDITLINK__" localSheetId="1"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2__FDSAUDITLINK__"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3__FDSAUDITLINK__" localSheetId="4"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3__FDSAUDITLINK__" localSheetId="5"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3__FDSAUDITLINK__" localSheetId="3"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3__FDSAUDITLINK__" localSheetId="1"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3__FDSAUDITLINK__"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4__FDSAUDITLINK__" localSheetId="4"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4__FDSAUDITLINK__" localSheetId="5"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4__FDSAUDITLINK__" localSheetId="3"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4__FDSAUDITLINK__" localSheetId="1"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4__FDSAUDITLINK__"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5__FDSAUDITLINK__" localSheetId="4"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5__FDSAUDITLINK__" localSheetId="5"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5__FDSAUDITLINK__" localSheetId="3"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5__FDSAUDITLINK__" localSheetId="1"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5__FDSAUDITLINK__"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6__FDSAUDITLINK__" localSheetId="4"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6__FDSAUDITLINK__" localSheetId="5"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6__FDSAUDITLINK__" localSheetId="3"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6__FDSAUDITLINK__" localSheetId="1"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6__FDSAUDITLINK__"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7__FDSAUDITLINK__" localSheetId="4"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7__FDSAUDITLINK__" localSheetId="5"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7__FDSAUDITLINK__" localSheetId="3"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7__FDSAUDITLINK__" localSheetId="1"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7__FDSAUDITLINK__"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8__FDSAUDITLINK__" localSheetId="4"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8__FDSAUDITLINK__" localSheetId="5"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8__FDSAUDITLINK__" localSheetId="3"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8__FDSAUDITLINK__" localSheetId="1"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8__FDSAUDITLINK__"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9__FDSAUDITLINK__" localSheetId="4"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79__FDSAUDITLINK__" localSheetId="5"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79__FDSAUDITLINK__" localSheetId="3"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79__FDSAUDITLINK__" localSheetId="1"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79__FDSAUDITLINK__"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8__FDSAUDITLINK__" localSheetId="4"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__FDSAUDITLINK__" localSheetId="5"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__FDSAUDITLINK__" localSheetId="3"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__FDSAUDITLINK__" localSheetId="1"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__FDSAUDITLINK__"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0__FDSAUDITLINK__" localSheetId="4"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0__FDSAUDITLINK__" localSheetId="5"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0__FDSAUDITLINK__" localSheetId="3"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0__FDSAUDITLINK__" localSheetId="1"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0__FDSAUDITLINK__"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1__FDSAUDITLINK__" localSheetId="4"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1__FDSAUDITLINK__" localSheetId="5"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1__FDSAUDITLINK__" localSheetId="3"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1__FDSAUDITLINK__" localSheetId="1"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1__FDSAUDITLINK__"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2__FDSAUDITLINK__" localSheetId="4"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2__FDSAUDITLINK__" localSheetId="5"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2__FDSAUDITLINK__" localSheetId="3"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2__FDSAUDITLINK__" localSheetId="1"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2__FDSAUDITLINK__"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3__FDSAUDITLINK__" localSheetId="4"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3__FDSAUDITLINK__" localSheetId="5"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3__FDSAUDITLINK__" localSheetId="3"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3__FDSAUDITLINK__" localSheetId="1"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3__FDSAUDITLINK__"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4__FDSAUDITLINK__" localSheetId="4"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4__FDSAUDITLINK__" localSheetId="5"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4__FDSAUDITLINK__" localSheetId="3"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4__FDSAUDITLINK__" localSheetId="1"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4__FDSAUDITLINK__"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5__FDSAUDITLINK__" localSheetId="4"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5__FDSAUDITLINK__" localSheetId="5"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5__FDSAUDITLINK__" localSheetId="3"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5__FDSAUDITLINK__" localSheetId="1"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5__FDSAUDITLINK__"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6__FDSAUDITLINK__" localSheetId="4"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6__FDSAUDITLINK__" localSheetId="5"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6__FDSAUDITLINK__" localSheetId="3"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6__FDSAUDITLINK__" localSheetId="1"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6__FDSAUDITLINK__"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7__FDSAUDITLINK__" localSheetId="4"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7__FDSAUDITLINK__" localSheetId="5"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7__FDSAUDITLINK__" localSheetId="3"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7__FDSAUDITLINK__" localSheetId="1"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7__FDSAUDITLINK__"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8__FDSAUDITLINK__" localSheetId="4"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8__FDSAUDITLINK__" localSheetId="5"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8__FDSAUDITLINK__" localSheetId="3"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8__FDSAUDITLINK__" localSheetId="1"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8__FDSAUDITLINK__"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9__FDSAUDITLINK__" localSheetId="4"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89__FDSAUDITLINK__" localSheetId="5"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89__FDSAUDITLINK__" localSheetId="3"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89__FDSAUDITLINK__" localSheetId="1"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89__FDSAUDITLINK__"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9__FDSAUDITLINK__" localSheetId="4"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__FDSAUDITLINK__" localSheetId="5"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__FDSAUDITLINK__" localSheetId="3"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__FDSAUDITLINK__" localSheetId="1"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__FDSAUDITLINK__"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0__FDSAUDITLINK__" localSheetId="4"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0__FDSAUDITLINK__" localSheetId="5"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0__FDSAUDITLINK__" localSheetId="3"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0__FDSAUDITLINK__" localSheetId="1"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0__FDSAUDITLINK__"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1__FDSAUDITLINK__" localSheetId="4"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1__FDSAUDITLINK__" localSheetId="5"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1__FDSAUDITLINK__" localSheetId="3"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1__FDSAUDITLINK__" localSheetId="1"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1__FDSAUDITLINK__"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2__FDSAUDITLINK__" localSheetId="4"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2__FDSAUDITLINK__" localSheetId="5"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2__FDSAUDITLINK__" localSheetId="3"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2__FDSAUDITLINK__" localSheetId="1"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2__FDSAUDITLINK__"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3__FDSAUDITLINK__" localSheetId="4"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3__FDSAUDITLINK__" localSheetId="5"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3__FDSAUDITLINK__" localSheetId="3"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3__FDSAUDITLINK__" localSheetId="1"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3__FDSAUDITLINK__"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4__FDSAUDITLINK__" localSheetId="4"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4__FDSAUDITLINK__" localSheetId="5"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4__FDSAUDITLINK__" localSheetId="3"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4__FDSAUDITLINK__" localSheetId="1"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4__FDSAUDITLINK__"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5__FDSAUDITLINK__" localSheetId="4"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5__FDSAUDITLINK__" localSheetId="5"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5__FDSAUDITLINK__" localSheetId="3"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5__FDSAUDITLINK__" localSheetId="1"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5__FDSAUDITLINK__"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6__FDSAUDITLINK__" localSheetId="4"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6__FDSAUDITLINK__" localSheetId="5"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6__FDSAUDITLINK__" localSheetId="3"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6__FDSAUDITLINK__" localSheetId="1"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6__FDSAUDITLINK__"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7__FDSAUDITLINK__" localSheetId="4"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7__FDSAUDITLINK__" localSheetId="5"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7__FDSAUDITLINK__" localSheetId="3"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7__FDSAUDITLINK__" localSheetId="1"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7__FDSAUDITLINK__"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8__FDSAUDITLINK__" localSheetId="4"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8__FDSAUDITLINK__" localSheetId="5"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8__FDSAUDITLINK__" localSheetId="3"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8__FDSAUDITLINK__" localSheetId="1"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8__FDSAUDITLINK__"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9__FDSAUDITLINK__" localSheetId="4"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299__FDSAUDITLINK__" localSheetId="5"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299__FDSAUDITLINK__" localSheetId="3"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299__FDSAUDITLINK__" localSheetId="1"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299__FDSAUDITLINK__"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3__FDSAUDITLINK__" localSheetId="4"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__FDSAUDITLINK__" localSheetId="5"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__FDSAUDITLINK__" localSheetId="3"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__FDSAUDITLINK__" localSheetId="1"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__FDSAUDITLINK__"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0__FDSAUDITLINK__" localSheetId="4"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__FDSAUDITLINK__" localSheetId="5"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__FDSAUDITLINK__" localSheetId="3"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__FDSAUDITLINK__" localSheetId="1"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__FDSAUDITLINK__"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0__FDSAUDITLINK__" localSheetId="4"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0__FDSAUDITLINK__" localSheetId="5"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0__FDSAUDITLINK__" localSheetId="3"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0__FDSAUDITLINK__" localSheetId="1"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0__FDSAUDITLINK__"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1__FDSAUDITLINK__" localSheetId="4"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1__FDSAUDITLINK__" localSheetId="5"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1__FDSAUDITLINK__" localSheetId="3"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1__FDSAUDITLINK__" localSheetId="1"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1__FDSAUDITLINK__"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2__FDSAUDITLINK__" localSheetId="4"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2__FDSAUDITLINK__" localSheetId="5"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2__FDSAUDITLINK__" localSheetId="3"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2__FDSAUDITLINK__" localSheetId="1"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2__FDSAUDITLINK__"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3__FDSAUDITLINK__" localSheetId="4"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3__FDSAUDITLINK__" localSheetId="5"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3__FDSAUDITLINK__" localSheetId="3"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3__FDSAUDITLINK__" localSheetId="1"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3__FDSAUDITLINK__"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4__FDSAUDITLINK__" localSheetId="4"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4__FDSAUDITLINK__" localSheetId="5"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4__FDSAUDITLINK__" localSheetId="3"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4__FDSAUDITLINK__" localSheetId="1"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4__FDSAUDITLINK__"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5__FDSAUDITLINK__" localSheetId="4"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5__FDSAUDITLINK__" localSheetId="5"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5__FDSAUDITLINK__" localSheetId="3"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5__FDSAUDITLINK__" localSheetId="1"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5__FDSAUDITLINK__"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6__FDSAUDITLINK__" localSheetId="4"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6__FDSAUDITLINK__" localSheetId="5"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6__FDSAUDITLINK__" localSheetId="3"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6__FDSAUDITLINK__" localSheetId="1"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6__FDSAUDITLINK__"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7__FDSAUDITLINK__" localSheetId="4"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7__FDSAUDITLINK__" localSheetId="5"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7__FDSAUDITLINK__" localSheetId="3"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7__FDSAUDITLINK__" localSheetId="1"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7__FDSAUDITLINK__"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8__FDSAUDITLINK__" localSheetId="4"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8__FDSAUDITLINK__" localSheetId="5"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8__FDSAUDITLINK__" localSheetId="3"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8__FDSAUDITLINK__" localSheetId="1"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8__FDSAUDITLINK__"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9__FDSAUDITLINK__" localSheetId="4"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09__FDSAUDITLINK__" localSheetId="5"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09__FDSAUDITLINK__" localSheetId="3"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09__FDSAUDITLINK__" localSheetId="1"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09__FDSAUDITLINK__"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1__FDSAUDITLINK__" localSheetId="4"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__FDSAUDITLINK__" localSheetId="5"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__FDSAUDITLINK__" localSheetId="3"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__FDSAUDITLINK__" localSheetId="1"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__FDSAUDITLINK__"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0__FDSAUDITLINK__" localSheetId="4"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0__FDSAUDITLINK__" localSheetId="5"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0__FDSAUDITLINK__" localSheetId="3"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0__FDSAUDITLINK__" localSheetId="1"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0__FDSAUDITLINK__"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1__FDSAUDITLINK__" localSheetId="4"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1__FDSAUDITLINK__" localSheetId="5"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1__FDSAUDITLINK__" localSheetId="3"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1__FDSAUDITLINK__" localSheetId="1"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1__FDSAUDITLINK__"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2__FDSAUDITLINK__" localSheetId="4"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2__FDSAUDITLINK__" localSheetId="5"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2__FDSAUDITLINK__" localSheetId="3"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2__FDSAUDITLINK__" localSheetId="1"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2__FDSAUDITLINK__"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3__FDSAUDITLINK__" localSheetId="4"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3__FDSAUDITLINK__" localSheetId="5"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3__FDSAUDITLINK__" localSheetId="3"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3__FDSAUDITLINK__" localSheetId="1"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3__FDSAUDITLINK__"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4__FDSAUDITLINK__" localSheetId="4"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4__FDSAUDITLINK__" localSheetId="5"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4__FDSAUDITLINK__" localSheetId="3"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4__FDSAUDITLINK__" localSheetId="1"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4__FDSAUDITLINK__"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5__FDSAUDITLINK__" localSheetId="4"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5__FDSAUDITLINK__" localSheetId="5"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5__FDSAUDITLINK__" localSheetId="3"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5__FDSAUDITLINK__" localSheetId="1"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5__FDSAUDITLINK__"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6__FDSAUDITLINK__" localSheetId="4"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6__FDSAUDITLINK__" localSheetId="5"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6__FDSAUDITLINK__" localSheetId="3"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6__FDSAUDITLINK__" localSheetId="1"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6__FDSAUDITLINK__"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7__FDSAUDITLINK__" localSheetId="4"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7__FDSAUDITLINK__" localSheetId="5"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7__FDSAUDITLINK__" localSheetId="3"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7__FDSAUDITLINK__" localSheetId="1"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7__FDSAUDITLINK__"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8__FDSAUDITLINK__" localSheetId="4"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8__FDSAUDITLINK__" localSheetId="5"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8__FDSAUDITLINK__" localSheetId="3"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8__FDSAUDITLINK__" localSheetId="1"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8__FDSAUDITLINK__"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9__FDSAUDITLINK__" localSheetId="4"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19__FDSAUDITLINK__" localSheetId="5"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19__FDSAUDITLINK__" localSheetId="3"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19__FDSAUDITLINK__" localSheetId="1"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19__FDSAUDITLINK__"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2__FDSAUDITLINK__" localSheetId="4"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__FDSAUDITLINK__" localSheetId="5"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__FDSAUDITLINK__" localSheetId="3"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__FDSAUDITLINK__" localSheetId="1"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__FDSAUDITLINK__"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0__FDSAUDITLINK__" localSheetId="4"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0__FDSAUDITLINK__" localSheetId="5"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0__FDSAUDITLINK__" localSheetId="3"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0__FDSAUDITLINK__" localSheetId="1"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0__FDSAUDITLINK__"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1__FDSAUDITLINK__" localSheetId="4"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1__FDSAUDITLINK__" localSheetId="5"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1__FDSAUDITLINK__" localSheetId="3"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1__FDSAUDITLINK__" localSheetId="1"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1__FDSAUDITLINK__"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2__FDSAUDITLINK__" localSheetId="4"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2__FDSAUDITLINK__" localSheetId="5"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2__FDSAUDITLINK__" localSheetId="3"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2__FDSAUDITLINK__" localSheetId="1"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2__FDSAUDITLINK__"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3__FDSAUDITLINK__" localSheetId="4"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3__FDSAUDITLINK__" localSheetId="5"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3__FDSAUDITLINK__" localSheetId="3"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3__FDSAUDITLINK__" localSheetId="1"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3__FDSAUDITLINK__"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4__FDSAUDITLINK__" localSheetId="4"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4__FDSAUDITLINK__" localSheetId="5"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4__FDSAUDITLINK__" localSheetId="3"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4__FDSAUDITLINK__" localSheetId="1"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4__FDSAUDITLINK__"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5__FDSAUDITLINK__" localSheetId="4"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5__FDSAUDITLINK__" localSheetId="5"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5__FDSAUDITLINK__" localSheetId="3"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5__FDSAUDITLINK__" localSheetId="1"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5__FDSAUDITLINK__"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6__FDSAUDITLINK__" localSheetId="4"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6__FDSAUDITLINK__" localSheetId="5"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6__FDSAUDITLINK__" localSheetId="3"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6__FDSAUDITLINK__" localSheetId="1"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6__FDSAUDITLINK__"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7__FDSAUDITLINK__" localSheetId="4"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7__FDSAUDITLINK__" localSheetId="5"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7__FDSAUDITLINK__" localSheetId="3"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7__FDSAUDITLINK__" localSheetId="1"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7__FDSAUDITLINK__"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8__FDSAUDITLINK__" localSheetId="4"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8__FDSAUDITLINK__" localSheetId="5"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8__FDSAUDITLINK__" localSheetId="3"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8__FDSAUDITLINK__" localSheetId="1"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8__FDSAUDITLINK__"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9__FDSAUDITLINK__" localSheetId="4"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29__FDSAUDITLINK__" localSheetId="5"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29__FDSAUDITLINK__" localSheetId="3"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29__FDSAUDITLINK__" localSheetId="1"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29__FDSAUDITLINK__"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3__FDSAUDITLINK__" localSheetId="4"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__FDSAUDITLINK__" localSheetId="5"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__FDSAUDITLINK__" localSheetId="3"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__FDSAUDITLINK__" localSheetId="1"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__FDSAUDITLINK__"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0__FDSAUDITLINK__" localSheetId="4"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0__FDSAUDITLINK__" localSheetId="5"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0__FDSAUDITLINK__" localSheetId="3"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0__FDSAUDITLINK__" localSheetId="1"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0__FDSAUDITLINK__"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1__FDSAUDITLINK__" localSheetId="4"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1__FDSAUDITLINK__" localSheetId="5"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1__FDSAUDITLINK__" localSheetId="3"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1__FDSAUDITLINK__" localSheetId="1"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1__FDSAUDITLINK__"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2__FDSAUDITLINK__" localSheetId="4"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2__FDSAUDITLINK__" localSheetId="5"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2__FDSAUDITLINK__" localSheetId="3"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2__FDSAUDITLINK__" localSheetId="1"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2__FDSAUDITLINK__"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3__FDSAUDITLINK__" localSheetId="4"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3__FDSAUDITLINK__" localSheetId="5"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3__FDSAUDITLINK__" localSheetId="3"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3__FDSAUDITLINK__" localSheetId="1"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3__FDSAUDITLINK__"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4__FDSAUDITLINK__" localSheetId="4"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4__FDSAUDITLINK__" localSheetId="5"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4__FDSAUDITLINK__" localSheetId="3"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4__FDSAUDITLINK__" localSheetId="1"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4__FDSAUDITLINK__"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5__FDSAUDITLINK__" localSheetId="4"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5__FDSAUDITLINK__" localSheetId="5"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5__FDSAUDITLINK__" localSheetId="3"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5__FDSAUDITLINK__" localSheetId="1"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5__FDSAUDITLINK__"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6__FDSAUDITLINK__" localSheetId="4"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6__FDSAUDITLINK__" localSheetId="5"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6__FDSAUDITLINK__" localSheetId="3"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6__FDSAUDITLINK__" localSheetId="1"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6__FDSAUDITLINK__"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7__FDSAUDITLINK__" localSheetId="4"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7__FDSAUDITLINK__" localSheetId="5"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7__FDSAUDITLINK__" localSheetId="3"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7__FDSAUDITLINK__" localSheetId="1"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7__FDSAUDITLINK__"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8__FDSAUDITLINK__" localSheetId="4"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8__FDSAUDITLINK__" localSheetId="5"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8__FDSAUDITLINK__" localSheetId="3"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8__FDSAUDITLINK__" localSheetId="1"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8__FDSAUDITLINK__"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9__FDSAUDITLINK__" localSheetId="4"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39__FDSAUDITLINK__" localSheetId="5"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39__FDSAUDITLINK__" localSheetId="3"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39__FDSAUDITLINK__" localSheetId="1"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39__FDSAUDITLINK__"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4__FDSAUDITLINK__" localSheetId="4"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__FDSAUDITLINK__" localSheetId="5"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__FDSAUDITLINK__" localSheetId="3"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__FDSAUDITLINK__" localSheetId="1"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__FDSAUDITLINK__"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0__FDSAUDITLINK__" localSheetId="4"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0__FDSAUDITLINK__" localSheetId="5"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0__FDSAUDITLINK__" localSheetId="3"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0__FDSAUDITLINK__" localSheetId="1"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0__FDSAUDITLINK__"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1__FDSAUDITLINK__" localSheetId="4"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1__FDSAUDITLINK__" localSheetId="5"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1__FDSAUDITLINK__" localSheetId="3"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1__FDSAUDITLINK__" localSheetId="1"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1__FDSAUDITLINK__"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2__FDSAUDITLINK__" localSheetId="4"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2__FDSAUDITLINK__" localSheetId="5"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2__FDSAUDITLINK__" localSheetId="3"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2__FDSAUDITLINK__" localSheetId="1"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2__FDSAUDITLINK__"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3__FDSAUDITLINK__" localSheetId="4"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3__FDSAUDITLINK__" localSheetId="5"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3__FDSAUDITLINK__" localSheetId="3"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3__FDSAUDITLINK__" localSheetId="1"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3__FDSAUDITLINK__"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4__FDSAUDITLINK__" localSheetId="4"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4__FDSAUDITLINK__" localSheetId="5"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4__FDSAUDITLINK__" localSheetId="3"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4__FDSAUDITLINK__" localSheetId="1"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4__FDSAUDITLINK__"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5__FDSAUDITLINK__" localSheetId="4"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5__FDSAUDITLINK__" localSheetId="5"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5__FDSAUDITLINK__" localSheetId="3"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5__FDSAUDITLINK__" localSheetId="1"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5__FDSAUDITLINK__"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6__FDSAUDITLINK__" localSheetId="4"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6__FDSAUDITLINK__" localSheetId="5"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6__FDSAUDITLINK__" localSheetId="3"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6__FDSAUDITLINK__" localSheetId="1"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6__FDSAUDITLINK__"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7__FDSAUDITLINK__" localSheetId="4"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7__FDSAUDITLINK__" localSheetId="5"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7__FDSAUDITLINK__" localSheetId="3"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7__FDSAUDITLINK__" localSheetId="1"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7__FDSAUDITLINK__"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8__FDSAUDITLINK__" localSheetId="4"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8__FDSAUDITLINK__" localSheetId="5"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8__FDSAUDITLINK__" localSheetId="3"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8__FDSAUDITLINK__" localSheetId="1"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8__FDSAUDITLINK__"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9__FDSAUDITLINK__" localSheetId="4"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49__FDSAUDITLINK__" localSheetId="5"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49__FDSAUDITLINK__" localSheetId="3"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49__FDSAUDITLINK__" localSheetId="1"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49__FDSAUDITLINK__"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5__FDSAUDITLINK__" localSheetId="4"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__FDSAUDITLINK__" localSheetId="5"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__FDSAUDITLINK__" localSheetId="3"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__FDSAUDITLINK__" localSheetId="1"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__FDSAUDITLINK__"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0__FDSAUDITLINK__" localSheetId="4"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0__FDSAUDITLINK__" localSheetId="5"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0__FDSAUDITLINK__" localSheetId="3"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0__FDSAUDITLINK__" localSheetId="1"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0__FDSAUDITLINK__"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1__FDSAUDITLINK__" localSheetId="4"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1__FDSAUDITLINK__" localSheetId="5"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1__FDSAUDITLINK__" localSheetId="3"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1__FDSAUDITLINK__" localSheetId="1"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1__FDSAUDITLINK__"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2__FDSAUDITLINK__" localSheetId="4"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2__FDSAUDITLINK__" localSheetId="5"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2__FDSAUDITLINK__" localSheetId="3"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2__FDSAUDITLINK__" localSheetId="1"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2__FDSAUDITLINK__"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3__FDSAUDITLINK__" localSheetId="4"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3__FDSAUDITLINK__" localSheetId="5"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3__FDSAUDITLINK__" localSheetId="3"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3__FDSAUDITLINK__" localSheetId="1"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3__FDSAUDITLINK__"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4__FDSAUDITLINK__" localSheetId="4"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4__FDSAUDITLINK__" localSheetId="5"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4__FDSAUDITLINK__" localSheetId="3"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4__FDSAUDITLINK__" localSheetId="1"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4__FDSAUDITLINK__"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5__FDSAUDITLINK__" localSheetId="4"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5__FDSAUDITLINK__" localSheetId="5"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5__FDSAUDITLINK__" localSheetId="3"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5__FDSAUDITLINK__" localSheetId="1"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5__FDSAUDITLINK__"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6__FDSAUDITLINK__" localSheetId="4"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6__FDSAUDITLINK__" localSheetId="5"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6__FDSAUDITLINK__" localSheetId="3"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6__FDSAUDITLINK__" localSheetId="1"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6__FDSAUDITLINK__"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7__FDSAUDITLINK__" localSheetId="4"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7__FDSAUDITLINK__" localSheetId="5"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7__FDSAUDITLINK__" localSheetId="3"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7__FDSAUDITLINK__" localSheetId="1"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7__FDSAUDITLINK__"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8__FDSAUDITLINK__" localSheetId="4"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8__FDSAUDITLINK__" localSheetId="5"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8__FDSAUDITLINK__" localSheetId="3"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8__FDSAUDITLINK__" localSheetId="1"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8__FDSAUDITLINK__"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9__FDSAUDITLINK__" localSheetId="4"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59__FDSAUDITLINK__" localSheetId="5"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59__FDSAUDITLINK__" localSheetId="3"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59__FDSAUDITLINK__" localSheetId="1"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59__FDSAUDITLINK__"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6__FDSAUDITLINK__" localSheetId="4"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__FDSAUDITLINK__" localSheetId="5"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__FDSAUDITLINK__" localSheetId="3"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__FDSAUDITLINK__" localSheetId="1"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__FDSAUDITLINK__"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0__FDSAUDITLINK__" localSheetId="4"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0__FDSAUDITLINK__" localSheetId="5"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0__FDSAUDITLINK__" localSheetId="3"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0__FDSAUDITLINK__" localSheetId="1"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0__FDSAUDITLINK__"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1__FDSAUDITLINK__" localSheetId="4"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1__FDSAUDITLINK__" localSheetId="5"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1__FDSAUDITLINK__" localSheetId="3"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1__FDSAUDITLINK__" localSheetId="1"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1__FDSAUDITLINK__"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2__FDSAUDITLINK__" localSheetId="4"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2__FDSAUDITLINK__" localSheetId="5"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2__FDSAUDITLINK__" localSheetId="3"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2__FDSAUDITLINK__" localSheetId="1"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2__FDSAUDITLINK__"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3__FDSAUDITLINK__" localSheetId="4"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3__FDSAUDITLINK__" localSheetId="5"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3__FDSAUDITLINK__" localSheetId="3"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3__FDSAUDITLINK__" localSheetId="1"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3__FDSAUDITLINK__"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4__FDSAUDITLINK__" localSheetId="4"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4__FDSAUDITLINK__" localSheetId="5"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4__FDSAUDITLINK__" localSheetId="3"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4__FDSAUDITLINK__" localSheetId="1"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4__FDSAUDITLINK__"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5__FDSAUDITLINK__" localSheetId="4"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5__FDSAUDITLINK__" localSheetId="5"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5__FDSAUDITLINK__" localSheetId="3"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5__FDSAUDITLINK__" localSheetId="1"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5__FDSAUDITLINK__"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6__FDSAUDITLINK__" localSheetId="4"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6__FDSAUDITLINK__" localSheetId="5"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6__FDSAUDITLINK__" localSheetId="3"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6__FDSAUDITLINK__" localSheetId="1"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6__FDSAUDITLINK__"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7__FDSAUDITLINK__" localSheetId="4"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7__FDSAUDITLINK__" localSheetId="5"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7__FDSAUDITLINK__" localSheetId="3"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7__FDSAUDITLINK__" localSheetId="1"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7__FDSAUDITLINK__"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8__FDSAUDITLINK__" localSheetId="4"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8__FDSAUDITLINK__" localSheetId="5"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8__FDSAUDITLINK__" localSheetId="3"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8__FDSAUDITLINK__" localSheetId="1"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8__FDSAUDITLINK__"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9__FDSAUDITLINK__" localSheetId="4"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69__FDSAUDITLINK__" localSheetId="5"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69__FDSAUDITLINK__" localSheetId="3"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69__FDSAUDITLINK__" localSheetId="1"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69__FDSAUDITLINK__"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7__FDSAUDITLINK__" localSheetId="4"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__FDSAUDITLINK__" localSheetId="5"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__FDSAUDITLINK__" localSheetId="3"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__FDSAUDITLINK__" localSheetId="1"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__FDSAUDITLINK__"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0__FDSAUDITLINK__" localSheetId="4"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0__FDSAUDITLINK__" localSheetId="5"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0__FDSAUDITLINK__" localSheetId="3"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0__FDSAUDITLINK__" localSheetId="1"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0__FDSAUDITLINK__"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1__FDSAUDITLINK__" localSheetId="4"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1__FDSAUDITLINK__" localSheetId="5"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1__FDSAUDITLINK__" localSheetId="3"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1__FDSAUDITLINK__" localSheetId="1"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1__FDSAUDITLINK__"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2__FDSAUDITLINK__" localSheetId="4"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2__FDSAUDITLINK__" localSheetId="5"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2__FDSAUDITLINK__" localSheetId="3"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2__FDSAUDITLINK__" localSheetId="1"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2__FDSAUDITLINK__"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3__FDSAUDITLINK__" localSheetId="4"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3__FDSAUDITLINK__" localSheetId="5"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3__FDSAUDITLINK__" localSheetId="3"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3__FDSAUDITLINK__" localSheetId="1"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3__FDSAUDITLINK__"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4__FDSAUDITLINK__" localSheetId="4"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4__FDSAUDITLINK__" localSheetId="5"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4__FDSAUDITLINK__" localSheetId="3"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4__FDSAUDITLINK__" localSheetId="1"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4__FDSAUDITLINK__"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5__FDSAUDITLINK__" localSheetId="4"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5__FDSAUDITLINK__" localSheetId="5"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5__FDSAUDITLINK__" localSheetId="3"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5__FDSAUDITLINK__" localSheetId="1"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5__FDSAUDITLINK__"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6__FDSAUDITLINK__" localSheetId="4"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6__FDSAUDITLINK__" localSheetId="5"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6__FDSAUDITLINK__" localSheetId="3"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6__FDSAUDITLINK__" localSheetId="1"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6__FDSAUDITLINK__"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7__FDSAUDITLINK__" localSheetId="4"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7__FDSAUDITLINK__" localSheetId="5"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7__FDSAUDITLINK__" localSheetId="3"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7__FDSAUDITLINK__" localSheetId="1"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7__FDSAUDITLINK__"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8__FDSAUDITLINK__" localSheetId="4"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8__FDSAUDITLINK__" localSheetId="5"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8__FDSAUDITLINK__" localSheetId="3"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8__FDSAUDITLINK__" localSheetId="1"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8__FDSAUDITLINK__"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9__FDSAUDITLINK__" localSheetId="4"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79__FDSAUDITLINK__" localSheetId="5"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79__FDSAUDITLINK__" localSheetId="3"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79__FDSAUDITLINK__" localSheetId="1"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79__FDSAUDITLINK__"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8__FDSAUDITLINK__" localSheetId="4"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__FDSAUDITLINK__" localSheetId="5"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__FDSAUDITLINK__" localSheetId="3"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__FDSAUDITLINK__" localSheetId="1"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__FDSAUDITLINK__"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0__FDSAUDITLINK__" localSheetId="4"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0__FDSAUDITLINK__" localSheetId="5"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0__FDSAUDITLINK__" localSheetId="3"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0__FDSAUDITLINK__" localSheetId="1"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0__FDSAUDITLINK__"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1__FDSAUDITLINK__" localSheetId="4"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1__FDSAUDITLINK__" localSheetId="5"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1__FDSAUDITLINK__" localSheetId="3"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1__FDSAUDITLINK__" localSheetId="1"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1__FDSAUDITLINK__"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2__FDSAUDITLINK__" localSheetId="4"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2__FDSAUDITLINK__" localSheetId="5"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2__FDSAUDITLINK__" localSheetId="3"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2__FDSAUDITLINK__" localSheetId="1"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2__FDSAUDITLINK__"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3__FDSAUDITLINK__" localSheetId="4"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3__FDSAUDITLINK__" localSheetId="5"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3__FDSAUDITLINK__" localSheetId="3"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3__FDSAUDITLINK__" localSheetId="1"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3__FDSAUDITLINK__"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4__FDSAUDITLINK__" localSheetId="4"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4__FDSAUDITLINK__" localSheetId="5"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4__FDSAUDITLINK__" localSheetId="3"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4__FDSAUDITLINK__" localSheetId="1"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4__FDSAUDITLINK__"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5__FDSAUDITLINK__" localSheetId="4"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5__FDSAUDITLINK__" localSheetId="5"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5__FDSAUDITLINK__" localSheetId="3"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5__FDSAUDITLINK__" localSheetId="1"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5__FDSAUDITLINK__"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6__FDSAUDITLINK__" localSheetId="4"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6__FDSAUDITLINK__" localSheetId="5"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6__FDSAUDITLINK__" localSheetId="3"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6__FDSAUDITLINK__" localSheetId="1"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6__FDSAUDITLINK__"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7__FDSAUDITLINK__" localSheetId="4"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7__FDSAUDITLINK__" localSheetId="5"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7__FDSAUDITLINK__" localSheetId="3"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7__FDSAUDITLINK__" localSheetId="1"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7__FDSAUDITLINK__"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8__FDSAUDITLINK__" localSheetId="4"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8__FDSAUDITLINK__" localSheetId="5"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8__FDSAUDITLINK__" localSheetId="3"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8__FDSAUDITLINK__" localSheetId="1"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8__FDSAUDITLINK__"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9__FDSAUDITLINK__" localSheetId="4"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89__FDSAUDITLINK__" localSheetId="5"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89__FDSAUDITLINK__" localSheetId="3"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89__FDSAUDITLINK__" localSheetId="1"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89__FDSAUDITLINK__"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9__FDSAUDITLINK__" localSheetId="4"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__FDSAUDITLINK__" localSheetId="5"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__FDSAUDITLINK__" localSheetId="3"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__FDSAUDITLINK__" localSheetId="1"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__FDSAUDITLINK__"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0__FDSAUDITLINK__" localSheetId="4"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0__FDSAUDITLINK__" localSheetId="5"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0__FDSAUDITLINK__" localSheetId="3"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0__FDSAUDITLINK__" localSheetId="1"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0__FDSAUDITLINK__"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1__FDSAUDITLINK__" localSheetId="4"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1__FDSAUDITLINK__" localSheetId="5"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1__FDSAUDITLINK__" localSheetId="3"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1__FDSAUDITLINK__" localSheetId="1"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1__FDSAUDITLINK__"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2__FDSAUDITLINK__" localSheetId="4"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2__FDSAUDITLINK__" localSheetId="5"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2__FDSAUDITLINK__" localSheetId="3"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2__FDSAUDITLINK__" localSheetId="1"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2__FDSAUDITLINK__"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3__FDSAUDITLINK__" localSheetId="4"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3__FDSAUDITLINK__" localSheetId="5"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3__FDSAUDITLINK__" localSheetId="3"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3__FDSAUDITLINK__" localSheetId="1"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3__FDSAUDITLINK__"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4__FDSAUDITLINK__" localSheetId="4"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4__FDSAUDITLINK__" localSheetId="5"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4__FDSAUDITLINK__" localSheetId="3"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4__FDSAUDITLINK__" localSheetId="1"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4__FDSAUDITLINK__"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5__FDSAUDITLINK__" localSheetId="4"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5__FDSAUDITLINK__" localSheetId="5"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5__FDSAUDITLINK__" localSheetId="3"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5__FDSAUDITLINK__" localSheetId="1"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5__FDSAUDITLINK__"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6__FDSAUDITLINK__" localSheetId="4"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6__FDSAUDITLINK__" localSheetId="5"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6__FDSAUDITLINK__" localSheetId="3"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6__FDSAUDITLINK__" localSheetId="1"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6__FDSAUDITLINK__"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7__FDSAUDITLINK__" localSheetId="4"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7__FDSAUDITLINK__" localSheetId="5"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7__FDSAUDITLINK__" localSheetId="3"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7__FDSAUDITLINK__" localSheetId="1"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7__FDSAUDITLINK__"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8__FDSAUDITLINK__" localSheetId="4"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8__FDSAUDITLINK__" localSheetId="5"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8__FDSAUDITLINK__" localSheetId="3"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8__FDSAUDITLINK__" localSheetId="1"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8__FDSAUDITLINK__"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9__FDSAUDITLINK__" localSheetId="4"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399__FDSAUDITLINK__" localSheetId="5"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399__FDSAUDITLINK__" localSheetId="3"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399__FDSAUDITLINK__" localSheetId="1"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399__FDSAUDITLINK__"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4__FDSAUDITLINK__" localSheetId="4"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__FDSAUDITLINK__" localSheetId="5"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__FDSAUDITLINK__" localSheetId="3"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__FDSAUDITLINK__" localSheetId="1"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__FDSAUDITLINK__"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0__FDSAUDITLINK__" localSheetId="4"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__FDSAUDITLINK__" localSheetId="5"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__FDSAUDITLINK__" localSheetId="3"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__FDSAUDITLINK__" localSheetId="1"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__FDSAUDITLINK__"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0__FDSAUDITLINK__" localSheetId="4"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0__FDSAUDITLINK__" localSheetId="5"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0__FDSAUDITLINK__" localSheetId="3"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0__FDSAUDITLINK__" localSheetId="1"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0__FDSAUDITLINK__"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1__FDSAUDITLINK__" localSheetId="4"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1__FDSAUDITLINK__" localSheetId="5"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1__FDSAUDITLINK__" localSheetId="3"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1__FDSAUDITLINK__" localSheetId="1"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1__FDSAUDITLINK__"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2__FDSAUDITLINK__" localSheetId="4"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2__FDSAUDITLINK__" localSheetId="5"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2__FDSAUDITLINK__" localSheetId="3"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2__FDSAUDITLINK__" localSheetId="1"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2__FDSAUDITLINK__"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3__FDSAUDITLINK__" localSheetId="4"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3__FDSAUDITLINK__" localSheetId="5"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3__FDSAUDITLINK__" localSheetId="3"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3__FDSAUDITLINK__" localSheetId="1"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3__FDSAUDITLINK__"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4__FDSAUDITLINK__" localSheetId="4"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4__FDSAUDITLINK__" localSheetId="5"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4__FDSAUDITLINK__" localSheetId="3"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4__FDSAUDITLINK__" localSheetId="1"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4__FDSAUDITLINK__"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5__FDSAUDITLINK__" localSheetId="4"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5__FDSAUDITLINK__" localSheetId="5"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5__FDSAUDITLINK__" localSheetId="3"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5__FDSAUDITLINK__" localSheetId="1"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5__FDSAUDITLINK__"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6__FDSAUDITLINK__" localSheetId="4"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6__FDSAUDITLINK__" localSheetId="5"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6__FDSAUDITLINK__" localSheetId="3"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6__FDSAUDITLINK__" localSheetId="1"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6__FDSAUDITLINK__"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7__FDSAUDITLINK__" localSheetId="4"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7__FDSAUDITLINK__" localSheetId="5"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7__FDSAUDITLINK__" localSheetId="3"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7__FDSAUDITLINK__" localSheetId="1"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7__FDSAUDITLINK__"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8__FDSAUDITLINK__" localSheetId="4"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8__FDSAUDITLINK__" localSheetId="5"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8__FDSAUDITLINK__" localSheetId="3"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8__FDSAUDITLINK__" localSheetId="1"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8__FDSAUDITLINK__"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9__FDSAUDITLINK__" localSheetId="4"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09__FDSAUDITLINK__" localSheetId="5"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09__FDSAUDITLINK__" localSheetId="3"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09__FDSAUDITLINK__" localSheetId="1"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09__FDSAUDITLINK__"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1__FDSAUDITLINK__" localSheetId="4"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__FDSAUDITLINK__" localSheetId="5"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__FDSAUDITLINK__" localSheetId="3"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__FDSAUDITLINK__" localSheetId="1"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__FDSAUDITLINK__"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0__FDSAUDITLINK__" localSheetId="4"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0__FDSAUDITLINK__" localSheetId="5"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0__FDSAUDITLINK__" localSheetId="3"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0__FDSAUDITLINK__" localSheetId="1"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0__FDSAUDITLINK__"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1__FDSAUDITLINK__" localSheetId="4"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1__FDSAUDITLINK__" localSheetId="5"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1__FDSAUDITLINK__" localSheetId="3"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1__FDSAUDITLINK__" localSheetId="1"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1__FDSAUDITLINK__"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2__FDSAUDITLINK__" localSheetId="4"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2__FDSAUDITLINK__" localSheetId="5"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2__FDSAUDITLINK__" localSheetId="3"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2__FDSAUDITLINK__" localSheetId="1"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2__FDSAUDITLINK__"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3__FDSAUDITLINK__" localSheetId="4"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3__FDSAUDITLINK__" localSheetId="5"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3__FDSAUDITLINK__" localSheetId="3"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3__FDSAUDITLINK__" localSheetId="1"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3__FDSAUDITLINK__"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4__FDSAUDITLINK__" localSheetId="4"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4__FDSAUDITLINK__" localSheetId="5"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4__FDSAUDITLINK__" localSheetId="3"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4__FDSAUDITLINK__" localSheetId="1"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4__FDSAUDITLINK__"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5__FDSAUDITLINK__" localSheetId="4"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5__FDSAUDITLINK__" localSheetId="5"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5__FDSAUDITLINK__" localSheetId="3"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5__FDSAUDITLINK__" localSheetId="1"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5__FDSAUDITLINK__"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6__FDSAUDITLINK__" localSheetId="4"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6__FDSAUDITLINK__" localSheetId="5"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6__FDSAUDITLINK__" localSheetId="3"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6__FDSAUDITLINK__" localSheetId="1"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6__FDSAUDITLINK__"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7__FDSAUDITLINK__" localSheetId="4"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7__FDSAUDITLINK__" localSheetId="5"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7__FDSAUDITLINK__" localSheetId="3"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7__FDSAUDITLINK__" localSheetId="1"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7__FDSAUDITLINK__"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8__FDSAUDITLINK__" localSheetId="4"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8__FDSAUDITLINK__" localSheetId="5"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8__FDSAUDITLINK__" localSheetId="3"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8__FDSAUDITLINK__" localSheetId="1"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8__FDSAUDITLINK__"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9__FDSAUDITLINK__" localSheetId="4"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19__FDSAUDITLINK__" localSheetId="5"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19__FDSAUDITLINK__" localSheetId="3"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19__FDSAUDITLINK__" localSheetId="1"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19__FDSAUDITLINK__"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2__FDSAUDITLINK__" localSheetId="4"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__FDSAUDITLINK__" localSheetId="5"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__FDSAUDITLINK__" localSheetId="3"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__FDSAUDITLINK__" localSheetId="1"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__FDSAUDITLINK__"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0__FDSAUDITLINK__" localSheetId="4"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0__FDSAUDITLINK__" localSheetId="5"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0__FDSAUDITLINK__" localSheetId="3"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0__FDSAUDITLINK__" localSheetId="1"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0__FDSAUDITLINK__"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1__FDSAUDITLINK__" localSheetId="4"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1__FDSAUDITLINK__" localSheetId="5"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1__FDSAUDITLINK__" localSheetId="3"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1__FDSAUDITLINK__" localSheetId="1"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1__FDSAUDITLINK__"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2__FDSAUDITLINK__" localSheetId="4"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2__FDSAUDITLINK__" localSheetId="5"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2__FDSAUDITLINK__" localSheetId="3"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2__FDSAUDITLINK__" localSheetId="1"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2__FDSAUDITLINK__"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3__FDSAUDITLINK__" localSheetId="4"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3__FDSAUDITLINK__" localSheetId="5"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3__FDSAUDITLINK__" localSheetId="3"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3__FDSAUDITLINK__" localSheetId="1"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3__FDSAUDITLINK__"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4__FDSAUDITLINK__" localSheetId="4"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4__FDSAUDITLINK__" localSheetId="5"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4__FDSAUDITLINK__" localSheetId="3"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4__FDSAUDITLINK__" localSheetId="1"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4__FDSAUDITLINK__"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5__FDSAUDITLINK__" localSheetId="4"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5__FDSAUDITLINK__" localSheetId="5"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5__FDSAUDITLINK__" localSheetId="3"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5__FDSAUDITLINK__" localSheetId="1"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5__FDSAUDITLINK__"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6__FDSAUDITLINK__" localSheetId="4"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6__FDSAUDITLINK__" localSheetId="5"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6__FDSAUDITLINK__" localSheetId="3"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6__FDSAUDITLINK__" localSheetId="1"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6__FDSAUDITLINK__"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7__FDSAUDITLINK__" localSheetId="4"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7__FDSAUDITLINK__" localSheetId="5"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7__FDSAUDITLINK__" localSheetId="3"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7__FDSAUDITLINK__" localSheetId="1"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7__FDSAUDITLINK__"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8__FDSAUDITLINK__" localSheetId="4"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8__FDSAUDITLINK__" localSheetId="5"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8__FDSAUDITLINK__" localSheetId="3"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8__FDSAUDITLINK__" localSheetId="1"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8__FDSAUDITLINK__"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9__FDSAUDITLINK__" localSheetId="4"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29__FDSAUDITLINK__" localSheetId="5"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29__FDSAUDITLINK__" localSheetId="3"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29__FDSAUDITLINK__" localSheetId="1"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29__FDSAUDITLINK__"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3__FDSAUDITLINK__" localSheetId="4"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__FDSAUDITLINK__" localSheetId="5"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__FDSAUDITLINK__" localSheetId="3"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__FDSAUDITLINK__" localSheetId="1"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__FDSAUDITLINK__"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0__FDSAUDITLINK__" localSheetId="4"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0__FDSAUDITLINK__" localSheetId="5"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0__FDSAUDITLINK__" localSheetId="3"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0__FDSAUDITLINK__" localSheetId="1"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0__FDSAUDITLINK__"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1__FDSAUDITLINK__" localSheetId="4"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1__FDSAUDITLINK__" localSheetId="5"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1__FDSAUDITLINK__" localSheetId="3"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1__FDSAUDITLINK__" localSheetId="1"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1__FDSAUDITLINK__"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2__FDSAUDITLINK__" localSheetId="4"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2__FDSAUDITLINK__" localSheetId="5"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2__FDSAUDITLINK__" localSheetId="3"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2__FDSAUDITLINK__" localSheetId="1"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2__FDSAUDITLINK__"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3__FDSAUDITLINK__" localSheetId="4"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3__FDSAUDITLINK__" localSheetId="5"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3__FDSAUDITLINK__" localSheetId="3"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3__FDSAUDITLINK__" localSheetId="1"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3__FDSAUDITLINK__"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4__FDSAUDITLINK__" localSheetId="4"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4__FDSAUDITLINK__" localSheetId="5"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4__FDSAUDITLINK__" localSheetId="3"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4__FDSAUDITLINK__" localSheetId="1"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4__FDSAUDITLINK__"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5__FDSAUDITLINK__" localSheetId="4"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5__FDSAUDITLINK__" localSheetId="5"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5__FDSAUDITLINK__" localSheetId="3"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5__FDSAUDITLINK__" localSheetId="1"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5__FDSAUDITLINK__"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6__FDSAUDITLINK__" localSheetId="4"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6__FDSAUDITLINK__" localSheetId="5"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6__FDSAUDITLINK__" localSheetId="3"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6__FDSAUDITLINK__" localSheetId="1"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6__FDSAUDITLINK__"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7__FDSAUDITLINK__" localSheetId="4"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7__FDSAUDITLINK__" localSheetId="5"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7__FDSAUDITLINK__" localSheetId="3"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7__FDSAUDITLINK__" localSheetId="1"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7__FDSAUDITLINK__"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8__FDSAUDITLINK__" localSheetId="4"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8__FDSAUDITLINK__" localSheetId="5"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8__FDSAUDITLINK__" localSheetId="3"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8__FDSAUDITLINK__" localSheetId="1"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8__FDSAUDITLINK__"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9__FDSAUDITLINK__" localSheetId="4"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39__FDSAUDITLINK__" localSheetId="5"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39__FDSAUDITLINK__" localSheetId="3"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39__FDSAUDITLINK__" localSheetId="1"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39__FDSAUDITLINK__"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4__FDSAUDITLINK__" localSheetId="4"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__FDSAUDITLINK__" localSheetId="5"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__FDSAUDITLINK__" localSheetId="3"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__FDSAUDITLINK__" localSheetId="1"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__FDSAUDITLINK__"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0__FDSAUDITLINK__" localSheetId="4"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0__FDSAUDITLINK__" localSheetId="5"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0__FDSAUDITLINK__" localSheetId="3"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0__FDSAUDITLINK__" localSheetId="1"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0__FDSAUDITLINK__"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1__FDSAUDITLINK__" localSheetId="4"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1__FDSAUDITLINK__" localSheetId="5"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1__FDSAUDITLINK__" localSheetId="3"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1__FDSAUDITLINK__" localSheetId="1"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1__FDSAUDITLINK__"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2__FDSAUDITLINK__" localSheetId="4"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2__FDSAUDITLINK__" localSheetId="5"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2__FDSAUDITLINK__" localSheetId="3"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2__FDSAUDITLINK__" localSheetId="1"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2__FDSAUDITLINK__"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3__FDSAUDITLINK__" localSheetId="4"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3__FDSAUDITLINK__" localSheetId="5"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3__FDSAUDITLINK__" localSheetId="3"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3__FDSAUDITLINK__" localSheetId="1"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3__FDSAUDITLINK__"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4__FDSAUDITLINK__" localSheetId="4"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4__FDSAUDITLINK__" localSheetId="5"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4__FDSAUDITLINK__" localSheetId="3"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4__FDSAUDITLINK__" localSheetId="1"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4__FDSAUDITLINK__"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5__FDSAUDITLINK__" localSheetId="4"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5__FDSAUDITLINK__" localSheetId="5"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5__FDSAUDITLINK__" localSheetId="3"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5__FDSAUDITLINK__" localSheetId="1"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5__FDSAUDITLINK__"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6__FDSAUDITLINK__" localSheetId="4"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6__FDSAUDITLINK__" localSheetId="5"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6__FDSAUDITLINK__" localSheetId="3"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6__FDSAUDITLINK__" localSheetId="1"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6__FDSAUDITLINK__"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7__FDSAUDITLINK__" localSheetId="4"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7__FDSAUDITLINK__" localSheetId="5"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7__FDSAUDITLINK__" localSheetId="3"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7__FDSAUDITLINK__" localSheetId="1"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7__FDSAUDITLINK__"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8__FDSAUDITLINK__" localSheetId="4"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8__FDSAUDITLINK__" localSheetId="5"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8__FDSAUDITLINK__" localSheetId="3"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8__FDSAUDITLINK__" localSheetId="1"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8__FDSAUDITLINK__"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9__FDSAUDITLINK__" localSheetId="4"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49__FDSAUDITLINK__" localSheetId="5"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49__FDSAUDITLINK__" localSheetId="3"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49__FDSAUDITLINK__" localSheetId="1"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49__FDSAUDITLINK__"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5__FDSAUDITLINK__" localSheetId="4"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__FDSAUDITLINK__" localSheetId="5"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__FDSAUDITLINK__" localSheetId="3"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__FDSAUDITLINK__" localSheetId="1"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__FDSAUDITLINK__"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0__FDSAUDITLINK__" localSheetId="4"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0__FDSAUDITLINK__" localSheetId="5"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0__FDSAUDITLINK__" localSheetId="3"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0__FDSAUDITLINK__" localSheetId="1"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0__FDSAUDITLINK__"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1__FDSAUDITLINK__" localSheetId="4"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1__FDSAUDITLINK__" localSheetId="5"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1__FDSAUDITLINK__" localSheetId="3"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1__FDSAUDITLINK__" localSheetId="1"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1__FDSAUDITLINK__"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2__FDSAUDITLINK__" localSheetId="4"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2__FDSAUDITLINK__" localSheetId="5"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2__FDSAUDITLINK__" localSheetId="3"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2__FDSAUDITLINK__" localSheetId="1"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2__FDSAUDITLINK__"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3__FDSAUDITLINK__" localSheetId="4"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3__FDSAUDITLINK__" localSheetId="5"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3__FDSAUDITLINK__" localSheetId="3"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3__FDSAUDITLINK__" localSheetId="1"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3__FDSAUDITLINK__"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4__FDSAUDITLINK__" localSheetId="4"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4__FDSAUDITLINK__" localSheetId="5"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4__FDSAUDITLINK__" localSheetId="3"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4__FDSAUDITLINK__" localSheetId="1"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4__FDSAUDITLINK__"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5__FDSAUDITLINK__" localSheetId="4"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5__FDSAUDITLINK__" localSheetId="5"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5__FDSAUDITLINK__" localSheetId="3"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5__FDSAUDITLINK__" localSheetId="1"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5__FDSAUDITLINK__"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6__FDSAUDITLINK__" localSheetId="4"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6__FDSAUDITLINK__" localSheetId="5"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6__FDSAUDITLINK__" localSheetId="3"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6__FDSAUDITLINK__" localSheetId="1"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6__FDSAUDITLINK__"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7__FDSAUDITLINK__" localSheetId="4"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7__FDSAUDITLINK__" localSheetId="5"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7__FDSAUDITLINK__" localSheetId="3"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7__FDSAUDITLINK__" localSheetId="1"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7__FDSAUDITLINK__"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8__FDSAUDITLINK__" localSheetId="4"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8__FDSAUDITLINK__" localSheetId="5"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8__FDSAUDITLINK__" localSheetId="3"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8__FDSAUDITLINK__" localSheetId="1"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8__FDSAUDITLINK__"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9__FDSAUDITLINK__" localSheetId="4"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59__FDSAUDITLINK__" localSheetId="5"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59__FDSAUDITLINK__" localSheetId="3"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59__FDSAUDITLINK__" localSheetId="1"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59__FDSAUDITLINK__"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6__FDSAUDITLINK__" localSheetId="4"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__FDSAUDITLINK__" localSheetId="5"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__FDSAUDITLINK__" localSheetId="3"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__FDSAUDITLINK__" localSheetId="1"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__FDSAUDITLINK__"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0__FDSAUDITLINK__" localSheetId="4"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0__FDSAUDITLINK__" localSheetId="5"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0__FDSAUDITLINK__" localSheetId="3"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0__FDSAUDITLINK__" localSheetId="1"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0__FDSAUDITLINK__"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1__FDSAUDITLINK__" localSheetId="4"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1__FDSAUDITLINK__" localSheetId="5"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1__FDSAUDITLINK__" localSheetId="3"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1__FDSAUDITLINK__" localSheetId="1"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1__FDSAUDITLINK__"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2__FDSAUDITLINK__" localSheetId="4"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2__FDSAUDITLINK__" localSheetId="5"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2__FDSAUDITLINK__" localSheetId="3"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2__FDSAUDITLINK__" localSheetId="1"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2__FDSAUDITLINK__"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3__FDSAUDITLINK__" localSheetId="4"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3__FDSAUDITLINK__" localSheetId="5"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3__FDSAUDITLINK__" localSheetId="3"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3__FDSAUDITLINK__" localSheetId="1"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3__FDSAUDITLINK__"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4__FDSAUDITLINK__" localSheetId="4"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4__FDSAUDITLINK__" localSheetId="5"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4__FDSAUDITLINK__" localSheetId="3"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4__FDSAUDITLINK__" localSheetId="1"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4__FDSAUDITLINK__"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5__FDSAUDITLINK__" localSheetId="4"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5__FDSAUDITLINK__" localSheetId="5"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5__FDSAUDITLINK__" localSheetId="3"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5__FDSAUDITLINK__" localSheetId="1"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5__FDSAUDITLINK__"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6__FDSAUDITLINK__" localSheetId="4"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6__FDSAUDITLINK__" localSheetId="5"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6__FDSAUDITLINK__" localSheetId="3"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6__FDSAUDITLINK__" localSheetId="1"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6__FDSAUDITLINK__"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7__FDSAUDITLINK__" localSheetId="4"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7__FDSAUDITLINK__" localSheetId="5"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7__FDSAUDITLINK__" localSheetId="3"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7__FDSAUDITLINK__" localSheetId="1"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7__FDSAUDITLINK__"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8__FDSAUDITLINK__" localSheetId="4"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8__FDSAUDITLINK__" localSheetId="5"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8__FDSAUDITLINK__" localSheetId="3"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8__FDSAUDITLINK__" localSheetId="1"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8__FDSAUDITLINK__"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9__FDSAUDITLINK__" localSheetId="4"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69__FDSAUDITLINK__" localSheetId="5"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69__FDSAUDITLINK__" localSheetId="3"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69__FDSAUDITLINK__" localSheetId="1"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69__FDSAUDITLINK__"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7__FDSAUDITLINK__" localSheetId="4"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__FDSAUDITLINK__" localSheetId="5"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__FDSAUDITLINK__" localSheetId="3"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__FDSAUDITLINK__" localSheetId="1"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__FDSAUDITLINK__"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0__FDSAUDITLINK__" localSheetId="4"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0__FDSAUDITLINK__" localSheetId="5"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0__FDSAUDITLINK__" localSheetId="3"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0__FDSAUDITLINK__" localSheetId="1"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0__FDSAUDITLINK__"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1__FDSAUDITLINK__" localSheetId="4"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1__FDSAUDITLINK__" localSheetId="5"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1__FDSAUDITLINK__" localSheetId="3"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1__FDSAUDITLINK__" localSheetId="1"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1__FDSAUDITLINK__"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2__FDSAUDITLINK__" localSheetId="4"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2__FDSAUDITLINK__" localSheetId="5"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2__FDSAUDITLINK__" localSheetId="3"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2__FDSAUDITLINK__" localSheetId="1"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2__FDSAUDITLINK__"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3__FDSAUDITLINK__" localSheetId="4"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3__FDSAUDITLINK__" localSheetId="5"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3__FDSAUDITLINK__" localSheetId="3"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3__FDSAUDITLINK__" localSheetId="1"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3__FDSAUDITLINK__"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4__FDSAUDITLINK__" localSheetId="4"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4__FDSAUDITLINK__" localSheetId="5"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4__FDSAUDITLINK__" localSheetId="3"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4__FDSAUDITLINK__" localSheetId="1"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4__FDSAUDITLINK__"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5__FDSAUDITLINK__" localSheetId="4"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5__FDSAUDITLINK__" localSheetId="5"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5__FDSAUDITLINK__" localSheetId="3"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5__FDSAUDITLINK__" localSheetId="1"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5__FDSAUDITLINK__"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6__FDSAUDITLINK__" localSheetId="4"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6__FDSAUDITLINK__" localSheetId="5"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6__FDSAUDITLINK__" localSheetId="3"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6__FDSAUDITLINK__" localSheetId="1"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6__FDSAUDITLINK__"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7__FDSAUDITLINK__" localSheetId="4"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7__FDSAUDITLINK__" localSheetId="5"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7__FDSAUDITLINK__" localSheetId="3"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7__FDSAUDITLINK__" localSheetId="1"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7__FDSAUDITLINK__"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8__FDSAUDITLINK__" localSheetId="4"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8__FDSAUDITLINK__" localSheetId="5"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8__FDSAUDITLINK__" localSheetId="3"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8__FDSAUDITLINK__" localSheetId="1"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8__FDSAUDITLINK__"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9__FDSAUDITLINK__" localSheetId="4"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79__FDSAUDITLINK__" localSheetId="5"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79__FDSAUDITLINK__" localSheetId="3"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79__FDSAUDITLINK__" localSheetId="1"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79__FDSAUDITLINK__"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8__FDSAUDITLINK__" localSheetId="4"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__FDSAUDITLINK__" localSheetId="5"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__FDSAUDITLINK__" localSheetId="3"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__FDSAUDITLINK__" localSheetId="1"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__FDSAUDITLINK__"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0__FDSAUDITLINK__" localSheetId="4"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0__FDSAUDITLINK__" localSheetId="5"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0__FDSAUDITLINK__" localSheetId="3"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0__FDSAUDITLINK__" localSheetId="1"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0__FDSAUDITLINK__"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1__FDSAUDITLINK__" localSheetId="4"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1__FDSAUDITLINK__" localSheetId="5"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1__FDSAUDITLINK__" localSheetId="3"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1__FDSAUDITLINK__" localSheetId="1"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1__FDSAUDITLINK__"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2__FDSAUDITLINK__" localSheetId="4"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2__FDSAUDITLINK__" localSheetId="5"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2__FDSAUDITLINK__" localSheetId="3"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2__FDSAUDITLINK__" localSheetId="1"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2__FDSAUDITLINK__"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3__FDSAUDITLINK__" localSheetId="4"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3__FDSAUDITLINK__" localSheetId="5"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3__FDSAUDITLINK__" localSheetId="3"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3__FDSAUDITLINK__" localSheetId="1"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3__FDSAUDITLINK__"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4__FDSAUDITLINK__" localSheetId="4"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4__FDSAUDITLINK__" localSheetId="5"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4__FDSAUDITLINK__" localSheetId="3"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4__FDSAUDITLINK__" localSheetId="1"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4__FDSAUDITLINK__"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5__FDSAUDITLINK__" localSheetId="4"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5__FDSAUDITLINK__" localSheetId="5"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5__FDSAUDITLINK__" localSheetId="3"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5__FDSAUDITLINK__" localSheetId="1"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5__FDSAUDITLINK__"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6__FDSAUDITLINK__" localSheetId="4"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6__FDSAUDITLINK__" localSheetId="5"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6__FDSAUDITLINK__" localSheetId="3"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6__FDSAUDITLINK__" localSheetId="1"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6__FDSAUDITLINK__"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7__FDSAUDITLINK__" localSheetId="4"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7__FDSAUDITLINK__" localSheetId="5"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7__FDSAUDITLINK__" localSheetId="3"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7__FDSAUDITLINK__" localSheetId="1"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7__FDSAUDITLINK__"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8__FDSAUDITLINK__" localSheetId="4"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8__FDSAUDITLINK__" localSheetId="5"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8__FDSAUDITLINK__" localSheetId="3"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8__FDSAUDITLINK__" localSheetId="1"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8__FDSAUDITLINK__"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9__FDSAUDITLINK__" localSheetId="4"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89__FDSAUDITLINK__" localSheetId="5"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89__FDSAUDITLINK__" localSheetId="3"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89__FDSAUDITLINK__" localSheetId="1"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89__FDSAUDITLINK__"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9__FDSAUDITLINK__" localSheetId="4"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__FDSAUDITLINK__" localSheetId="5"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__FDSAUDITLINK__" localSheetId="3"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__FDSAUDITLINK__" localSheetId="1"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__FDSAUDITLINK__"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0__FDSAUDITLINK__" localSheetId="4"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0__FDSAUDITLINK__" localSheetId="5"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0__FDSAUDITLINK__" localSheetId="3"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0__FDSAUDITLINK__" localSheetId="1"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0__FDSAUDITLINK__"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1__FDSAUDITLINK__" localSheetId="4"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1__FDSAUDITLINK__" localSheetId="5"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1__FDSAUDITLINK__" localSheetId="3"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1__FDSAUDITLINK__" localSheetId="1"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1__FDSAUDITLINK__"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2__FDSAUDITLINK__" localSheetId="4"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2__FDSAUDITLINK__" localSheetId="5"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2__FDSAUDITLINK__" localSheetId="3"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2__FDSAUDITLINK__" localSheetId="1"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2__FDSAUDITLINK__"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3__FDSAUDITLINK__" localSheetId="4"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3__FDSAUDITLINK__" localSheetId="5"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3__FDSAUDITLINK__" localSheetId="3"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3__FDSAUDITLINK__" localSheetId="1"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3__FDSAUDITLINK__"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4__FDSAUDITLINK__" localSheetId="4"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4__FDSAUDITLINK__" localSheetId="5"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4__FDSAUDITLINK__" localSheetId="3"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4__FDSAUDITLINK__" localSheetId="1"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4__FDSAUDITLINK__"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5__FDSAUDITLINK__" localSheetId="4"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5__FDSAUDITLINK__" localSheetId="5"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5__FDSAUDITLINK__" localSheetId="3"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5__FDSAUDITLINK__" localSheetId="1"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5__FDSAUDITLINK__"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6__FDSAUDITLINK__" localSheetId="4"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6__FDSAUDITLINK__" localSheetId="5"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6__FDSAUDITLINK__" localSheetId="3"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6__FDSAUDITLINK__" localSheetId="1"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6__FDSAUDITLINK__"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7__FDSAUDITLINK__" localSheetId="4"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7__FDSAUDITLINK__" localSheetId="5"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7__FDSAUDITLINK__" localSheetId="3"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7__FDSAUDITLINK__" localSheetId="1"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7__FDSAUDITLINK__"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8__FDSAUDITLINK__" localSheetId="4"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8__FDSAUDITLINK__" localSheetId="5"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8__FDSAUDITLINK__" localSheetId="3"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8__FDSAUDITLINK__" localSheetId="1"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8__FDSAUDITLINK__"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9__FDSAUDITLINK__" localSheetId="4"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499__FDSAUDITLINK__" localSheetId="5"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499__FDSAUDITLINK__" localSheetId="3"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499__FDSAUDITLINK__" localSheetId="1"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499__FDSAUDITLINK__"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5__FDSAUDITLINK__" localSheetId="4"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__FDSAUDITLINK__" localSheetId="5"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__FDSAUDITLINK__" localSheetId="3"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__FDSAUDITLINK__" localSheetId="1"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__FDSAUDITLINK__"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0__FDSAUDITLINK__" localSheetId="4"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__FDSAUDITLINK__" localSheetId="5"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__FDSAUDITLINK__" localSheetId="3"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__FDSAUDITLINK__" localSheetId="1"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__FDSAUDITLINK__"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0__FDSAUDITLINK__" localSheetId="4"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0__FDSAUDITLINK__" localSheetId="5"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0__FDSAUDITLINK__" localSheetId="3"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0__FDSAUDITLINK__" localSheetId="1"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0__FDSAUDITLINK__"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1__FDSAUDITLINK__" localSheetId="4"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1__FDSAUDITLINK__" localSheetId="5"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1__FDSAUDITLINK__" localSheetId="3"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1__FDSAUDITLINK__" localSheetId="1"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1__FDSAUDITLINK__"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2__FDSAUDITLINK__" localSheetId="4"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2__FDSAUDITLINK__" localSheetId="5"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2__FDSAUDITLINK__" localSheetId="3"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2__FDSAUDITLINK__" localSheetId="1"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2__FDSAUDITLINK__"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3__FDSAUDITLINK__" localSheetId="4"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3__FDSAUDITLINK__" localSheetId="5"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3__FDSAUDITLINK__" localSheetId="3"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3__FDSAUDITLINK__" localSheetId="1"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3__FDSAUDITLINK__"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4__FDSAUDITLINK__" localSheetId="4"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4__FDSAUDITLINK__" localSheetId="5"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4__FDSAUDITLINK__" localSheetId="3"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4__FDSAUDITLINK__" localSheetId="1"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4__FDSAUDITLINK__"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5__FDSAUDITLINK__" localSheetId="4"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5__FDSAUDITLINK__" localSheetId="5"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5__FDSAUDITLINK__" localSheetId="3"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5__FDSAUDITLINK__" localSheetId="1"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5__FDSAUDITLINK__"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6__FDSAUDITLINK__" localSheetId="4"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6__FDSAUDITLINK__" localSheetId="5"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6__FDSAUDITLINK__" localSheetId="3"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6__FDSAUDITLINK__" localSheetId="1"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6__FDSAUDITLINK__"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7__FDSAUDITLINK__" localSheetId="4"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7__FDSAUDITLINK__" localSheetId="5"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7__FDSAUDITLINK__" localSheetId="3"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7__FDSAUDITLINK__" localSheetId="1"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7__FDSAUDITLINK__"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8__FDSAUDITLINK__" localSheetId="4"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8__FDSAUDITLINK__" localSheetId="5"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8__FDSAUDITLINK__" localSheetId="3"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8__FDSAUDITLINK__" localSheetId="1"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8__FDSAUDITLINK__"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9__FDSAUDITLINK__" localSheetId="4"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09__FDSAUDITLINK__" localSheetId="5"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09__FDSAUDITLINK__" localSheetId="3"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09__FDSAUDITLINK__" localSheetId="1"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09__FDSAUDITLINK__"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1__FDSAUDITLINK__" localSheetId="4"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__FDSAUDITLINK__" localSheetId="5"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__FDSAUDITLINK__" localSheetId="3"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__FDSAUDITLINK__" localSheetId="1"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__FDSAUDITLINK__"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0__FDSAUDITLINK__" localSheetId="4"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0__FDSAUDITLINK__" localSheetId="5"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0__FDSAUDITLINK__" localSheetId="3"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0__FDSAUDITLINK__" localSheetId="1"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0__FDSAUDITLINK__"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1__FDSAUDITLINK__" localSheetId="4"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1__FDSAUDITLINK__" localSheetId="5"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1__FDSAUDITLINK__" localSheetId="3"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1__FDSAUDITLINK__" localSheetId="1"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1__FDSAUDITLINK__"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2__FDSAUDITLINK__" localSheetId="4"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2__FDSAUDITLINK__" localSheetId="5"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2__FDSAUDITLINK__" localSheetId="3"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2__FDSAUDITLINK__" localSheetId="1"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2__FDSAUDITLINK__"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3__FDSAUDITLINK__" localSheetId="4"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3__FDSAUDITLINK__" localSheetId="5"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3__FDSAUDITLINK__" localSheetId="3"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3__FDSAUDITLINK__" localSheetId="1"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3__FDSAUDITLINK__"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4__FDSAUDITLINK__" localSheetId="4"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4__FDSAUDITLINK__" localSheetId="5"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4__FDSAUDITLINK__" localSheetId="3"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4__FDSAUDITLINK__" localSheetId="1"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4__FDSAUDITLINK__"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5__FDSAUDITLINK__" localSheetId="4"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5__FDSAUDITLINK__" localSheetId="5"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5__FDSAUDITLINK__" localSheetId="3"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5__FDSAUDITLINK__" localSheetId="1"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5__FDSAUDITLINK__"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6__FDSAUDITLINK__" localSheetId="4"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6__FDSAUDITLINK__" localSheetId="5"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6__FDSAUDITLINK__" localSheetId="3"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6__FDSAUDITLINK__" localSheetId="1"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6__FDSAUDITLINK__"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7__FDSAUDITLINK__" localSheetId="4"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7__FDSAUDITLINK__" localSheetId="5"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7__FDSAUDITLINK__" localSheetId="3"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7__FDSAUDITLINK__" localSheetId="1"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7__FDSAUDITLINK__"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8__FDSAUDITLINK__" localSheetId="4"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8__FDSAUDITLINK__" localSheetId="5"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8__FDSAUDITLINK__" localSheetId="3"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8__FDSAUDITLINK__" localSheetId="1"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8__FDSAUDITLINK__"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9__FDSAUDITLINK__" localSheetId="4"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19__FDSAUDITLINK__" localSheetId="5"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19__FDSAUDITLINK__" localSheetId="3"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19__FDSAUDITLINK__" localSheetId="1"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19__FDSAUDITLINK__"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2__FDSAUDITLINK__" localSheetId="4"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__FDSAUDITLINK__" localSheetId="5"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__FDSAUDITLINK__" localSheetId="3"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__FDSAUDITLINK__" localSheetId="1"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__FDSAUDITLINK__"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0__FDSAUDITLINK__" localSheetId="4"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0__FDSAUDITLINK__" localSheetId="5"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0__FDSAUDITLINK__" localSheetId="3"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0__FDSAUDITLINK__" localSheetId="1"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0__FDSAUDITLINK__"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1__FDSAUDITLINK__" localSheetId="4"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1__FDSAUDITLINK__" localSheetId="5"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1__FDSAUDITLINK__" localSheetId="3"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1__FDSAUDITLINK__" localSheetId="1"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1__FDSAUDITLINK__"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2__FDSAUDITLINK__" localSheetId="4"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2__FDSAUDITLINK__" localSheetId="5"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2__FDSAUDITLINK__" localSheetId="3"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2__FDSAUDITLINK__" localSheetId="1"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2__FDSAUDITLINK__"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3__FDSAUDITLINK__" localSheetId="4"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3__FDSAUDITLINK__" localSheetId="5"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3__FDSAUDITLINK__" localSheetId="3"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3__FDSAUDITLINK__" localSheetId="1"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3__FDSAUDITLINK__"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4__FDSAUDITLINK__" localSheetId="4"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4__FDSAUDITLINK__" localSheetId="5"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4__FDSAUDITLINK__" localSheetId="3"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4__FDSAUDITLINK__" localSheetId="1"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4__FDSAUDITLINK__"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5__FDSAUDITLINK__" localSheetId="4"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5__FDSAUDITLINK__" localSheetId="5"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5__FDSAUDITLINK__" localSheetId="3"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5__FDSAUDITLINK__" localSheetId="1"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5__FDSAUDITLINK__"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6__FDSAUDITLINK__" localSheetId="4"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6__FDSAUDITLINK__" localSheetId="5"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6__FDSAUDITLINK__" localSheetId="3"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6__FDSAUDITLINK__" localSheetId="1"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6__FDSAUDITLINK__"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7__FDSAUDITLINK__" localSheetId="4"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7__FDSAUDITLINK__" localSheetId="5"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7__FDSAUDITLINK__" localSheetId="3"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7__FDSAUDITLINK__" localSheetId="1"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7__FDSAUDITLINK__"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8__FDSAUDITLINK__" localSheetId="4"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8__FDSAUDITLINK__" localSheetId="5"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8__FDSAUDITLINK__" localSheetId="3"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8__FDSAUDITLINK__" localSheetId="1"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8__FDSAUDITLINK__"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9__FDSAUDITLINK__" localSheetId="4"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29__FDSAUDITLINK__" localSheetId="5"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29__FDSAUDITLINK__" localSheetId="3"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29__FDSAUDITLINK__" localSheetId="1"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29__FDSAUDITLINK__"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3__FDSAUDITLINK__" localSheetId="4"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__FDSAUDITLINK__" localSheetId="5"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__FDSAUDITLINK__" localSheetId="3"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__FDSAUDITLINK__" localSheetId="1"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__FDSAUDITLINK__"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0__FDSAUDITLINK__" localSheetId="4"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0__FDSAUDITLINK__" localSheetId="5"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0__FDSAUDITLINK__" localSheetId="3"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0__FDSAUDITLINK__" localSheetId="1"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0__FDSAUDITLINK__"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1__FDSAUDITLINK__" localSheetId="4"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1__FDSAUDITLINK__" localSheetId="5"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1__FDSAUDITLINK__" localSheetId="3"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1__FDSAUDITLINK__" localSheetId="1"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1__FDSAUDITLINK__"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2__FDSAUDITLINK__" localSheetId="4"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2__FDSAUDITLINK__" localSheetId="5"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2__FDSAUDITLINK__" localSheetId="3"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2__FDSAUDITLINK__" localSheetId="1"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2__FDSAUDITLINK__"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3__FDSAUDITLINK__" localSheetId="4"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3__FDSAUDITLINK__" localSheetId="5"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3__FDSAUDITLINK__" localSheetId="3"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3__FDSAUDITLINK__" localSheetId="1"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3__FDSAUDITLINK__"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4__FDSAUDITLINK__" localSheetId="4"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4__FDSAUDITLINK__" localSheetId="5"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4__FDSAUDITLINK__" localSheetId="3"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4__FDSAUDITLINK__" localSheetId="1"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4__FDSAUDITLINK__"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5__FDSAUDITLINK__" localSheetId="4"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5__FDSAUDITLINK__" localSheetId="5"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5__FDSAUDITLINK__" localSheetId="3"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5__FDSAUDITLINK__" localSheetId="1"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5__FDSAUDITLINK__"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6__FDSAUDITLINK__" localSheetId="4"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6__FDSAUDITLINK__" localSheetId="5"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6__FDSAUDITLINK__" localSheetId="3"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6__FDSAUDITLINK__" localSheetId="1"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6__FDSAUDITLINK__"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7__FDSAUDITLINK__" localSheetId="4"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7__FDSAUDITLINK__" localSheetId="5"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7__FDSAUDITLINK__" localSheetId="3"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7__FDSAUDITLINK__" localSheetId="1"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7__FDSAUDITLINK__"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8__FDSAUDITLINK__" localSheetId="4"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8__FDSAUDITLINK__" localSheetId="5"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8__FDSAUDITLINK__" localSheetId="3"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8__FDSAUDITLINK__" localSheetId="1"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8__FDSAUDITLINK__"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9__FDSAUDITLINK__" localSheetId="4"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39__FDSAUDITLINK__" localSheetId="5"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39__FDSAUDITLINK__" localSheetId="3"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39__FDSAUDITLINK__" localSheetId="1"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39__FDSAUDITLINK__"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4__FDSAUDITLINK__" localSheetId="4"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__FDSAUDITLINK__" localSheetId="5"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__FDSAUDITLINK__" localSheetId="3"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__FDSAUDITLINK__" localSheetId="1"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__FDSAUDITLINK__"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0__FDSAUDITLINK__" localSheetId="4"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0__FDSAUDITLINK__" localSheetId="5"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0__FDSAUDITLINK__" localSheetId="3"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0__FDSAUDITLINK__" localSheetId="1"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0__FDSAUDITLINK__"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1__FDSAUDITLINK__" localSheetId="4"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1__FDSAUDITLINK__" localSheetId="5"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1__FDSAUDITLINK__" localSheetId="3"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1__FDSAUDITLINK__" localSheetId="1"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1__FDSAUDITLINK__"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2__FDSAUDITLINK__" localSheetId="4"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2__FDSAUDITLINK__" localSheetId="5"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2__FDSAUDITLINK__" localSheetId="3"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2__FDSAUDITLINK__" localSheetId="1"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2__FDSAUDITLINK__"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3__FDSAUDITLINK__" localSheetId="4"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3__FDSAUDITLINK__" localSheetId="5"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3__FDSAUDITLINK__" localSheetId="3"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3__FDSAUDITLINK__" localSheetId="1"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3__FDSAUDITLINK__"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4__FDSAUDITLINK__" localSheetId="4"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4__FDSAUDITLINK__" localSheetId="5"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4__FDSAUDITLINK__" localSheetId="3"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4__FDSAUDITLINK__" localSheetId="1"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4__FDSAUDITLINK__"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5__FDSAUDITLINK__" localSheetId="4"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5__FDSAUDITLINK__" localSheetId="5"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5__FDSAUDITLINK__" localSheetId="3"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5__FDSAUDITLINK__" localSheetId="1"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5__FDSAUDITLINK__"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6__FDSAUDITLINK__" localSheetId="4"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6__FDSAUDITLINK__" localSheetId="5"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6__FDSAUDITLINK__" localSheetId="3"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6__FDSAUDITLINK__" localSheetId="1"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6__FDSAUDITLINK__"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7__FDSAUDITLINK__" localSheetId="4"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7__FDSAUDITLINK__" localSheetId="5"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7__FDSAUDITLINK__" localSheetId="3"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7__FDSAUDITLINK__" localSheetId="1"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7__FDSAUDITLINK__"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8__FDSAUDITLINK__" localSheetId="4"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8__FDSAUDITLINK__" localSheetId="5"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8__FDSAUDITLINK__" localSheetId="3"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8__FDSAUDITLINK__" localSheetId="1"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8__FDSAUDITLINK__"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9__FDSAUDITLINK__" localSheetId="4"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49__FDSAUDITLINK__" localSheetId="5"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49__FDSAUDITLINK__" localSheetId="3"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49__FDSAUDITLINK__" localSheetId="1"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49__FDSAUDITLINK__"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5__FDSAUDITLINK__" localSheetId="4"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__FDSAUDITLINK__" localSheetId="5"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__FDSAUDITLINK__" localSheetId="3"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__FDSAUDITLINK__" localSheetId="1"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__FDSAUDITLINK__"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0__FDSAUDITLINK__" localSheetId="4"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0__FDSAUDITLINK__" localSheetId="5"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0__FDSAUDITLINK__" localSheetId="3"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0__FDSAUDITLINK__" localSheetId="1"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0__FDSAUDITLINK__"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1__FDSAUDITLINK__" localSheetId="4"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1__FDSAUDITLINK__" localSheetId="5"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1__FDSAUDITLINK__" localSheetId="3"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1__FDSAUDITLINK__" localSheetId="1"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1__FDSAUDITLINK__"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2__FDSAUDITLINK__" localSheetId="4"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2__FDSAUDITLINK__" localSheetId="5"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2__FDSAUDITLINK__" localSheetId="3"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2__FDSAUDITLINK__" localSheetId="1"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2__FDSAUDITLINK__"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3__FDSAUDITLINK__" localSheetId="4"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3__FDSAUDITLINK__" localSheetId="5"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3__FDSAUDITLINK__" localSheetId="3"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3__FDSAUDITLINK__" localSheetId="1"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3__FDSAUDITLINK__"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4__FDSAUDITLINK__" localSheetId="4"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4__FDSAUDITLINK__" localSheetId="5"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4__FDSAUDITLINK__" localSheetId="3"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4__FDSAUDITLINK__" localSheetId="1"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4__FDSAUDITLINK__"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5__FDSAUDITLINK__" localSheetId="4"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5__FDSAUDITLINK__" localSheetId="5"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5__FDSAUDITLINK__" localSheetId="3"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5__FDSAUDITLINK__" localSheetId="1"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5__FDSAUDITLINK__"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6__FDSAUDITLINK__" localSheetId="4"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6__FDSAUDITLINK__" localSheetId="5"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6__FDSAUDITLINK__" localSheetId="3"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6__FDSAUDITLINK__" localSheetId="1"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6__FDSAUDITLINK__"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7__FDSAUDITLINK__" localSheetId="4"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7__FDSAUDITLINK__" localSheetId="5"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7__FDSAUDITLINK__" localSheetId="3"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7__FDSAUDITLINK__" localSheetId="1"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7__FDSAUDITLINK__"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8__FDSAUDITLINK__" localSheetId="4"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8__FDSAUDITLINK__" localSheetId="5"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8__FDSAUDITLINK__" localSheetId="3"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8__FDSAUDITLINK__" localSheetId="1"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8__FDSAUDITLINK__"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9__FDSAUDITLINK__" localSheetId="4"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59__FDSAUDITLINK__" localSheetId="5"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59__FDSAUDITLINK__" localSheetId="3"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59__FDSAUDITLINK__" localSheetId="1"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59__FDSAUDITLINK__"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6__FDSAUDITLINK__" localSheetId="4"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__FDSAUDITLINK__" localSheetId="5"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__FDSAUDITLINK__" localSheetId="3"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__FDSAUDITLINK__" localSheetId="1"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__FDSAUDITLINK__"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0__FDSAUDITLINK__" localSheetId="4"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0__FDSAUDITLINK__" localSheetId="5"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0__FDSAUDITLINK__" localSheetId="3"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0__FDSAUDITLINK__" localSheetId="1"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0__FDSAUDITLINK__"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1__FDSAUDITLINK__" localSheetId="4"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1__FDSAUDITLINK__" localSheetId="5"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1__FDSAUDITLINK__" localSheetId="3"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1__FDSAUDITLINK__" localSheetId="1"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1__FDSAUDITLINK__"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2__FDSAUDITLINK__" localSheetId="4"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2__FDSAUDITLINK__" localSheetId="5"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2__FDSAUDITLINK__" localSheetId="3"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2__FDSAUDITLINK__" localSheetId="1"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2__FDSAUDITLINK__"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3__FDSAUDITLINK__" localSheetId="4"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3__FDSAUDITLINK__" localSheetId="5"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3__FDSAUDITLINK__" localSheetId="3"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3__FDSAUDITLINK__" localSheetId="1"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3__FDSAUDITLINK__"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4__FDSAUDITLINK__" localSheetId="4"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4__FDSAUDITLINK__" localSheetId="5"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4__FDSAUDITLINK__" localSheetId="3"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4__FDSAUDITLINK__" localSheetId="1"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4__FDSAUDITLINK__"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5__FDSAUDITLINK__" localSheetId="4"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5__FDSAUDITLINK__" localSheetId="5"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5__FDSAUDITLINK__" localSheetId="3"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5__FDSAUDITLINK__" localSheetId="1"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5__FDSAUDITLINK__"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6__FDSAUDITLINK__" localSheetId="4"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6__FDSAUDITLINK__" localSheetId="5"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6__FDSAUDITLINK__" localSheetId="3"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6__FDSAUDITLINK__" localSheetId="1"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6__FDSAUDITLINK__"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7__FDSAUDITLINK__" localSheetId="4"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7__FDSAUDITLINK__" localSheetId="5"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7__FDSAUDITLINK__" localSheetId="3"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7__FDSAUDITLINK__" localSheetId="1"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7__FDSAUDITLINK__"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8__FDSAUDITLINK__" localSheetId="4"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8__FDSAUDITLINK__" localSheetId="5"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8__FDSAUDITLINK__" localSheetId="3"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8__FDSAUDITLINK__" localSheetId="1"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8__FDSAUDITLINK__"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9__FDSAUDITLINK__" localSheetId="4"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69__FDSAUDITLINK__" localSheetId="5"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69__FDSAUDITLINK__" localSheetId="3"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69__FDSAUDITLINK__" localSheetId="1"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69__FDSAUDITLINK__"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7__FDSAUDITLINK__" localSheetId="4"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__FDSAUDITLINK__" localSheetId="5"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__FDSAUDITLINK__" localSheetId="3"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__FDSAUDITLINK__" localSheetId="1"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__FDSAUDITLINK__"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0__FDSAUDITLINK__" localSheetId="4"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0__FDSAUDITLINK__" localSheetId="5"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0__FDSAUDITLINK__" localSheetId="3"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0__FDSAUDITLINK__" localSheetId="1"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0__FDSAUDITLINK__"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1__FDSAUDITLINK__" localSheetId="4"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1__FDSAUDITLINK__" localSheetId="5"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1__FDSAUDITLINK__" localSheetId="3"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1__FDSAUDITLINK__" localSheetId="1"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1__FDSAUDITLINK__"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2__FDSAUDITLINK__" localSheetId="4"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2__FDSAUDITLINK__" localSheetId="5"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2__FDSAUDITLINK__" localSheetId="3"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2__FDSAUDITLINK__" localSheetId="1"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2__FDSAUDITLINK__"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3__FDSAUDITLINK__" localSheetId="4"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3__FDSAUDITLINK__" localSheetId="5"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3__FDSAUDITLINK__" localSheetId="3"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3__FDSAUDITLINK__" localSheetId="1"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3__FDSAUDITLINK__"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4__FDSAUDITLINK__" localSheetId="4"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4__FDSAUDITLINK__" localSheetId="5"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4__FDSAUDITLINK__" localSheetId="3"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4__FDSAUDITLINK__" localSheetId="1"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4__FDSAUDITLINK__"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5__FDSAUDITLINK__" localSheetId="4"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5__FDSAUDITLINK__" localSheetId="5"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5__FDSAUDITLINK__" localSheetId="3"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5__FDSAUDITLINK__" localSheetId="1"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5__FDSAUDITLINK__"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6__FDSAUDITLINK__" localSheetId="4"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6__FDSAUDITLINK__" localSheetId="5"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6__FDSAUDITLINK__" localSheetId="3"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6__FDSAUDITLINK__" localSheetId="1"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6__FDSAUDITLINK__"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7__FDSAUDITLINK__" localSheetId="4"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7__FDSAUDITLINK__" localSheetId="5"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7__FDSAUDITLINK__" localSheetId="3"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7__FDSAUDITLINK__" localSheetId="1"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7__FDSAUDITLINK__"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8__FDSAUDITLINK__" localSheetId="4"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8__FDSAUDITLINK__" localSheetId="5"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8__FDSAUDITLINK__" localSheetId="3"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8__FDSAUDITLINK__" localSheetId="1"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8__FDSAUDITLINK__"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9__FDSAUDITLINK__" localSheetId="4"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79__FDSAUDITLINK__" localSheetId="5"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79__FDSAUDITLINK__" localSheetId="3"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79__FDSAUDITLINK__" localSheetId="1"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79__FDSAUDITLINK__"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8__FDSAUDITLINK__" localSheetId="4"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__FDSAUDITLINK__" localSheetId="5"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__FDSAUDITLINK__" localSheetId="3"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__FDSAUDITLINK__" localSheetId="1"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__FDSAUDITLINK__"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0__FDSAUDITLINK__" localSheetId="4"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0__FDSAUDITLINK__" localSheetId="5"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0__FDSAUDITLINK__" localSheetId="3"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0__FDSAUDITLINK__" localSheetId="1"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0__FDSAUDITLINK__"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1__FDSAUDITLINK__" localSheetId="4"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1__FDSAUDITLINK__" localSheetId="5"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1__FDSAUDITLINK__" localSheetId="3"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1__FDSAUDITLINK__" localSheetId="1"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1__FDSAUDITLINK__"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2__FDSAUDITLINK__" localSheetId="4"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2__FDSAUDITLINK__" localSheetId="5"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2__FDSAUDITLINK__" localSheetId="3"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2__FDSAUDITLINK__" localSheetId="1"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2__FDSAUDITLINK__"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3__FDSAUDITLINK__" localSheetId="4"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3__FDSAUDITLINK__" localSheetId="5"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3__FDSAUDITLINK__" localSheetId="3"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3__FDSAUDITLINK__" localSheetId="1"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3__FDSAUDITLINK__"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4__FDSAUDITLINK__" localSheetId="4"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4__FDSAUDITLINK__" localSheetId="5"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4__FDSAUDITLINK__" localSheetId="3"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4__FDSAUDITLINK__" localSheetId="1"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4__FDSAUDITLINK__"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5__FDSAUDITLINK__" localSheetId="4"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5__FDSAUDITLINK__" localSheetId="5"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5__FDSAUDITLINK__" localSheetId="3"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5__FDSAUDITLINK__" localSheetId="1"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5__FDSAUDITLINK__"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6__FDSAUDITLINK__" localSheetId="4"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6__FDSAUDITLINK__" localSheetId="5"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6__FDSAUDITLINK__" localSheetId="3"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6__FDSAUDITLINK__" localSheetId="1"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6__FDSAUDITLINK__"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7__FDSAUDITLINK__" localSheetId="4"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7__FDSAUDITLINK__" localSheetId="5"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7__FDSAUDITLINK__" localSheetId="3"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7__FDSAUDITLINK__" localSheetId="1"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7__FDSAUDITLINK__"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8__FDSAUDITLINK__" localSheetId="4"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8__FDSAUDITLINK__" localSheetId="5"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8__FDSAUDITLINK__" localSheetId="3"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8__FDSAUDITLINK__" localSheetId="1"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8__FDSAUDITLINK__"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9__FDSAUDITLINK__" localSheetId="4"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89__FDSAUDITLINK__" localSheetId="5"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89__FDSAUDITLINK__" localSheetId="3"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89__FDSAUDITLINK__" localSheetId="1"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89__FDSAUDITLINK__"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9__FDSAUDITLINK__" localSheetId="4"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__FDSAUDITLINK__" localSheetId="5"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__FDSAUDITLINK__" localSheetId="3"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__FDSAUDITLINK__" localSheetId="1"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__FDSAUDITLINK__"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0__FDSAUDITLINK__" localSheetId="4"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0__FDSAUDITLINK__" localSheetId="5"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0__FDSAUDITLINK__" localSheetId="3"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0__FDSAUDITLINK__" localSheetId="1"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0__FDSAUDITLINK__"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1__FDSAUDITLINK__" localSheetId="4"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1__FDSAUDITLINK__" localSheetId="5"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1__FDSAUDITLINK__" localSheetId="3"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1__FDSAUDITLINK__" localSheetId="1"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1__FDSAUDITLINK__"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2__FDSAUDITLINK__" localSheetId="4"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2__FDSAUDITLINK__" localSheetId="5"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2__FDSAUDITLINK__" localSheetId="3"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2__FDSAUDITLINK__" localSheetId="1"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2__FDSAUDITLINK__"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3__FDSAUDITLINK__" localSheetId="4"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3__FDSAUDITLINK__" localSheetId="5"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3__FDSAUDITLINK__" localSheetId="3"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3__FDSAUDITLINK__" localSheetId="1"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3__FDSAUDITLINK__"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4__FDSAUDITLINK__" localSheetId="4"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4__FDSAUDITLINK__" localSheetId="5"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4__FDSAUDITLINK__" localSheetId="3"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4__FDSAUDITLINK__" localSheetId="1"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4__FDSAUDITLINK__"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5__FDSAUDITLINK__" localSheetId="4"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5__FDSAUDITLINK__" localSheetId="5"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5__FDSAUDITLINK__" localSheetId="3"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5__FDSAUDITLINK__" localSheetId="1"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5__FDSAUDITLINK__"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6__FDSAUDITLINK__" localSheetId="4"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6__FDSAUDITLINK__" localSheetId="5"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6__FDSAUDITLINK__" localSheetId="3"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6__FDSAUDITLINK__" localSheetId="1"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6__FDSAUDITLINK__"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7__FDSAUDITLINK__" localSheetId="4"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7__FDSAUDITLINK__" localSheetId="5"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7__FDSAUDITLINK__" localSheetId="3"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7__FDSAUDITLINK__" localSheetId="1"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7__FDSAUDITLINK__"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8__FDSAUDITLINK__" localSheetId="4"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8__FDSAUDITLINK__" localSheetId="5"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8__FDSAUDITLINK__" localSheetId="3"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8__FDSAUDITLINK__" localSheetId="1"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8__FDSAUDITLINK__"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9__FDSAUDITLINK__" localSheetId="4"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599__FDSAUDITLINK__" localSheetId="5"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599__FDSAUDITLINK__" localSheetId="3"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599__FDSAUDITLINK__" localSheetId="1"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599__FDSAUDITLINK__"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6__FDSAUDITLINK__" localSheetId="4"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__FDSAUDITLINK__" localSheetId="5"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__FDSAUDITLINK__" localSheetId="3"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__FDSAUDITLINK__" localSheetId="1"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__FDSAUDITLINK__"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0__FDSAUDITLINK__" localSheetId="4"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__FDSAUDITLINK__" localSheetId="5"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__FDSAUDITLINK__" localSheetId="3"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__FDSAUDITLINK__" localSheetId="1"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__FDSAUDITLINK__"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0__FDSAUDITLINK__" localSheetId="4"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0__FDSAUDITLINK__" localSheetId="5"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0__FDSAUDITLINK__" localSheetId="3"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0__FDSAUDITLINK__" localSheetId="1"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0__FDSAUDITLINK__"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1__FDSAUDITLINK__" localSheetId="4"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1__FDSAUDITLINK__" localSheetId="5"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1__FDSAUDITLINK__" localSheetId="3"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1__FDSAUDITLINK__" localSheetId="1"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1__FDSAUDITLINK__"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2__FDSAUDITLINK__" localSheetId="4"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2__FDSAUDITLINK__" localSheetId="5"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2__FDSAUDITLINK__" localSheetId="3"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2__FDSAUDITLINK__" localSheetId="1"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2__FDSAUDITLINK__"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3__FDSAUDITLINK__" localSheetId="4"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3__FDSAUDITLINK__" localSheetId="5"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3__FDSAUDITLINK__" localSheetId="3"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3__FDSAUDITLINK__" localSheetId="1"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3__FDSAUDITLINK__"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4__FDSAUDITLINK__" localSheetId="4"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4__FDSAUDITLINK__" localSheetId="5"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4__FDSAUDITLINK__" localSheetId="3"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4__FDSAUDITLINK__" localSheetId="1"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4__FDSAUDITLINK__"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5__FDSAUDITLINK__" localSheetId="4"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5__FDSAUDITLINK__" localSheetId="5"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5__FDSAUDITLINK__" localSheetId="3"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5__FDSAUDITLINK__" localSheetId="1"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5__FDSAUDITLINK__"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6__FDSAUDITLINK__" localSheetId="4"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6__FDSAUDITLINK__" localSheetId="5"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6__FDSAUDITLINK__" localSheetId="3"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6__FDSAUDITLINK__" localSheetId="1"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6__FDSAUDITLINK__"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7__FDSAUDITLINK__" localSheetId="4"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7__FDSAUDITLINK__" localSheetId="5"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7__FDSAUDITLINK__" localSheetId="3"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7__FDSAUDITLINK__" localSheetId="1"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7__FDSAUDITLINK__"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8__FDSAUDITLINK__" localSheetId="4"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8__FDSAUDITLINK__" localSheetId="5"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8__FDSAUDITLINK__" localSheetId="3"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8__FDSAUDITLINK__" localSheetId="1"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8__FDSAUDITLINK__"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9__FDSAUDITLINK__" localSheetId="4"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09__FDSAUDITLINK__" localSheetId="5"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09__FDSAUDITLINK__" localSheetId="3"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09__FDSAUDITLINK__" localSheetId="1"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09__FDSAUDITLINK__"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1__FDSAUDITLINK__" localSheetId="4"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__FDSAUDITLINK__" localSheetId="5"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__FDSAUDITLINK__" localSheetId="3"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__FDSAUDITLINK__" localSheetId="1"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__FDSAUDITLINK__"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0__FDSAUDITLINK__" localSheetId="4"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0__FDSAUDITLINK__" localSheetId="5"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0__FDSAUDITLINK__" localSheetId="3"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0__FDSAUDITLINK__" localSheetId="1"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0__FDSAUDITLINK__"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1__FDSAUDITLINK__" localSheetId="4"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1__FDSAUDITLINK__" localSheetId="5"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1__FDSAUDITLINK__" localSheetId="3"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1__FDSAUDITLINK__" localSheetId="1"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1__FDSAUDITLINK__"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2__FDSAUDITLINK__" localSheetId="4"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2__FDSAUDITLINK__" localSheetId="5"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2__FDSAUDITLINK__" localSheetId="3"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2__FDSAUDITLINK__" localSheetId="1"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2__FDSAUDITLINK__"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3__FDSAUDITLINK__" localSheetId="4"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3__FDSAUDITLINK__" localSheetId="5"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3__FDSAUDITLINK__" localSheetId="3"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3__FDSAUDITLINK__" localSheetId="1"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3__FDSAUDITLINK__"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4__FDSAUDITLINK__" localSheetId="4"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4__FDSAUDITLINK__" localSheetId="5"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4__FDSAUDITLINK__" localSheetId="3"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4__FDSAUDITLINK__" localSheetId="1"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4__FDSAUDITLINK__"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5__FDSAUDITLINK__" localSheetId="4"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5__FDSAUDITLINK__" localSheetId="5"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5__FDSAUDITLINK__" localSheetId="3"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5__FDSAUDITLINK__" localSheetId="1"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5__FDSAUDITLINK__"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6__FDSAUDITLINK__" localSheetId="4"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6__FDSAUDITLINK__" localSheetId="5"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6__FDSAUDITLINK__" localSheetId="3"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6__FDSAUDITLINK__" localSheetId="1"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6__FDSAUDITLINK__"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7__FDSAUDITLINK__" localSheetId="4"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7__FDSAUDITLINK__" localSheetId="5"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7__FDSAUDITLINK__" localSheetId="3"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7__FDSAUDITLINK__" localSheetId="1"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7__FDSAUDITLINK__"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8__FDSAUDITLINK__" localSheetId="4"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18__FDSAUDITLINK__" localSheetId="5"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18__FDSAUDITLINK__" localSheetId="3"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18__FDSAUDITLINK__" localSheetId="1"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18__FDSAUDITLINK__"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2__FDSAUDITLINK__" localSheetId="4"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2__FDSAUDITLINK__" localSheetId="5"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2__FDSAUDITLINK__" localSheetId="3"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2__FDSAUDITLINK__" localSheetId="1"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2__FDSAUDITLINK__"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3__FDSAUDITLINK__" localSheetId="4"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3__FDSAUDITLINK__" localSheetId="5"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3__FDSAUDITLINK__" localSheetId="3"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3__FDSAUDITLINK__" localSheetId="1"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3__FDSAUDITLINK__"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4__FDSAUDITLINK__" localSheetId="4"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4__FDSAUDITLINK__" localSheetId="5"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4__FDSAUDITLINK__" localSheetId="3"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4__FDSAUDITLINK__" localSheetId="1"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4__FDSAUDITLINK__"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5__FDSAUDITLINK__" localSheetId="4"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5__FDSAUDITLINK__" localSheetId="5"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5__FDSAUDITLINK__" localSheetId="3"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5__FDSAUDITLINK__" localSheetId="1"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5__FDSAUDITLINK__"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6__FDSAUDITLINK__" localSheetId="4"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6__FDSAUDITLINK__" localSheetId="5"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6__FDSAUDITLINK__" localSheetId="3"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6__FDSAUDITLINK__" localSheetId="1"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6__FDSAUDITLINK__"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7__FDSAUDITLINK__" localSheetId="4"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7__FDSAUDITLINK__" localSheetId="5"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7__FDSAUDITLINK__" localSheetId="3"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7__FDSAUDITLINK__" localSheetId="1"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7__FDSAUDITLINK__"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8__FDSAUDITLINK__" localSheetId="4"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8__FDSAUDITLINK__" localSheetId="5"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8__FDSAUDITLINK__" localSheetId="3"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8__FDSAUDITLINK__" localSheetId="1"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8__FDSAUDITLINK__"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9__FDSAUDITLINK__" localSheetId="4"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69__FDSAUDITLINK__" localSheetId="5"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69__FDSAUDITLINK__" localSheetId="3"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69__FDSAUDITLINK__" localSheetId="1"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69__FDSAUDITLINK__"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7__FDSAUDITLINK__" localSheetId="4"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__FDSAUDITLINK__" localSheetId="5"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__FDSAUDITLINK__" localSheetId="3"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__FDSAUDITLINK__" localSheetId="1"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__FDSAUDITLINK__"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0__FDSAUDITLINK__" localSheetId="4"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0__FDSAUDITLINK__" localSheetId="5"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0__FDSAUDITLINK__" localSheetId="3"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0__FDSAUDITLINK__" localSheetId="1"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0__FDSAUDITLINK__"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1__FDSAUDITLINK__" localSheetId="4"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1__FDSAUDITLINK__" localSheetId="5"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1__FDSAUDITLINK__" localSheetId="3"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1__FDSAUDITLINK__" localSheetId="1"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1__FDSAUDITLINK__"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2__FDSAUDITLINK__" localSheetId="4"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2__FDSAUDITLINK__" localSheetId="5"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2__FDSAUDITLINK__" localSheetId="3"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2__FDSAUDITLINK__" localSheetId="1"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2__FDSAUDITLINK__"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3__FDSAUDITLINK__" localSheetId="4"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3__FDSAUDITLINK__" localSheetId="5"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3__FDSAUDITLINK__" localSheetId="3"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3__FDSAUDITLINK__" localSheetId="1"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3__FDSAUDITLINK__"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4__FDSAUDITLINK__" localSheetId="4"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4__FDSAUDITLINK__" localSheetId="5"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4__FDSAUDITLINK__" localSheetId="3"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4__FDSAUDITLINK__" localSheetId="1"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4__FDSAUDITLINK__"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5__FDSAUDITLINK__" localSheetId="4"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5__FDSAUDITLINK__" localSheetId="5"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5__FDSAUDITLINK__" localSheetId="3"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5__FDSAUDITLINK__" localSheetId="1"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5__FDSAUDITLINK__"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6__FDSAUDITLINK__" localSheetId="4"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6__FDSAUDITLINK__" localSheetId="5"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6__FDSAUDITLINK__" localSheetId="3"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6__FDSAUDITLINK__" localSheetId="1"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6__FDSAUDITLINK__"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7__FDSAUDITLINK__" localSheetId="4"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7__FDSAUDITLINK__" localSheetId="5"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7__FDSAUDITLINK__" localSheetId="3"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7__FDSAUDITLINK__" localSheetId="1"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7__FDSAUDITLINK__"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8__FDSAUDITLINK__" localSheetId="4"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8__FDSAUDITLINK__" localSheetId="5"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8__FDSAUDITLINK__" localSheetId="3"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8__FDSAUDITLINK__" localSheetId="1"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8__FDSAUDITLINK__"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9__FDSAUDITLINK__" localSheetId="4"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79__FDSAUDITLINK__" localSheetId="5"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79__FDSAUDITLINK__" localSheetId="3"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79__FDSAUDITLINK__" localSheetId="1"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79__FDSAUDITLINK__"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8__FDSAUDITLINK__" localSheetId="4"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__FDSAUDITLINK__" localSheetId="5"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__FDSAUDITLINK__" localSheetId="3"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__FDSAUDITLINK__" localSheetId="1"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__FDSAUDITLINK__"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0__FDSAUDITLINK__" localSheetId="4"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0__FDSAUDITLINK__" localSheetId="5"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0__FDSAUDITLINK__" localSheetId="3"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0__FDSAUDITLINK__" localSheetId="1"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0__FDSAUDITLINK__"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1__FDSAUDITLINK__" localSheetId="4"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1__FDSAUDITLINK__" localSheetId="5"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1__FDSAUDITLINK__" localSheetId="3"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1__FDSAUDITLINK__" localSheetId="1"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1__FDSAUDITLINK__"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2__FDSAUDITLINK__" localSheetId="4"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2__FDSAUDITLINK__" localSheetId="5"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2__FDSAUDITLINK__" localSheetId="3"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2__FDSAUDITLINK__" localSheetId="1"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2__FDSAUDITLINK__"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3__FDSAUDITLINK__" localSheetId="4"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3__FDSAUDITLINK__" localSheetId="5"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3__FDSAUDITLINK__" localSheetId="3"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3__FDSAUDITLINK__" localSheetId="1"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3__FDSAUDITLINK__"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4__FDSAUDITLINK__" localSheetId="4"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4__FDSAUDITLINK__" localSheetId="5"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4__FDSAUDITLINK__" localSheetId="3"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4__FDSAUDITLINK__" localSheetId="1"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4__FDSAUDITLINK__"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5__FDSAUDITLINK__" localSheetId="4"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5__FDSAUDITLINK__" localSheetId="5"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5__FDSAUDITLINK__" localSheetId="3"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5__FDSAUDITLINK__" localSheetId="1"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5__FDSAUDITLINK__"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6__FDSAUDITLINK__" localSheetId="4"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6__FDSAUDITLINK__" localSheetId="5"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6__FDSAUDITLINK__" localSheetId="3"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6__FDSAUDITLINK__" localSheetId="1"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6__FDSAUDITLINK__"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7__FDSAUDITLINK__" localSheetId="4"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7__FDSAUDITLINK__" localSheetId="5"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7__FDSAUDITLINK__" localSheetId="3"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7__FDSAUDITLINK__" localSheetId="1"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7__FDSAUDITLINK__"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8__FDSAUDITLINK__" localSheetId="4"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8__FDSAUDITLINK__" localSheetId="5"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8__FDSAUDITLINK__" localSheetId="3"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8__FDSAUDITLINK__" localSheetId="1"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8__FDSAUDITLINK__"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9__FDSAUDITLINK__" localSheetId="4"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89__FDSAUDITLINK__" localSheetId="5"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89__FDSAUDITLINK__" localSheetId="3"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89__FDSAUDITLINK__" localSheetId="1"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89__FDSAUDITLINK__"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9__FDSAUDITLINK__" localSheetId="4"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__FDSAUDITLINK__" localSheetId="5"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__FDSAUDITLINK__" localSheetId="3"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__FDSAUDITLINK__" localSheetId="1"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__FDSAUDITLINK__"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0__FDSAUDITLINK__" localSheetId="4"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0__FDSAUDITLINK__" localSheetId="5"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0__FDSAUDITLINK__" localSheetId="3"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0__FDSAUDITLINK__" localSheetId="1"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0__FDSAUDITLINK__"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1__FDSAUDITLINK__" localSheetId="4"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1__FDSAUDITLINK__" localSheetId="5"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1__FDSAUDITLINK__" localSheetId="3"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1__FDSAUDITLINK__" localSheetId="1"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1__FDSAUDITLINK__"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2__FDSAUDITLINK__" localSheetId="4"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2__FDSAUDITLINK__" localSheetId="5"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2__FDSAUDITLINK__" localSheetId="3"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2__FDSAUDITLINK__" localSheetId="1"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2__FDSAUDITLINK__"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3__FDSAUDITLINK__" localSheetId="4"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3__FDSAUDITLINK__" localSheetId="5"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3__FDSAUDITLINK__" localSheetId="3"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3__FDSAUDITLINK__" localSheetId="1"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3__FDSAUDITLINK__"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4__FDSAUDITLINK__" localSheetId="4"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4__FDSAUDITLINK__" localSheetId="5"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4__FDSAUDITLINK__" localSheetId="3"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4__FDSAUDITLINK__" localSheetId="1"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4__FDSAUDITLINK__"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5__FDSAUDITLINK__" localSheetId="4"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5__FDSAUDITLINK__" localSheetId="5"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5__FDSAUDITLINK__" localSheetId="3"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5__FDSAUDITLINK__" localSheetId="1"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5__FDSAUDITLINK__"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6__FDSAUDITLINK__" localSheetId="4"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6__FDSAUDITLINK__" localSheetId="5"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6__FDSAUDITLINK__" localSheetId="3"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6__FDSAUDITLINK__" localSheetId="1"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6__FDSAUDITLINK__"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7__FDSAUDITLINK__" localSheetId="4"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7__FDSAUDITLINK__" localSheetId="5"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7__FDSAUDITLINK__" localSheetId="3"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7__FDSAUDITLINK__" localSheetId="1"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7__FDSAUDITLINK__"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8__FDSAUDITLINK__" localSheetId="4"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8__FDSAUDITLINK__" localSheetId="5"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8__FDSAUDITLINK__" localSheetId="3"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8__FDSAUDITLINK__" localSheetId="1"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8__FDSAUDITLINK__"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9__FDSAUDITLINK__" localSheetId="4"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299__FDSAUDITLINK__" localSheetId="5"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299__FDSAUDITLINK__" localSheetId="3"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299__FDSAUDITLINK__" localSheetId="1"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299__FDSAUDITLINK__"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3__FDSAUDITLINK__" localSheetId="4"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__FDSAUDITLINK__" localSheetId="5"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__FDSAUDITLINK__" localSheetId="3"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__FDSAUDITLINK__" localSheetId="1"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__FDSAUDITLINK__"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0__FDSAUDITLINK__" localSheetId="4"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__FDSAUDITLINK__" localSheetId="5"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__FDSAUDITLINK__" localSheetId="3"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__FDSAUDITLINK__" localSheetId="1"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__FDSAUDITLINK__"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0__FDSAUDITLINK__" localSheetId="4"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0__FDSAUDITLINK__" localSheetId="5"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0__FDSAUDITLINK__" localSheetId="3"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0__FDSAUDITLINK__" localSheetId="1"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0__FDSAUDITLINK__"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1__FDSAUDITLINK__" localSheetId="4"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1__FDSAUDITLINK__" localSheetId="5"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1__FDSAUDITLINK__" localSheetId="3"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1__FDSAUDITLINK__" localSheetId="1"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1__FDSAUDITLINK__"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2__FDSAUDITLINK__" localSheetId="4"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2__FDSAUDITLINK__" localSheetId="5"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2__FDSAUDITLINK__" localSheetId="3"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2__FDSAUDITLINK__" localSheetId="1"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2__FDSAUDITLINK__"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3__FDSAUDITLINK__" localSheetId="4"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3__FDSAUDITLINK__" localSheetId="5"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3__FDSAUDITLINK__" localSheetId="3"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3__FDSAUDITLINK__" localSheetId="1"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3__FDSAUDITLINK__"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4__FDSAUDITLINK__" localSheetId="4"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4__FDSAUDITLINK__" localSheetId="5"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4__FDSAUDITLINK__" localSheetId="3"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4__FDSAUDITLINK__" localSheetId="1"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4__FDSAUDITLINK__"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5__FDSAUDITLINK__" localSheetId="4"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5__FDSAUDITLINK__" localSheetId="5"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5__FDSAUDITLINK__" localSheetId="3"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5__FDSAUDITLINK__" localSheetId="1"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5__FDSAUDITLINK__"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6__FDSAUDITLINK__" localSheetId="4"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6__FDSAUDITLINK__" localSheetId="5"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6__FDSAUDITLINK__" localSheetId="3"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6__FDSAUDITLINK__" localSheetId="1"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6__FDSAUDITLINK__"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7__FDSAUDITLINK__" localSheetId="4"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7__FDSAUDITLINK__" localSheetId="5"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7__FDSAUDITLINK__" localSheetId="3"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7__FDSAUDITLINK__" localSheetId="1"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7__FDSAUDITLINK__"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8__FDSAUDITLINK__" localSheetId="4"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8__FDSAUDITLINK__" localSheetId="5"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8__FDSAUDITLINK__" localSheetId="3"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8__FDSAUDITLINK__" localSheetId="1"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8__FDSAUDITLINK__"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9__FDSAUDITLINK__" localSheetId="4"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09__FDSAUDITLINK__" localSheetId="5"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09__FDSAUDITLINK__" localSheetId="3"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09__FDSAUDITLINK__" localSheetId="1"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09__FDSAUDITLINK__"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1__FDSAUDITLINK__" localSheetId="4"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__FDSAUDITLINK__" localSheetId="5"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__FDSAUDITLINK__" localSheetId="3"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__FDSAUDITLINK__" localSheetId="1"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__FDSAUDITLINK__"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0__FDSAUDITLINK__" localSheetId="4"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0__FDSAUDITLINK__" localSheetId="5"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0__FDSAUDITLINK__" localSheetId="3"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0__FDSAUDITLINK__" localSheetId="1"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0__FDSAUDITLINK__"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1__FDSAUDITLINK__" localSheetId="4"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1__FDSAUDITLINK__" localSheetId="5"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1__FDSAUDITLINK__" localSheetId="3"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1__FDSAUDITLINK__" localSheetId="1"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1__FDSAUDITLINK__"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2__FDSAUDITLINK__" localSheetId="4"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2__FDSAUDITLINK__" localSheetId="5"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2__FDSAUDITLINK__" localSheetId="3"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2__FDSAUDITLINK__" localSheetId="1"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2__FDSAUDITLINK__"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3__FDSAUDITLINK__" localSheetId="4"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3__FDSAUDITLINK__" localSheetId="5"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3__FDSAUDITLINK__" localSheetId="3"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3__FDSAUDITLINK__" localSheetId="1"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3__FDSAUDITLINK__"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4__FDSAUDITLINK__" localSheetId="4"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4__FDSAUDITLINK__" localSheetId="5"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4__FDSAUDITLINK__" localSheetId="3"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4__FDSAUDITLINK__" localSheetId="1"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4__FDSAUDITLINK__"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5__FDSAUDITLINK__" localSheetId="4"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5__FDSAUDITLINK__" localSheetId="5"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5__FDSAUDITLINK__" localSheetId="3"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5__FDSAUDITLINK__" localSheetId="1"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5__FDSAUDITLINK__"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6__FDSAUDITLINK__" localSheetId="4"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6__FDSAUDITLINK__" localSheetId="5"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6__FDSAUDITLINK__" localSheetId="3"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6__FDSAUDITLINK__" localSheetId="1"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6__FDSAUDITLINK__"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7__FDSAUDITLINK__" localSheetId="4"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7__FDSAUDITLINK__" localSheetId="5"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7__FDSAUDITLINK__" localSheetId="3"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7__FDSAUDITLINK__" localSheetId="1"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7__FDSAUDITLINK__"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8__FDSAUDITLINK__" localSheetId="4"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8__FDSAUDITLINK__" localSheetId="5"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8__FDSAUDITLINK__" localSheetId="3"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8__FDSAUDITLINK__" localSheetId="1"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8__FDSAUDITLINK__"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9__FDSAUDITLINK__" localSheetId="4"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19__FDSAUDITLINK__" localSheetId="5"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19__FDSAUDITLINK__" localSheetId="3"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19__FDSAUDITLINK__" localSheetId="1"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19__FDSAUDITLINK__"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2__FDSAUDITLINK__" localSheetId="4" hidden="1">{"fdsup://Directions/FactSet Auditing Viewer?action=AUDIT_VALUE&amp;DB=129&amp;ID1=61174010&amp;VALUEID=02001&amp;SDATE=2011&amp;PERIODTYPE=ANN_STD&amp;SCFT=3&amp;window=popup_no_bar&amp;width=385&amp;height=120&amp;START_MAXIMIZED=FALSE&amp;creator=factset&amp;display_string=Audit"}</definedName>
    <definedName name="_32__FDSAUDITLINK__" localSheetId="5" hidden="1">{"fdsup://Directions/FactSet Auditing Viewer?action=AUDIT_VALUE&amp;DB=129&amp;ID1=61174010&amp;VALUEID=02001&amp;SDATE=2011&amp;PERIODTYPE=ANN_STD&amp;SCFT=3&amp;window=popup_no_bar&amp;width=385&amp;height=120&amp;START_MAXIMIZED=FALSE&amp;creator=factset&amp;display_string=Audit"}</definedName>
    <definedName name="_32__FDSAUDITLINK__" localSheetId="3" hidden="1">{"fdsup://Directions/FactSet Auditing Viewer?action=AUDIT_VALUE&amp;DB=129&amp;ID1=61174010&amp;VALUEID=02001&amp;SDATE=2011&amp;PERIODTYPE=ANN_STD&amp;SCFT=3&amp;window=popup_no_bar&amp;width=385&amp;height=120&amp;START_MAXIMIZED=FALSE&amp;creator=factset&amp;display_string=Audit"}</definedName>
    <definedName name="_32__FDSAUDITLINK__" localSheetId="1" hidden="1">{"fdsup://Directions/FactSet Auditing Viewer?action=AUDIT_VALUE&amp;DB=129&amp;ID1=61174010&amp;VALUEID=02001&amp;SDATE=2011&amp;PERIODTYPE=ANN_STD&amp;SCFT=3&amp;window=popup_no_bar&amp;width=385&amp;height=120&amp;START_MAXIMIZED=FALSE&amp;creator=factset&amp;display_string=Audit"}</definedName>
    <definedName name="_32__FDSAUDITLINK__" hidden="1">{"fdsup://Directions/FactSet Auditing Viewer?action=AUDIT_VALUE&amp;DB=129&amp;ID1=61174010&amp;VALUEID=02001&amp;SDATE=2011&amp;PERIODTYPE=ANN_STD&amp;SCFT=3&amp;window=popup_no_bar&amp;width=385&amp;height=120&amp;START_MAXIMIZED=FALSE&amp;creator=factset&amp;display_string=Audit"}</definedName>
    <definedName name="_320__FDSAUDITLINK__" localSheetId="4"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0__FDSAUDITLINK__" localSheetId="5"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0__FDSAUDITLINK__" localSheetId="3"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0__FDSAUDITLINK__" localSheetId="1"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0__FDSAUDITLINK__"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1__FDSAUDITLINK__" localSheetId="4"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1__FDSAUDITLINK__" localSheetId="5"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1__FDSAUDITLINK__" localSheetId="3"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1__FDSAUDITLINK__" localSheetId="1"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1__FDSAUDITLINK__"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2__FDSAUDITLINK__" localSheetId="4"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2__FDSAUDITLINK__" localSheetId="5"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2__FDSAUDITLINK__" localSheetId="3"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2__FDSAUDITLINK__" localSheetId="1"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2__FDSAUDITLINK__"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3__FDSAUDITLINK__" localSheetId="4"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3__FDSAUDITLINK__" localSheetId="5"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3__FDSAUDITLINK__" localSheetId="3"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3__FDSAUDITLINK__" localSheetId="1"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3__FDSAUDITLINK__"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4__FDSAUDITLINK__" localSheetId="4"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4__FDSAUDITLINK__" localSheetId="5"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4__FDSAUDITLINK__" localSheetId="3"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4__FDSAUDITLINK__" localSheetId="1"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4__FDSAUDITLINK__"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5__FDSAUDITLINK__" localSheetId="4"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5__FDSAUDITLINK__" localSheetId="5"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5__FDSAUDITLINK__" localSheetId="3"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5__FDSAUDITLINK__" localSheetId="1"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5__FDSAUDITLINK__"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6__FDSAUDITLINK__" localSheetId="4"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6__FDSAUDITLINK__" localSheetId="5"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6__FDSAUDITLINK__" localSheetId="3"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6__FDSAUDITLINK__" localSheetId="1"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6__FDSAUDITLINK__"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7__FDSAUDITLINK__" localSheetId="4"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7__FDSAUDITLINK__" localSheetId="5"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7__FDSAUDITLINK__" localSheetId="3"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7__FDSAUDITLINK__" localSheetId="1"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7__FDSAUDITLINK__"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8__FDSAUDITLINK__" localSheetId="4"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8__FDSAUDITLINK__" localSheetId="5"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8__FDSAUDITLINK__" localSheetId="3"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8__FDSAUDITLINK__" localSheetId="1"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8__FDSAUDITLINK__"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9__FDSAUDITLINK__" localSheetId="4"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29__FDSAUDITLINK__" localSheetId="5"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29__FDSAUDITLINK__" localSheetId="3"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29__FDSAUDITLINK__" localSheetId="1"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29__FDSAUDITLINK__"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3__FDSAUDITLINK__" localSheetId="4"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__FDSAUDITLINK__" localSheetId="5"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__FDSAUDITLINK__" localSheetId="3"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__FDSAUDITLINK__" localSheetId="1"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__FDSAUDITLINK__"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0__FDSAUDITLINK__" localSheetId="4"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0__FDSAUDITLINK__" localSheetId="5"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0__FDSAUDITLINK__" localSheetId="3"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0__FDSAUDITLINK__" localSheetId="1"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0__FDSAUDITLINK__"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1__FDSAUDITLINK__" localSheetId="4"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1__FDSAUDITLINK__" localSheetId="5"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1__FDSAUDITLINK__" localSheetId="3"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1__FDSAUDITLINK__" localSheetId="1"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1__FDSAUDITLINK__"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2__FDSAUDITLINK__" localSheetId="4"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2__FDSAUDITLINK__" localSheetId="5"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2__FDSAUDITLINK__" localSheetId="3"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2__FDSAUDITLINK__" localSheetId="1"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2__FDSAUDITLINK__"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3__FDSAUDITLINK__" localSheetId="4"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3__FDSAUDITLINK__" localSheetId="5"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3__FDSAUDITLINK__" localSheetId="3"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3__FDSAUDITLINK__" localSheetId="1"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3__FDSAUDITLINK__"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4__FDSAUDITLINK__" localSheetId="4"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4__FDSAUDITLINK__" localSheetId="5"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4__FDSAUDITLINK__" localSheetId="3"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4__FDSAUDITLINK__" localSheetId="1"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4__FDSAUDITLINK__"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5__FDSAUDITLINK__" localSheetId="4"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5__FDSAUDITLINK__" localSheetId="5"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5__FDSAUDITLINK__" localSheetId="3"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5__FDSAUDITLINK__" localSheetId="1"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5__FDSAUDITLINK__"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6__FDSAUDITLINK__" localSheetId="4"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6__FDSAUDITLINK__" localSheetId="5"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6__FDSAUDITLINK__" localSheetId="3"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6__FDSAUDITLINK__" localSheetId="1"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6__FDSAUDITLINK__"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7__FDSAUDITLINK__" localSheetId="4"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7__FDSAUDITLINK__" localSheetId="5"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7__FDSAUDITLINK__" localSheetId="3"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7__FDSAUDITLINK__" localSheetId="1"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7__FDSAUDITLINK__"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8__FDSAUDITLINK__" localSheetId="4"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8__FDSAUDITLINK__" localSheetId="5"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8__FDSAUDITLINK__" localSheetId="3"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8__FDSAUDITLINK__" localSheetId="1"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8__FDSAUDITLINK__"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9__FDSAUDITLINK__" localSheetId="4"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39__FDSAUDITLINK__" localSheetId="5"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39__FDSAUDITLINK__" localSheetId="3"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39__FDSAUDITLINK__" localSheetId="1"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39__FDSAUDITLINK__"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4__FDSAUDITLINK__" localSheetId="4"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__FDSAUDITLINK__" localSheetId="5"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__FDSAUDITLINK__" localSheetId="3"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__FDSAUDITLINK__" localSheetId="1"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__FDSAUDITLINK__"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0__FDSAUDITLINK__" localSheetId="4"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0__FDSAUDITLINK__" localSheetId="5"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0__FDSAUDITLINK__" localSheetId="3"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0__FDSAUDITLINK__" localSheetId="1"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0__FDSAUDITLINK__"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1__FDSAUDITLINK__" localSheetId="4"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1__FDSAUDITLINK__" localSheetId="5"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1__FDSAUDITLINK__" localSheetId="3"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1__FDSAUDITLINK__" localSheetId="1"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1__FDSAUDITLINK__"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2__FDSAUDITLINK__" localSheetId="4"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2__FDSAUDITLINK__" localSheetId="5"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2__FDSAUDITLINK__" localSheetId="3"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2__FDSAUDITLINK__" localSheetId="1"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2__FDSAUDITLINK__"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3__FDSAUDITLINK__" localSheetId="4"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3__FDSAUDITLINK__" localSheetId="5"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3__FDSAUDITLINK__" localSheetId="3"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3__FDSAUDITLINK__" localSheetId="1"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3__FDSAUDITLINK__"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4__FDSAUDITLINK__" localSheetId="4"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4__FDSAUDITLINK__" localSheetId="5"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4__FDSAUDITLINK__" localSheetId="3"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4__FDSAUDITLINK__" localSheetId="1"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4__FDSAUDITLINK__"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5__FDSAUDITLINK__" localSheetId="4"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5__FDSAUDITLINK__" localSheetId="5"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5__FDSAUDITLINK__" localSheetId="3"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5__FDSAUDITLINK__" localSheetId="1"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5__FDSAUDITLINK__"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6__FDSAUDITLINK__" localSheetId="4"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6__FDSAUDITLINK__" localSheetId="5"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6__FDSAUDITLINK__" localSheetId="3"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6__FDSAUDITLINK__" localSheetId="1"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6__FDSAUDITLINK__"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7__FDSAUDITLINK__" localSheetId="4"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7__FDSAUDITLINK__" localSheetId="5"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7__FDSAUDITLINK__" localSheetId="3"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7__FDSAUDITLINK__" localSheetId="1"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7__FDSAUDITLINK__"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8__FDSAUDITLINK__" localSheetId="4"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8__FDSAUDITLINK__" localSheetId="5"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8__FDSAUDITLINK__" localSheetId="3"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8__FDSAUDITLINK__" localSheetId="1"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8__FDSAUDITLINK__"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9__FDSAUDITLINK__" localSheetId="4"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49__FDSAUDITLINK__" localSheetId="5"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49__FDSAUDITLINK__" localSheetId="3"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49__FDSAUDITLINK__" localSheetId="1"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49__FDSAUDITLINK__"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5__FDSAUDITLINK__" localSheetId="4"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__FDSAUDITLINK__" localSheetId="5"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__FDSAUDITLINK__" localSheetId="3"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__FDSAUDITLINK__" localSheetId="1"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__FDSAUDITLINK__"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0__FDSAUDITLINK__" localSheetId="4"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0__FDSAUDITLINK__" localSheetId="5"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0__FDSAUDITLINK__" localSheetId="3"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0__FDSAUDITLINK__" localSheetId="1"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0__FDSAUDITLINK__"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1__FDSAUDITLINK__" localSheetId="4"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1__FDSAUDITLINK__" localSheetId="5"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1__FDSAUDITLINK__" localSheetId="3"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1__FDSAUDITLINK__" localSheetId="1"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1__FDSAUDITLINK__"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2__FDSAUDITLINK__" localSheetId="4"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2__FDSAUDITLINK__" localSheetId="5"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2__FDSAUDITLINK__" localSheetId="3"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2__FDSAUDITLINK__" localSheetId="1"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2__FDSAUDITLINK__"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3__FDSAUDITLINK__" localSheetId="4"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3__FDSAUDITLINK__" localSheetId="5"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3__FDSAUDITLINK__" localSheetId="3"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3__FDSAUDITLINK__" localSheetId="1"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3__FDSAUDITLINK__"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4__FDSAUDITLINK__" localSheetId="4"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4__FDSAUDITLINK__" localSheetId="5"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4__FDSAUDITLINK__" localSheetId="3"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4__FDSAUDITLINK__" localSheetId="1"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4__FDSAUDITLINK__"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5__FDSAUDITLINK__" localSheetId="4"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5__FDSAUDITLINK__" localSheetId="5"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5__FDSAUDITLINK__" localSheetId="3"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5__FDSAUDITLINK__" localSheetId="1"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5__FDSAUDITLINK__"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6__FDSAUDITLINK__" localSheetId="4"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6__FDSAUDITLINK__" localSheetId="5"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6__FDSAUDITLINK__" localSheetId="3"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6__FDSAUDITLINK__" localSheetId="1"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6__FDSAUDITLINK__"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7__FDSAUDITLINK__" localSheetId="4"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7__FDSAUDITLINK__" localSheetId="5"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7__FDSAUDITLINK__" localSheetId="3"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7__FDSAUDITLINK__" localSheetId="1"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7__FDSAUDITLINK__"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8__FDSAUDITLINK__" localSheetId="4"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8__FDSAUDITLINK__" localSheetId="5"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8__FDSAUDITLINK__" localSheetId="3"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8__FDSAUDITLINK__" localSheetId="1"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8__FDSAUDITLINK__"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9__FDSAUDITLINK__" localSheetId="4"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59__FDSAUDITLINK__" localSheetId="5"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59__FDSAUDITLINK__" localSheetId="3"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59__FDSAUDITLINK__" localSheetId="1"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59__FDSAUDITLINK__"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6__FDSAUDITLINK__" localSheetId="4" hidden="1">{"fdsup://Directions/FactSet Auditing Viewer?action=AUDIT_VALUE&amp;DB=129&amp;ID1=39312210&amp;VALUEID=02001&amp;SDATE=2011&amp;PERIODTYPE=ANN_STD&amp;SCFT=3&amp;window=popup_no_bar&amp;width=385&amp;height=120&amp;START_MAXIMIZED=FALSE&amp;creator=factset&amp;display_string=Audit"}</definedName>
    <definedName name="_36__FDSAUDITLINK__" localSheetId="5" hidden="1">{"fdsup://Directions/FactSet Auditing Viewer?action=AUDIT_VALUE&amp;DB=129&amp;ID1=39312210&amp;VALUEID=02001&amp;SDATE=2011&amp;PERIODTYPE=ANN_STD&amp;SCFT=3&amp;window=popup_no_bar&amp;width=385&amp;height=120&amp;START_MAXIMIZED=FALSE&amp;creator=factset&amp;display_string=Audit"}</definedName>
    <definedName name="_36__FDSAUDITLINK__" localSheetId="3" hidden="1">{"fdsup://Directions/FactSet Auditing Viewer?action=AUDIT_VALUE&amp;DB=129&amp;ID1=39312210&amp;VALUEID=02001&amp;SDATE=2011&amp;PERIODTYPE=ANN_STD&amp;SCFT=3&amp;window=popup_no_bar&amp;width=385&amp;height=120&amp;START_MAXIMIZED=FALSE&amp;creator=factset&amp;display_string=Audit"}</definedName>
    <definedName name="_36__FDSAUDITLINK__" localSheetId="1" hidden="1">{"fdsup://Directions/FactSet Auditing Viewer?action=AUDIT_VALUE&amp;DB=129&amp;ID1=39312210&amp;VALUEID=02001&amp;SDATE=2011&amp;PERIODTYPE=ANN_STD&amp;SCFT=3&amp;window=popup_no_bar&amp;width=385&amp;height=120&amp;START_MAXIMIZED=FALSE&amp;creator=factset&amp;display_string=Audit"}</definedName>
    <definedName name="_36__FDSAUDITLINK__" hidden="1">{"fdsup://Directions/FactSet Auditing Viewer?action=AUDIT_VALUE&amp;DB=129&amp;ID1=39312210&amp;VALUEID=02001&amp;SDATE=2011&amp;PERIODTYPE=ANN_STD&amp;SCFT=3&amp;window=popup_no_bar&amp;width=385&amp;height=120&amp;START_MAXIMIZED=FALSE&amp;creator=factset&amp;display_string=Audit"}</definedName>
    <definedName name="_360__FDSAUDITLINK__" localSheetId="4"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0__FDSAUDITLINK__" localSheetId="5"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0__FDSAUDITLINK__" localSheetId="3"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0__FDSAUDITLINK__" localSheetId="1"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0__FDSAUDITLINK__"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1__FDSAUDITLINK__" localSheetId="4"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1__FDSAUDITLINK__" localSheetId="5"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1__FDSAUDITLINK__" localSheetId="3"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1__FDSAUDITLINK__" localSheetId="1"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1__FDSAUDITLINK__"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2__FDSAUDITLINK__" localSheetId="4"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2__FDSAUDITLINK__" localSheetId="5"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2__FDSAUDITLINK__" localSheetId="3"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2__FDSAUDITLINK__" localSheetId="1"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2__FDSAUDITLINK__"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3__FDSAUDITLINK__" localSheetId="4"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3__FDSAUDITLINK__" localSheetId="5"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3__FDSAUDITLINK__" localSheetId="3"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3__FDSAUDITLINK__" localSheetId="1"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3__FDSAUDITLINK__"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4__FDSAUDITLINK__" localSheetId="4"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4__FDSAUDITLINK__" localSheetId="5"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4__FDSAUDITLINK__" localSheetId="3"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4__FDSAUDITLINK__" localSheetId="1"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4__FDSAUDITLINK__"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5__FDSAUDITLINK__" localSheetId="4"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5__FDSAUDITLINK__" localSheetId="5"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5__FDSAUDITLINK__" localSheetId="3"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5__FDSAUDITLINK__" localSheetId="1"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5__FDSAUDITLINK__"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6__FDSAUDITLINK__" localSheetId="4"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6__FDSAUDITLINK__" localSheetId="5"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6__FDSAUDITLINK__" localSheetId="3"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6__FDSAUDITLINK__" localSheetId="1"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6__FDSAUDITLINK__"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7__FDSAUDITLINK__" localSheetId="4"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7__FDSAUDITLINK__" localSheetId="5"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7__FDSAUDITLINK__" localSheetId="3"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7__FDSAUDITLINK__" localSheetId="1"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7__FDSAUDITLINK__"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8__FDSAUDITLINK__" localSheetId="4"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8__FDSAUDITLINK__" localSheetId="5"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8__FDSAUDITLINK__" localSheetId="3"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8__FDSAUDITLINK__" localSheetId="1"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8__FDSAUDITLINK__"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9__FDSAUDITLINK__" localSheetId="4"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69__FDSAUDITLINK__" localSheetId="5"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69__FDSAUDITLINK__" localSheetId="3"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69__FDSAUDITLINK__" localSheetId="1"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69__FDSAUDITLINK__"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7__FDSAUDITLINK__" localSheetId="4"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__FDSAUDITLINK__" localSheetId="5"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__FDSAUDITLINK__" localSheetId="3"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__FDSAUDITLINK__" localSheetId="1"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__FDSAUDITLINK__"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0__FDSAUDITLINK__" localSheetId="4"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0__FDSAUDITLINK__" localSheetId="5"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0__FDSAUDITLINK__" localSheetId="3"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0__FDSAUDITLINK__" localSheetId="1"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0__FDSAUDITLINK__"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1__FDSAUDITLINK__" localSheetId="4"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1__FDSAUDITLINK__" localSheetId="5"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1__FDSAUDITLINK__" localSheetId="3"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1__FDSAUDITLINK__" localSheetId="1"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1__FDSAUDITLINK__"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2__FDSAUDITLINK__" localSheetId="4"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2__FDSAUDITLINK__" localSheetId="5"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2__FDSAUDITLINK__" localSheetId="3"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2__FDSAUDITLINK__" localSheetId="1"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2__FDSAUDITLINK__"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3__FDSAUDITLINK__" localSheetId="4"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3__FDSAUDITLINK__" localSheetId="5"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3__FDSAUDITLINK__" localSheetId="3"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3__FDSAUDITLINK__" localSheetId="1"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3__FDSAUDITLINK__"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4__FDSAUDITLINK__" localSheetId="4"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4__FDSAUDITLINK__" localSheetId="5"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4__FDSAUDITLINK__" localSheetId="3"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4__FDSAUDITLINK__" localSheetId="1"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4__FDSAUDITLINK__"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5__FDSAUDITLINK__" localSheetId="4"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5__FDSAUDITLINK__" localSheetId="5"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5__FDSAUDITLINK__" localSheetId="3"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5__FDSAUDITLINK__" localSheetId="1"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5__FDSAUDITLINK__"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6__FDSAUDITLINK__" localSheetId="4"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6__FDSAUDITLINK__" localSheetId="5"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6__FDSAUDITLINK__" localSheetId="3"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6__FDSAUDITLINK__" localSheetId="1"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6__FDSAUDITLINK__"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7__FDSAUDITLINK__" localSheetId="4"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7__FDSAUDITLINK__" localSheetId="5"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7__FDSAUDITLINK__" localSheetId="3"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7__FDSAUDITLINK__" localSheetId="1"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7__FDSAUDITLINK__"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8__FDSAUDITLINK__" localSheetId="4"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8__FDSAUDITLINK__" localSheetId="5"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8__FDSAUDITLINK__" localSheetId="3"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8__FDSAUDITLINK__" localSheetId="1"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8__FDSAUDITLINK__"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9__FDSAUDITLINK__" localSheetId="4"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79__FDSAUDITLINK__" localSheetId="5"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79__FDSAUDITLINK__" localSheetId="3"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79__FDSAUDITLINK__" localSheetId="1"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79__FDSAUDITLINK__"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8__FDSAUDITLINK__" localSheetId="4"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__FDSAUDITLINK__" localSheetId="5"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__FDSAUDITLINK__" localSheetId="3"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__FDSAUDITLINK__" localSheetId="1"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__FDSAUDITLINK__"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0__FDSAUDITLINK__" localSheetId="4"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0__FDSAUDITLINK__" localSheetId="5"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0__FDSAUDITLINK__" localSheetId="3"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0__FDSAUDITLINK__" localSheetId="1"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0__FDSAUDITLINK__"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1__FDSAUDITLINK__" localSheetId="4"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1__FDSAUDITLINK__" localSheetId="5"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1__FDSAUDITLINK__" localSheetId="3"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1__FDSAUDITLINK__" localSheetId="1"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1__FDSAUDITLINK__"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2__FDSAUDITLINK__" localSheetId="4"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2__FDSAUDITLINK__" localSheetId="5"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2__FDSAUDITLINK__" localSheetId="3"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2__FDSAUDITLINK__" localSheetId="1"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2__FDSAUDITLINK__"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3__FDSAUDITLINK__" localSheetId="4"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3__FDSAUDITLINK__" localSheetId="5"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3__FDSAUDITLINK__" localSheetId="3"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3__FDSAUDITLINK__" localSheetId="1"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3__FDSAUDITLINK__"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4__FDSAUDITLINK__" localSheetId="4"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4__FDSAUDITLINK__" localSheetId="5"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4__FDSAUDITLINK__" localSheetId="3"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4__FDSAUDITLINK__" localSheetId="1"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4__FDSAUDITLINK__"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5__FDSAUDITLINK__" localSheetId="4"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5__FDSAUDITLINK__" localSheetId="5"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5__FDSAUDITLINK__" localSheetId="3"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5__FDSAUDITLINK__" localSheetId="1"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5__FDSAUDITLINK__"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6__FDSAUDITLINK__" localSheetId="4"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6__FDSAUDITLINK__" localSheetId="5"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6__FDSAUDITLINK__" localSheetId="3"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6__FDSAUDITLINK__" localSheetId="1"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6__FDSAUDITLINK__"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7__FDSAUDITLINK__" localSheetId="4"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7__FDSAUDITLINK__" localSheetId="5"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7__FDSAUDITLINK__" localSheetId="3"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7__FDSAUDITLINK__" localSheetId="1"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7__FDSAUDITLINK__"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8__FDSAUDITLINK__" localSheetId="4"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8__FDSAUDITLINK__" localSheetId="5"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8__FDSAUDITLINK__" localSheetId="3"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8__FDSAUDITLINK__" localSheetId="1"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8__FDSAUDITLINK__"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9__FDSAUDITLINK__" localSheetId="4"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89__FDSAUDITLINK__" localSheetId="5"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89__FDSAUDITLINK__" localSheetId="3"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89__FDSAUDITLINK__" localSheetId="1"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89__FDSAUDITLINK__"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9__FDSAUDITLINK__" localSheetId="4"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__FDSAUDITLINK__" localSheetId="5"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__FDSAUDITLINK__" localSheetId="3"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__FDSAUDITLINK__" localSheetId="1"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__FDSAUDITLINK__"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0__FDSAUDITLINK__" localSheetId="4"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0__FDSAUDITLINK__" localSheetId="5"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0__FDSAUDITLINK__" localSheetId="3"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0__FDSAUDITLINK__" localSheetId="1"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0__FDSAUDITLINK__"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1__FDSAUDITLINK__" localSheetId="4"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1__FDSAUDITLINK__" localSheetId="5"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1__FDSAUDITLINK__" localSheetId="3"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1__FDSAUDITLINK__" localSheetId="1"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1__FDSAUDITLINK__"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2__FDSAUDITLINK__" localSheetId="4"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2__FDSAUDITLINK__" localSheetId="5"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2__FDSAUDITLINK__" localSheetId="3"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2__FDSAUDITLINK__" localSheetId="1"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2__FDSAUDITLINK__"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3__FDSAUDITLINK__" localSheetId="4"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3__FDSAUDITLINK__" localSheetId="5"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3__FDSAUDITLINK__" localSheetId="3"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3__FDSAUDITLINK__" localSheetId="1"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3__FDSAUDITLINK__"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4__FDSAUDITLINK__" localSheetId="4"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4__FDSAUDITLINK__" localSheetId="5"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4__FDSAUDITLINK__" localSheetId="3"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4__FDSAUDITLINK__" localSheetId="1"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4__FDSAUDITLINK__"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5__FDSAUDITLINK__" localSheetId="4"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5__FDSAUDITLINK__" localSheetId="5"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5__FDSAUDITLINK__" localSheetId="3"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5__FDSAUDITLINK__" localSheetId="1"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5__FDSAUDITLINK__"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6__FDSAUDITLINK__" localSheetId="4"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6__FDSAUDITLINK__" localSheetId="5"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6__FDSAUDITLINK__" localSheetId="3"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6__FDSAUDITLINK__" localSheetId="1"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6__FDSAUDITLINK__"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7__FDSAUDITLINK__" localSheetId="4"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7__FDSAUDITLINK__" localSheetId="5"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7__FDSAUDITLINK__" localSheetId="3"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7__FDSAUDITLINK__" localSheetId="1"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7__FDSAUDITLINK__"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8__FDSAUDITLINK__" localSheetId="4"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8__FDSAUDITLINK__" localSheetId="5"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8__FDSAUDITLINK__" localSheetId="3"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8__FDSAUDITLINK__" localSheetId="1"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8__FDSAUDITLINK__"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9__FDSAUDITLINK__" localSheetId="4"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399__FDSAUDITLINK__" localSheetId="5"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399__FDSAUDITLINK__" localSheetId="3"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399__FDSAUDITLINK__" localSheetId="1"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399__FDSAUDITLINK__"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4__FDSAUDITLINK__" localSheetId="4"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__FDSAUDITLINK__" localSheetId="5"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__FDSAUDITLINK__" localSheetId="3"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__FDSAUDITLINK__" localSheetId="1"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__FDSAUDITLINK__"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0__FDSAUDITLINK__" localSheetId="4"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__FDSAUDITLINK__" localSheetId="5"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__FDSAUDITLINK__" localSheetId="3"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__FDSAUDITLINK__" localSheetId="1"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__FDSAUDITLINK__"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0__FDSAUDITLINK__" localSheetId="4"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0__FDSAUDITLINK__" localSheetId="5"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0__FDSAUDITLINK__" localSheetId="3"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0__FDSAUDITLINK__" localSheetId="1"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0__FDSAUDITLINK__"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1__FDSAUDITLINK__" localSheetId="4"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1__FDSAUDITLINK__" localSheetId="5"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1__FDSAUDITLINK__" localSheetId="3"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1__FDSAUDITLINK__" localSheetId="1"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1__FDSAUDITLINK__"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2__FDSAUDITLINK__" localSheetId="4"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2__FDSAUDITLINK__" localSheetId="5"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2__FDSAUDITLINK__" localSheetId="3"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2__FDSAUDITLINK__" localSheetId="1"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2__FDSAUDITLINK__"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3__FDSAUDITLINK__" localSheetId="4"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3__FDSAUDITLINK__" localSheetId="5"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3__FDSAUDITLINK__" localSheetId="3"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3__FDSAUDITLINK__" localSheetId="1"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3__FDSAUDITLINK__"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4__FDSAUDITLINK__" localSheetId="4"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4__FDSAUDITLINK__" localSheetId="5"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4__FDSAUDITLINK__" localSheetId="3"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4__FDSAUDITLINK__" localSheetId="1"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4__FDSAUDITLINK__"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5__FDSAUDITLINK__" localSheetId="4"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5__FDSAUDITLINK__" localSheetId="5"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5__FDSAUDITLINK__" localSheetId="3"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5__FDSAUDITLINK__" localSheetId="1"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5__FDSAUDITLINK__"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6__FDSAUDITLINK__" localSheetId="4"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6__FDSAUDITLINK__" localSheetId="5"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6__FDSAUDITLINK__" localSheetId="3"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6__FDSAUDITLINK__" localSheetId="1"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6__FDSAUDITLINK__"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7__FDSAUDITLINK__" localSheetId="4"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7__FDSAUDITLINK__" localSheetId="5"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7__FDSAUDITLINK__" localSheetId="3"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7__FDSAUDITLINK__" localSheetId="1"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7__FDSAUDITLINK__"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8__FDSAUDITLINK__" localSheetId="4"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8__FDSAUDITLINK__" localSheetId="5"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8__FDSAUDITLINK__" localSheetId="3"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8__FDSAUDITLINK__" localSheetId="1"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8__FDSAUDITLINK__"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9__FDSAUDITLINK__" localSheetId="4"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09__FDSAUDITLINK__" localSheetId="5"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09__FDSAUDITLINK__" localSheetId="3"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09__FDSAUDITLINK__" localSheetId="1"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09__FDSAUDITLINK__"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1__FDSAUDITLINK__" localSheetId="4"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__FDSAUDITLINK__" localSheetId="5"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__FDSAUDITLINK__" localSheetId="3"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__FDSAUDITLINK__" localSheetId="1"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__FDSAUDITLINK__"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0__FDSAUDITLINK__" localSheetId="4"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0__FDSAUDITLINK__" localSheetId="5"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0__FDSAUDITLINK__" localSheetId="3"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0__FDSAUDITLINK__" localSheetId="1"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0__FDSAUDITLINK__"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1__FDSAUDITLINK__" localSheetId="4"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1__FDSAUDITLINK__" localSheetId="5"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1__FDSAUDITLINK__" localSheetId="3"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1__FDSAUDITLINK__" localSheetId="1"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1__FDSAUDITLINK__"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2__FDSAUDITLINK__" localSheetId="4"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2__FDSAUDITLINK__" localSheetId="5"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2__FDSAUDITLINK__" localSheetId="3"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2__FDSAUDITLINK__" localSheetId="1"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2__FDSAUDITLINK__"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3__FDSAUDITLINK__" localSheetId="4"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3__FDSAUDITLINK__" localSheetId="5"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3__FDSAUDITLINK__" localSheetId="3"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3__FDSAUDITLINK__" localSheetId="1"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3__FDSAUDITLINK__"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4__FDSAUDITLINK__" localSheetId="4"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4__FDSAUDITLINK__" localSheetId="5"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4__FDSAUDITLINK__" localSheetId="3"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4__FDSAUDITLINK__" localSheetId="1"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4__FDSAUDITLINK__"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5__FDSAUDITLINK__" localSheetId="4"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5__FDSAUDITLINK__" localSheetId="5"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5__FDSAUDITLINK__" localSheetId="3"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5__FDSAUDITLINK__" localSheetId="1"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5__FDSAUDITLINK__"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6__FDSAUDITLINK__" localSheetId="4"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6__FDSAUDITLINK__" localSheetId="5"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6__FDSAUDITLINK__" localSheetId="3"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6__FDSAUDITLINK__" localSheetId="1"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6__FDSAUDITLINK__"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7__FDSAUDITLINK__" localSheetId="4"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7__FDSAUDITLINK__" localSheetId="5"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7__FDSAUDITLINK__" localSheetId="3"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7__FDSAUDITLINK__" localSheetId="1"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7__FDSAUDITLINK__"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8__FDSAUDITLINK__" localSheetId="4"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8__FDSAUDITLINK__" localSheetId="5"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8__FDSAUDITLINK__" localSheetId="3"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8__FDSAUDITLINK__" localSheetId="1"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8__FDSAUDITLINK__"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9__FDSAUDITLINK__" localSheetId="4"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19__FDSAUDITLINK__" localSheetId="5"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19__FDSAUDITLINK__" localSheetId="3"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19__FDSAUDITLINK__" localSheetId="1"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19__FDSAUDITLINK__"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2__FDSAUDITLINK__" localSheetId="4"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__FDSAUDITLINK__" localSheetId="5"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__FDSAUDITLINK__" localSheetId="3"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__FDSAUDITLINK__" localSheetId="1"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__FDSAUDITLINK__"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0__FDSAUDITLINK__" localSheetId="4"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0__FDSAUDITLINK__" localSheetId="5"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0__FDSAUDITLINK__" localSheetId="3"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0__FDSAUDITLINK__" localSheetId="1"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0__FDSAUDITLINK__"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1__FDSAUDITLINK__" localSheetId="4"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1__FDSAUDITLINK__" localSheetId="5"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1__FDSAUDITLINK__" localSheetId="3"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1__FDSAUDITLINK__" localSheetId="1"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1__FDSAUDITLINK__"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2__FDSAUDITLINK__" localSheetId="4"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2__FDSAUDITLINK__" localSheetId="5"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2__FDSAUDITLINK__" localSheetId="3"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2__FDSAUDITLINK__" localSheetId="1"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2__FDSAUDITLINK__"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3__FDSAUDITLINK__" localSheetId="4"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3__FDSAUDITLINK__" localSheetId="5"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3__FDSAUDITLINK__" localSheetId="3"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3__FDSAUDITLINK__" localSheetId="1"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3__FDSAUDITLINK__"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4__FDSAUDITLINK__" localSheetId="4"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4__FDSAUDITLINK__" localSheetId="5"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4__FDSAUDITLINK__" localSheetId="3"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4__FDSAUDITLINK__" localSheetId="1"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4__FDSAUDITLINK__"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5__FDSAUDITLINK__" localSheetId="4"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5__FDSAUDITLINK__" localSheetId="5"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5__FDSAUDITLINK__" localSheetId="3"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5__FDSAUDITLINK__" localSheetId="1"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5__FDSAUDITLINK__"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6__FDSAUDITLINK__" localSheetId="4"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6__FDSAUDITLINK__" localSheetId="5"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6__FDSAUDITLINK__" localSheetId="3"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6__FDSAUDITLINK__" localSheetId="1"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6__FDSAUDITLINK__"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7__FDSAUDITLINK__" localSheetId="4"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7__FDSAUDITLINK__" localSheetId="5"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7__FDSAUDITLINK__" localSheetId="3"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7__FDSAUDITLINK__" localSheetId="1"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7__FDSAUDITLINK__"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8__FDSAUDITLINK__" localSheetId="4"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8__FDSAUDITLINK__" localSheetId="5"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8__FDSAUDITLINK__" localSheetId="3"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8__FDSAUDITLINK__" localSheetId="1"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8__FDSAUDITLINK__"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9__FDSAUDITLINK__" localSheetId="4"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29__FDSAUDITLINK__" localSheetId="5"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29__FDSAUDITLINK__" localSheetId="3"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29__FDSAUDITLINK__" localSheetId="1"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29__FDSAUDITLINK__"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3__FDSAUDITLINK__" localSheetId="4"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__FDSAUDITLINK__" localSheetId="5"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__FDSAUDITLINK__" localSheetId="3"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__FDSAUDITLINK__" localSheetId="1"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__FDSAUDITLINK__"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0__FDSAUDITLINK__" localSheetId="4"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0__FDSAUDITLINK__" localSheetId="5"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0__FDSAUDITLINK__" localSheetId="3"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0__FDSAUDITLINK__" localSheetId="1"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0__FDSAUDITLINK__"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1__FDSAUDITLINK__" localSheetId="4"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1__FDSAUDITLINK__" localSheetId="5"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1__FDSAUDITLINK__" localSheetId="3"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1__FDSAUDITLINK__" localSheetId="1"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1__FDSAUDITLINK__"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2__FDSAUDITLINK__" localSheetId="4"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2__FDSAUDITLINK__" localSheetId="5"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2__FDSAUDITLINK__" localSheetId="3"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2__FDSAUDITLINK__" localSheetId="1"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2__FDSAUDITLINK__"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3__FDSAUDITLINK__" localSheetId="4"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3__FDSAUDITLINK__" localSheetId="5"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3__FDSAUDITLINK__" localSheetId="3"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3__FDSAUDITLINK__" localSheetId="1"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3__FDSAUDITLINK__"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4__FDSAUDITLINK__" localSheetId="4"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4__FDSAUDITLINK__" localSheetId="5"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4__FDSAUDITLINK__" localSheetId="3"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4__FDSAUDITLINK__" localSheetId="1"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4__FDSAUDITLINK__"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5__FDSAUDITLINK__" localSheetId="4"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5__FDSAUDITLINK__" localSheetId="5"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5__FDSAUDITLINK__" localSheetId="3"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5__FDSAUDITLINK__" localSheetId="1"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5__FDSAUDITLINK__"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6__FDSAUDITLINK__" localSheetId="4"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6__FDSAUDITLINK__" localSheetId="5"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6__FDSAUDITLINK__" localSheetId="3"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6__FDSAUDITLINK__" localSheetId="1"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6__FDSAUDITLINK__"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7__FDSAUDITLINK__" localSheetId="4"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7__FDSAUDITLINK__" localSheetId="5"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7__FDSAUDITLINK__" localSheetId="3"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7__FDSAUDITLINK__" localSheetId="1"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7__FDSAUDITLINK__"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8__FDSAUDITLINK__" localSheetId="4"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8__FDSAUDITLINK__" localSheetId="5"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8__FDSAUDITLINK__" localSheetId="3"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8__FDSAUDITLINK__" localSheetId="1"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8__FDSAUDITLINK__"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9__FDSAUDITLINK__" localSheetId="4"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39__FDSAUDITLINK__" localSheetId="5"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39__FDSAUDITLINK__" localSheetId="3"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39__FDSAUDITLINK__" localSheetId="1"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39__FDSAUDITLINK__"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4__FDSAUDITLINK__" localSheetId="4"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__FDSAUDITLINK__" localSheetId="5"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__FDSAUDITLINK__" localSheetId="3"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__FDSAUDITLINK__" localSheetId="1"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__FDSAUDITLINK__"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0__FDSAUDITLINK__" localSheetId="4"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0__FDSAUDITLINK__" localSheetId="5"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0__FDSAUDITLINK__" localSheetId="3"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0__FDSAUDITLINK__" localSheetId="1"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0__FDSAUDITLINK__"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1__FDSAUDITLINK__" localSheetId="4"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1__FDSAUDITLINK__" localSheetId="5"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1__FDSAUDITLINK__" localSheetId="3"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1__FDSAUDITLINK__" localSheetId="1"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1__FDSAUDITLINK__"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2__FDSAUDITLINK__" localSheetId="4"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2__FDSAUDITLINK__" localSheetId="5"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2__FDSAUDITLINK__" localSheetId="3"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2__FDSAUDITLINK__" localSheetId="1"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2__FDSAUDITLINK__"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3__FDSAUDITLINK__" localSheetId="4"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3__FDSAUDITLINK__" localSheetId="5"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3__FDSAUDITLINK__" localSheetId="3"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3__FDSAUDITLINK__" localSheetId="1"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3__FDSAUDITLINK__"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4__FDSAUDITLINK__" localSheetId="4"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4__FDSAUDITLINK__" localSheetId="5"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4__FDSAUDITLINK__" localSheetId="3"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4__FDSAUDITLINK__" localSheetId="1"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4__FDSAUDITLINK__"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5__FDSAUDITLINK__" localSheetId="4"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5__FDSAUDITLINK__" localSheetId="5"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5__FDSAUDITLINK__" localSheetId="3"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5__FDSAUDITLINK__" localSheetId="1"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5__FDSAUDITLINK__"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6__FDSAUDITLINK__" localSheetId="4"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6__FDSAUDITLINK__" localSheetId="5"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6__FDSAUDITLINK__" localSheetId="3"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6__FDSAUDITLINK__" localSheetId="1"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6__FDSAUDITLINK__"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7__FDSAUDITLINK__" localSheetId="4"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7__FDSAUDITLINK__" localSheetId="5"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7__FDSAUDITLINK__" localSheetId="3"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7__FDSAUDITLINK__" localSheetId="1"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7__FDSAUDITLINK__"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8__FDSAUDITLINK__" localSheetId="4"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8__FDSAUDITLINK__" localSheetId="5"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8__FDSAUDITLINK__" localSheetId="3"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8__FDSAUDITLINK__" localSheetId="1"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8__FDSAUDITLINK__"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9__FDSAUDITLINK__" localSheetId="4"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49__FDSAUDITLINK__" localSheetId="5"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49__FDSAUDITLINK__" localSheetId="3"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49__FDSAUDITLINK__" localSheetId="1"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49__FDSAUDITLINK__"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5__FDSAUDITLINK__" localSheetId="4"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__FDSAUDITLINK__" localSheetId="5"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__FDSAUDITLINK__" localSheetId="3"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__FDSAUDITLINK__" localSheetId="1"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__FDSAUDITLINK__"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0__FDSAUDITLINK__" localSheetId="4"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0__FDSAUDITLINK__" localSheetId="5"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0__FDSAUDITLINK__" localSheetId="3"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0__FDSAUDITLINK__" localSheetId="1"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0__FDSAUDITLINK__"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1__FDSAUDITLINK__" localSheetId="4"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1__FDSAUDITLINK__" localSheetId="5"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1__FDSAUDITLINK__" localSheetId="3"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1__FDSAUDITLINK__" localSheetId="1"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1__FDSAUDITLINK__"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2__FDSAUDITLINK__" localSheetId="4"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2__FDSAUDITLINK__" localSheetId="5"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2__FDSAUDITLINK__" localSheetId="3"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2__FDSAUDITLINK__" localSheetId="1"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2__FDSAUDITLINK__"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3__FDSAUDITLINK__" localSheetId="4"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3__FDSAUDITLINK__" localSheetId="5"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3__FDSAUDITLINK__" localSheetId="3"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3__FDSAUDITLINK__" localSheetId="1"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3__FDSAUDITLINK__"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4__FDSAUDITLINK__" localSheetId="4"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4__FDSAUDITLINK__" localSheetId="5"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4__FDSAUDITLINK__" localSheetId="3"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4__FDSAUDITLINK__" localSheetId="1"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4__FDSAUDITLINK__"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5__FDSAUDITLINK__" localSheetId="4"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5__FDSAUDITLINK__" localSheetId="5"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5__FDSAUDITLINK__" localSheetId="3"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5__FDSAUDITLINK__" localSheetId="1"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5__FDSAUDITLINK__"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6__FDSAUDITLINK__" localSheetId="4"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6__FDSAUDITLINK__" localSheetId="5"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6__FDSAUDITLINK__" localSheetId="3"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6__FDSAUDITLINK__" localSheetId="1"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6__FDSAUDITLINK__"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7__FDSAUDITLINK__" localSheetId="4"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7__FDSAUDITLINK__" localSheetId="5"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7__FDSAUDITLINK__" localSheetId="3"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7__FDSAUDITLINK__" localSheetId="1"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7__FDSAUDITLINK__"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8__FDSAUDITLINK__" localSheetId="4"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8__FDSAUDITLINK__" localSheetId="5"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8__FDSAUDITLINK__" localSheetId="3"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8__FDSAUDITLINK__" localSheetId="1"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8__FDSAUDITLINK__"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9__FDSAUDITLINK__" localSheetId="4"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59__FDSAUDITLINK__" localSheetId="5"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59__FDSAUDITLINK__" localSheetId="3"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59__FDSAUDITLINK__" localSheetId="1"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59__FDSAUDITLINK__"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6__FDSAUDITLINK__" localSheetId="4"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__FDSAUDITLINK__" localSheetId="5"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__FDSAUDITLINK__" localSheetId="3"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__FDSAUDITLINK__" localSheetId="1"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__FDSAUDITLINK__"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0__FDSAUDITLINK__" localSheetId="4"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0__FDSAUDITLINK__" localSheetId="5"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0__FDSAUDITLINK__" localSheetId="3"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0__FDSAUDITLINK__" localSheetId="1"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0__FDSAUDITLINK__"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1__FDSAUDITLINK__" localSheetId="4"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1__FDSAUDITLINK__" localSheetId="5"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1__FDSAUDITLINK__" localSheetId="3"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1__FDSAUDITLINK__" localSheetId="1"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1__FDSAUDITLINK__"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2__FDSAUDITLINK__" localSheetId="4"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2__FDSAUDITLINK__" localSheetId="5"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2__FDSAUDITLINK__" localSheetId="3"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2__FDSAUDITLINK__" localSheetId="1"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2__FDSAUDITLINK__"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3__FDSAUDITLINK__" localSheetId="4"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3__FDSAUDITLINK__" localSheetId="5"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3__FDSAUDITLINK__" localSheetId="3"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3__FDSAUDITLINK__" localSheetId="1"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3__FDSAUDITLINK__"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4__FDSAUDITLINK__" localSheetId="4"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4__FDSAUDITLINK__" localSheetId="5"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4__FDSAUDITLINK__" localSheetId="3"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4__FDSAUDITLINK__" localSheetId="1"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4__FDSAUDITLINK__"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5__FDSAUDITLINK__" localSheetId="4"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5__FDSAUDITLINK__" localSheetId="5"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5__FDSAUDITLINK__" localSheetId="3"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5__FDSAUDITLINK__" localSheetId="1"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5__FDSAUDITLINK__"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6__FDSAUDITLINK__" localSheetId="4"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6__FDSAUDITLINK__" localSheetId="5"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6__FDSAUDITLINK__" localSheetId="3"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6__FDSAUDITLINK__" localSheetId="1"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6__FDSAUDITLINK__"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7__FDSAUDITLINK__" localSheetId="4"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7__FDSAUDITLINK__" localSheetId="5"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7__FDSAUDITLINK__" localSheetId="3"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7__FDSAUDITLINK__" localSheetId="1"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7__FDSAUDITLINK__"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8__FDSAUDITLINK__" localSheetId="4"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8__FDSAUDITLINK__" localSheetId="5"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8__FDSAUDITLINK__" localSheetId="3"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8__FDSAUDITLINK__" localSheetId="1"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8__FDSAUDITLINK__"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9__FDSAUDITLINK__" localSheetId="4"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69__FDSAUDITLINK__" localSheetId="5"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69__FDSAUDITLINK__" localSheetId="3"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69__FDSAUDITLINK__" localSheetId="1"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69__FDSAUDITLINK__"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7__FDSAUDITLINK__" localSheetId="4"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__FDSAUDITLINK__" localSheetId="5"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__FDSAUDITLINK__" localSheetId="3"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__FDSAUDITLINK__" localSheetId="1"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__FDSAUDITLINK__"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0__FDSAUDITLINK__" localSheetId="4"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0__FDSAUDITLINK__" localSheetId="5"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0__FDSAUDITLINK__" localSheetId="3"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0__FDSAUDITLINK__" localSheetId="1"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0__FDSAUDITLINK__"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1__FDSAUDITLINK__" localSheetId="4"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1__FDSAUDITLINK__" localSheetId="5"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1__FDSAUDITLINK__" localSheetId="3"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1__FDSAUDITLINK__" localSheetId="1"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1__FDSAUDITLINK__"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2__FDSAUDITLINK__" localSheetId="4"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2__FDSAUDITLINK__" localSheetId="5"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2__FDSAUDITLINK__" localSheetId="3"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2__FDSAUDITLINK__" localSheetId="1"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2__FDSAUDITLINK__"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3__FDSAUDITLINK__" localSheetId="4"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3__FDSAUDITLINK__" localSheetId="5"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3__FDSAUDITLINK__" localSheetId="3"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3__FDSAUDITLINK__" localSheetId="1"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3__FDSAUDITLINK__"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4__FDSAUDITLINK__" localSheetId="4"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4__FDSAUDITLINK__" localSheetId="5"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4__FDSAUDITLINK__" localSheetId="3"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4__FDSAUDITLINK__" localSheetId="1"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4__FDSAUDITLINK__"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5__FDSAUDITLINK__" localSheetId="4"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5__FDSAUDITLINK__" localSheetId="5"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5__FDSAUDITLINK__" localSheetId="3"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5__FDSAUDITLINK__" localSheetId="1"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5__FDSAUDITLINK__"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6__FDSAUDITLINK__" localSheetId="4"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6__FDSAUDITLINK__" localSheetId="5"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6__FDSAUDITLINK__" localSheetId="3"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6__FDSAUDITLINK__" localSheetId="1"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6__FDSAUDITLINK__"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7__FDSAUDITLINK__" localSheetId="4"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7__FDSAUDITLINK__" localSheetId="5"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7__FDSAUDITLINK__" localSheetId="3"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7__FDSAUDITLINK__" localSheetId="1"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7__FDSAUDITLINK__"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8__FDSAUDITLINK__" localSheetId="4"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8__FDSAUDITLINK__" localSheetId="5"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8__FDSAUDITLINK__" localSheetId="3"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8__FDSAUDITLINK__" localSheetId="1"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8__FDSAUDITLINK__"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9__FDSAUDITLINK__" localSheetId="4"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79__FDSAUDITLINK__" localSheetId="5"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79__FDSAUDITLINK__" localSheetId="3"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79__FDSAUDITLINK__" localSheetId="1"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79__FDSAUDITLINK__"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8__FDSAUDITLINK__" localSheetId="4"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__FDSAUDITLINK__" localSheetId="5"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__FDSAUDITLINK__" localSheetId="3"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__FDSAUDITLINK__" localSheetId="1"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__FDSAUDITLINK__"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0__FDSAUDITLINK__" localSheetId="4"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0__FDSAUDITLINK__" localSheetId="5"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0__FDSAUDITLINK__" localSheetId="3"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0__FDSAUDITLINK__" localSheetId="1"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0__FDSAUDITLINK__"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1__FDSAUDITLINK__" localSheetId="4"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1__FDSAUDITLINK__" localSheetId="5"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1__FDSAUDITLINK__" localSheetId="3"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1__FDSAUDITLINK__" localSheetId="1"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1__FDSAUDITLINK__"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2__FDSAUDITLINK__" localSheetId="4"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2__FDSAUDITLINK__" localSheetId="5"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2__FDSAUDITLINK__" localSheetId="3"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2__FDSAUDITLINK__" localSheetId="1"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2__FDSAUDITLINK__"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3__FDSAUDITLINK__" localSheetId="4"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3__FDSAUDITLINK__" localSheetId="5"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3__FDSAUDITLINK__" localSheetId="3"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3__FDSAUDITLINK__" localSheetId="1"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3__FDSAUDITLINK__"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4__FDSAUDITLINK__" localSheetId="4"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4__FDSAUDITLINK__" localSheetId="5"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4__FDSAUDITLINK__" localSheetId="3"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4__FDSAUDITLINK__" localSheetId="1"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4__FDSAUDITLINK__"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5__FDSAUDITLINK__" localSheetId="4"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5__FDSAUDITLINK__" localSheetId="5"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5__FDSAUDITLINK__" localSheetId="3"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5__FDSAUDITLINK__" localSheetId="1"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5__FDSAUDITLINK__"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6__FDSAUDITLINK__" localSheetId="4"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6__FDSAUDITLINK__" localSheetId="5"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6__FDSAUDITLINK__" localSheetId="3"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6__FDSAUDITLINK__" localSheetId="1"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6__FDSAUDITLINK__"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7__FDSAUDITLINK__" localSheetId="4"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7__FDSAUDITLINK__" localSheetId="5"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7__FDSAUDITLINK__" localSheetId="3"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7__FDSAUDITLINK__" localSheetId="1"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7__FDSAUDITLINK__"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8__FDSAUDITLINK__" localSheetId="4"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8__FDSAUDITLINK__" localSheetId="5"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8__FDSAUDITLINK__" localSheetId="3"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8__FDSAUDITLINK__" localSheetId="1"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8__FDSAUDITLINK__"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9__FDSAUDITLINK__" localSheetId="4"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89__FDSAUDITLINK__" localSheetId="5"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89__FDSAUDITLINK__" localSheetId="3"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89__FDSAUDITLINK__" localSheetId="1"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89__FDSAUDITLINK__"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9__FDSAUDITLINK__" localSheetId="4" hidden="1">{"fdsup://Directions/FactSet Auditing Viewer?action=AUDIT_VALUE&amp;DB=129&amp;ID1=11563720&amp;VALUEID=02001&amp;SDATE=2011&amp;PERIODTYPE=ANN_STD&amp;SCFT=3&amp;window=popup_no_bar&amp;width=385&amp;height=120&amp;START_MAXIMIZED=FALSE&amp;creator=factset&amp;display_string=Audit"}</definedName>
    <definedName name="_49__FDSAUDITLINK__" localSheetId="5" hidden="1">{"fdsup://Directions/FactSet Auditing Viewer?action=AUDIT_VALUE&amp;DB=129&amp;ID1=11563720&amp;VALUEID=02001&amp;SDATE=2011&amp;PERIODTYPE=ANN_STD&amp;SCFT=3&amp;window=popup_no_bar&amp;width=385&amp;height=120&amp;START_MAXIMIZED=FALSE&amp;creator=factset&amp;display_string=Audit"}</definedName>
    <definedName name="_49__FDSAUDITLINK__" localSheetId="3" hidden="1">{"fdsup://Directions/FactSet Auditing Viewer?action=AUDIT_VALUE&amp;DB=129&amp;ID1=11563720&amp;VALUEID=02001&amp;SDATE=2011&amp;PERIODTYPE=ANN_STD&amp;SCFT=3&amp;window=popup_no_bar&amp;width=385&amp;height=120&amp;START_MAXIMIZED=FALSE&amp;creator=factset&amp;display_string=Audit"}</definedName>
    <definedName name="_49__FDSAUDITLINK__" localSheetId="1" hidden="1">{"fdsup://Directions/FactSet Auditing Viewer?action=AUDIT_VALUE&amp;DB=129&amp;ID1=11563720&amp;VALUEID=02001&amp;SDATE=2011&amp;PERIODTYPE=ANN_STD&amp;SCFT=3&amp;window=popup_no_bar&amp;width=385&amp;height=120&amp;START_MAXIMIZED=FALSE&amp;creator=factset&amp;display_string=Audit"}</definedName>
    <definedName name="_49__FDSAUDITLINK__" hidden="1">{"fdsup://Directions/FactSet Auditing Viewer?action=AUDIT_VALUE&amp;DB=129&amp;ID1=11563720&amp;VALUEID=02001&amp;SDATE=2011&amp;PERIODTYPE=ANN_STD&amp;SCFT=3&amp;window=popup_no_bar&amp;width=385&amp;height=120&amp;START_MAXIMIZED=FALSE&amp;creator=factset&amp;display_string=Audit"}</definedName>
    <definedName name="_490__FDSAUDITLINK__" localSheetId="4"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0__FDSAUDITLINK__" localSheetId="5"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0__FDSAUDITLINK__" localSheetId="3"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0__FDSAUDITLINK__" localSheetId="1"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0__FDSAUDITLINK__"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1__FDSAUDITLINK__" localSheetId="4"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1__FDSAUDITLINK__" localSheetId="5"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1__FDSAUDITLINK__" localSheetId="3"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1__FDSAUDITLINK__" localSheetId="1"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1__FDSAUDITLINK__"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2__FDSAUDITLINK__" localSheetId="4"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2__FDSAUDITLINK__" localSheetId="5"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2__FDSAUDITLINK__" localSheetId="3"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2__FDSAUDITLINK__" localSheetId="1"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2__FDSAUDITLINK__"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3__FDSAUDITLINK__" localSheetId="4"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3__FDSAUDITLINK__" localSheetId="5"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3__FDSAUDITLINK__" localSheetId="3"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3__FDSAUDITLINK__" localSheetId="1"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3__FDSAUDITLINK__"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4__FDSAUDITLINK__" localSheetId="4"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4__FDSAUDITLINK__" localSheetId="5"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4__FDSAUDITLINK__" localSheetId="3"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4__FDSAUDITLINK__" localSheetId="1"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4__FDSAUDITLINK__"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5__FDSAUDITLINK__" localSheetId="4"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5__FDSAUDITLINK__" localSheetId="5"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5__FDSAUDITLINK__" localSheetId="3"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5__FDSAUDITLINK__" localSheetId="1"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5__FDSAUDITLINK__"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6__FDSAUDITLINK__" localSheetId="4"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6__FDSAUDITLINK__" localSheetId="5"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6__FDSAUDITLINK__" localSheetId="3"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6__FDSAUDITLINK__" localSheetId="1"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6__FDSAUDITLINK__"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7__FDSAUDITLINK__" localSheetId="4"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7__FDSAUDITLINK__" localSheetId="5"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7__FDSAUDITLINK__" localSheetId="3"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7__FDSAUDITLINK__" localSheetId="1"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7__FDSAUDITLINK__"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8__FDSAUDITLINK__" localSheetId="4"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8__FDSAUDITLINK__" localSheetId="5"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8__FDSAUDITLINK__" localSheetId="3"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8__FDSAUDITLINK__" localSheetId="1"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8__FDSAUDITLINK__"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9__FDSAUDITLINK__" localSheetId="4"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499__FDSAUDITLINK__" localSheetId="5"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499__FDSAUDITLINK__" localSheetId="3"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499__FDSAUDITLINK__" localSheetId="1"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499__FDSAUDITLINK__"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5__FDSAUDITLINK__" localSheetId="4"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__FDSAUDITLINK__" localSheetId="5"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__FDSAUDITLINK__" localSheetId="3"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__FDSAUDITLINK__" localSheetId="1"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__FDSAUDITLINK__"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0__FDSAUDITLINK__" localSheetId="4"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__FDSAUDITLINK__" localSheetId="5"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__FDSAUDITLINK__" localSheetId="3"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__FDSAUDITLINK__" localSheetId="1"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__FDSAUDITLINK__"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0__FDSAUDITLINK__" localSheetId="4"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0__FDSAUDITLINK__" localSheetId="5"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0__FDSAUDITLINK__" localSheetId="3"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0__FDSAUDITLINK__" localSheetId="1"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0__FDSAUDITLINK__"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1__FDSAUDITLINK__" localSheetId="4"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1__FDSAUDITLINK__" localSheetId="5"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1__FDSAUDITLINK__" localSheetId="3"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1__FDSAUDITLINK__" localSheetId="1"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1__FDSAUDITLINK__"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2__FDSAUDITLINK__" localSheetId="4"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2__FDSAUDITLINK__" localSheetId="5"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2__FDSAUDITLINK__" localSheetId="3"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2__FDSAUDITLINK__" localSheetId="1"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2__FDSAUDITLINK__"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3__FDSAUDITLINK__" localSheetId="4"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3__FDSAUDITLINK__" localSheetId="5"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3__FDSAUDITLINK__" localSheetId="3"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3__FDSAUDITLINK__" localSheetId="1"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3__FDSAUDITLINK__"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4__FDSAUDITLINK__" localSheetId="4"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4__FDSAUDITLINK__" localSheetId="5"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4__FDSAUDITLINK__" localSheetId="3"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4__FDSAUDITLINK__" localSheetId="1"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4__FDSAUDITLINK__"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5__FDSAUDITLINK__" localSheetId="4"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5__FDSAUDITLINK__" localSheetId="5"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5__FDSAUDITLINK__" localSheetId="3"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5__FDSAUDITLINK__" localSheetId="1"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5__FDSAUDITLINK__"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6__FDSAUDITLINK__" localSheetId="4"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6__FDSAUDITLINK__" localSheetId="5"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6__FDSAUDITLINK__" localSheetId="3"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6__FDSAUDITLINK__" localSheetId="1"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6__FDSAUDITLINK__"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7__FDSAUDITLINK__" localSheetId="4"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7__FDSAUDITLINK__" localSheetId="5"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7__FDSAUDITLINK__" localSheetId="3"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7__FDSAUDITLINK__" localSheetId="1"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7__FDSAUDITLINK__"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8__FDSAUDITLINK__" localSheetId="4"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8__FDSAUDITLINK__" localSheetId="5"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8__FDSAUDITLINK__" localSheetId="3"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8__FDSAUDITLINK__" localSheetId="1"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8__FDSAUDITLINK__"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9__FDSAUDITLINK__" localSheetId="4"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09__FDSAUDITLINK__" localSheetId="5"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09__FDSAUDITLINK__" localSheetId="3"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09__FDSAUDITLINK__" localSheetId="1"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09__FDSAUDITLINK__"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1__FDSAUDITLINK__" localSheetId="4"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__FDSAUDITLINK__" localSheetId="5"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__FDSAUDITLINK__" localSheetId="3"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__FDSAUDITLINK__" localSheetId="1"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__FDSAUDITLINK__"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0__FDSAUDITLINK__" localSheetId="4"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0__FDSAUDITLINK__" localSheetId="5"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0__FDSAUDITLINK__" localSheetId="3"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0__FDSAUDITLINK__" localSheetId="1"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0__FDSAUDITLINK__"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1__FDSAUDITLINK__" localSheetId="4"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1__FDSAUDITLINK__" localSheetId="5"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1__FDSAUDITLINK__" localSheetId="3"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1__FDSAUDITLINK__" localSheetId="1"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1__FDSAUDITLINK__"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2__FDSAUDITLINK__" localSheetId="4"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2__FDSAUDITLINK__" localSheetId="5"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2__FDSAUDITLINK__" localSheetId="3"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2__FDSAUDITLINK__" localSheetId="1"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2__FDSAUDITLINK__"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3__FDSAUDITLINK__" localSheetId="4"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3__FDSAUDITLINK__" localSheetId="5"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3__FDSAUDITLINK__" localSheetId="3"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3__FDSAUDITLINK__" localSheetId="1"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3__FDSAUDITLINK__"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4__FDSAUDITLINK__" localSheetId="4"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4__FDSAUDITLINK__" localSheetId="5"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4__FDSAUDITLINK__" localSheetId="3"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4__FDSAUDITLINK__" localSheetId="1"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4__FDSAUDITLINK__"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5__FDSAUDITLINK__" localSheetId="4"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5__FDSAUDITLINK__" localSheetId="5"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5__FDSAUDITLINK__" localSheetId="3"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5__FDSAUDITLINK__" localSheetId="1"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5__FDSAUDITLINK__"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6__FDSAUDITLINK__" localSheetId="4"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6__FDSAUDITLINK__" localSheetId="5"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6__FDSAUDITLINK__" localSheetId="3"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6__FDSAUDITLINK__" localSheetId="1"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6__FDSAUDITLINK__"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7__FDSAUDITLINK__" localSheetId="4"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7__FDSAUDITLINK__" localSheetId="5"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7__FDSAUDITLINK__" localSheetId="3"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7__FDSAUDITLINK__" localSheetId="1"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7__FDSAUDITLINK__"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8__FDSAUDITLINK__" localSheetId="4"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8__FDSAUDITLINK__" localSheetId="5"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8__FDSAUDITLINK__" localSheetId="3"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8__FDSAUDITLINK__" localSheetId="1"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8__FDSAUDITLINK__"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9__FDSAUDITLINK__" localSheetId="4"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19__FDSAUDITLINK__" localSheetId="5"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19__FDSAUDITLINK__" localSheetId="3"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19__FDSAUDITLINK__" localSheetId="1"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19__FDSAUDITLINK__"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2__FDSAUDITLINK__" localSheetId="4"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__FDSAUDITLINK__" localSheetId="5"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__FDSAUDITLINK__" localSheetId="3"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__FDSAUDITLINK__" localSheetId="1"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__FDSAUDITLINK__"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0__FDSAUDITLINK__" localSheetId="4"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0__FDSAUDITLINK__" localSheetId="5"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0__FDSAUDITLINK__" localSheetId="3"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0__FDSAUDITLINK__" localSheetId="1"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0__FDSAUDITLINK__"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1__FDSAUDITLINK__" localSheetId="4"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1__FDSAUDITLINK__" localSheetId="5"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1__FDSAUDITLINK__" localSheetId="3"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1__FDSAUDITLINK__" localSheetId="1"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1__FDSAUDITLINK__"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2__FDSAUDITLINK__" localSheetId="4"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2__FDSAUDITLINK__" localSheetId="5"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2__FDSAUDITLINK__" localSheetId="3"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2__FDSAUDITLINK__" localSheetId="1"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2__FDSAUDITLINK__"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3__FDSAUDITLINK__" localSheetId="4"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3__FDSAUDITLINK__" localSheetId="5"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3__FDSAUDITLINK__" localSheetId="3"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3__FDSAUDITLINK__" localSheetId="1"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3__FDSAUDITLINK__"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4__FDSAUDITLINK__" localSheetId="4"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4__FDSAUDITLINK__" localSheetId="5"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4__FDSAUDITLINK__" localSheetId="3"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4__FDSAUDITLINK__" localSheetId="1"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4__FDSAUDITLINK__"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5__FDSAUDITLINK__" localSheetId="4"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5__FDSAUDITLINK__" localSheetId="5"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5__FDSAUDITLINK__" localSheetId="3"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5__FDSAUDITLINK__" localSheetId="1"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5__FDSAUDITLINK__"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6__FDSAUDITLINK__" localSheetId="4"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6__FDSAUDITLINK__" localSheetId="5"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6__FDSAUDITLINK__" localSheetId="3"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6__FDSAUDITLINK__" localSheetId="1"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6__FDSAUDITLINK__"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7__FDSAUDITLINK__" localSheetId="4"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7__FDSAUDITLINK__" localSheetId="5"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7__FDSAUDITLINK__" localSheetId="3"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7__FDSAUDITLINK__" localSheetId="1"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7__FDSAUDITLINK__"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8__FDSAUDITLINK__" localSheetId="4"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8__FDSAUDITLINK__" localSheetId="5"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8__FDSAUDITLINK__" localSheetId="3"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8__FDSAUDITLINK__" localSheetId="1"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8__FDSAUDITLINK__"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9__FDSAUDITLINK__" localSheetId="4"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29__FDSAUDITLINK__" localSheetId="5"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29__FDSAUDITLINK__" localSheetId="3"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29__FDSAUDITLINK__" localSheetId="1"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29__FDSAUDITLINK__"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3__FDSAUDITLINK__" localSheetId="4" hidden="1">{"fdsup://Directions/FactSet Auditing Viewer?action=AUDIT_VALUE&amp;DB=129&amp;ID1=07373010&amp;VALUEID=02001&amp;SDATE=2011&amp;PERIODTYPE=ANN_STD&amp;SCFT=3&amp;window=popup_no_bar&amp;width=385&amp;height=120&amp;START_MAXIMIZED=FALSE&amp;creator=factset&amp;display_string=Audit"}</definedName>
    <definedName name="_53__FDSAUDITLINK__" localSheetId="5" hidden="1">{"fdsup://Directions/FactSet Auditing Viewer?action=AUDIT_VALUE&amp;DB=129&amp;ID1=07373010&amp;VALUEID=02001&amp;SDATE=2011&amp;PERIODTYPE=ANN_STD&amp;SCFT=3&amp;window=popup_no_bar&amp;width=385&amp;height=120&amp;START_MAXIMIZED=FALSE&amp;creator=factset&amp;display_string=Audit"}</definedName>
    <definedName name="_53__FDSAUDITLINK__" localSheetId="3" hidden="1">{"fdsup://Directions/FactSet Auditing Viewer?action=AUDIT_VALUE&amp;DB=129&amp;ID1=07373010&amp;VALUEID=02001&amp;SDATE=2011&amp;PERIODTYPE=ANN_STD&amp;SCFT=3&amp;window=popup_no_bar&amp;width=385&amp;height=120&amp;START_MAXIMIZED=FALSE&amp;creator=factset&amp;display_string=Audit"}</definedName>
    <definedName name="_53__FDSAUDITLINK__" localSheetId="1" hidden="1">{"fdsup://Directions/FactSet Auditing Viewer?action=AUDIT_VALUE&amp;DB=129&amp;ID1=07373010&amp;VALUEID=02001&amp;SDATE=2011&amp;PERIODTYPE=ANN_STD&amp;SCFT=3&amp;window=popup_no_bar&amp;width=385&amp;height=120&amp;START_MAXIMIZED=FALSE&amp;creator=factset&amp;display_string=Audit"}</definedName>
    <definedName name="_53__FDSAUDITLINK__" hidden="1">{"fdsup://Directions/FactSet Auditing Viewer?action=AUDIT_VALUE&amp;DB=129&amp;ID1=07373010&amp;VALUEID=02001&amp;SDATE=2011&amp;PERIODTYPE=ANN_STD&amp;SCFT=3&amp;window=popup_no_bar&amp;width=385&amp;height=120&amp;START_MAXIMIZED=FALSE&amp;creator=factset&amp;display_string=Audit"}</definedName>
    <definedName name="_530__FDSAUDITLINK__" localSheetId="4"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0__FDSAUDITLINK__" localSheetId="5"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0__FDSAUDITLINK__" localSheetId="3"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0__FDSAUDITLINK__" localSheetId="1"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0__FDSAUDITLINK__"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1__FDSAUDITLINK__" localSheetId="4"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1__FDSAUDITLINK__" localSheetId="5"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1__FDSAUDITLINK__" localSheetId="3"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1__FDSAUDITLINK__" localSheetId="1"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1__FDSAUDITLINK__"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2__FDSAUDITLINK__" localSheetId="4"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2__FDSAUDITLINK__" localSheetId="5"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2__FDSAUDITLINK__" localSheetId="3"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2__FDSAUDITLINK__" localSheetId="1"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2__FDSAUDITLINK__"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3__FDSAUDITLINK__" localSheetId="4"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3__FDSAUDITLINK__" localSheetId="5"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3__FDSAUDITLINK__" localSheetId="3"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3__FDSAUDITLINK__" localSheetId="1"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3__FDSAUDITLINK__"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4__FDSAUDITLINK__" localSheetId="4"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4__FDSAUDITLINK__" localSheetId="5"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4__FDSAUDITLINK__" localSheetId="3"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4__FDSAUDITLINK__" localSheetId="1"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4__FDSAUDITLINK__"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5__FDSAUDITLINK__" localSheetId="4"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5__FDSAUDITLINK__" localSheetId="5"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5__FDSAUDITLINK__" localSheetId="3"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5__FDSAUDITLINK__" localSheetId="1"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5__FDSAUDITLINK__"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6__FDSAUDITLINK__" localSheetId="4"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6__FDSAUDITLINK__" localSheetId="5"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6__FDSAUDITLINK__" localSheetId="3"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6__FDSAUDITLINK__" localSheetId="1"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6__FDSAUDITLINK__"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7__FDSAUDITLINK__" localSheetId="4"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7__FDSAUDITLINK__" localSheetId="5"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7__FDSAUDITLINK__" localSheetId="3"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7__FDSAUDITLINK__" localSheetId="1"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7__FDSAUDITLINK__"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8__FDSAUDITLINK__" localSheetId="4"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8__FDSAUDITLINK__" localSheetId="5"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8__FDSAUDITLINK__" localSheetId="3"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8__FDSAUDITLINK__" localSheetId="1"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8__FDSAUDITLINK__"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9__FDSAUDITLINK__" localSheetId="4"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39__FDSAUDITLINK__" localSheetId="5"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39__FDSAUDITLINK__" localSheetId="3"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39__FDSAUDITLINK__" localSheetId="1"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39__FDSAUDITLINK__"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4__FDSAUDITLINK__" localSheetId="4"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__FDSAUDITLINK__" localSheetId="5"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__FDSAUDITLINK__" localSheetId="3"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__FDSAUDITLINK__" localSheetId="1"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__FDSAUDITLINK__"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0__FDSAUDITLINK__" localSheetId="4"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0__FDSAUDITLINK__" localSheetId="5"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0__FDSAUDITLINK__" localSheetId="3"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0__FDSAUDITLINK__" localSheetId="1"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0__FDSAUDITLINK__"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1__FDSAUDITLINK__" localSheetId="4"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1__FDSAUDITLINK__" localSheetId="5"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1__FDSAUDITLINK__" localSheetId="3"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1__FDSAUDITLINK__" localSheetId="1"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1__FDSAUDITLINK__"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2__FDSAUDITLINK__" localSheetId="4"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2__FDSAUDITLINK__" localSheetId="5"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2__FDSAUDITLINK__" localSheetId="3"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2__FDSAUDITLINK__" localSheetId="1"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2__FDSAUDITLINK__"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3__FDSAUDITLINK__" localSheetId="4"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3__FDSAUDITLINK__" localSheetId="5"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3__FDSAUDITLINK__" localSheetId="3"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3__FDSAUDITLINK__" localSheetId="1"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3__FDSAUDITLINK__"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4__FDSAUDITLINK__" localSheetId="4"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4__FDSAUDITLINK__" localSheetId="5"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4__FDSAUDITLINK__" localSheetId="3"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4__FDSAUDITLINK__" localSheetId="1"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4__FDSAUDITLINK__"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5__FDSAUDITLINK__" localSheetId="4"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5__FDSAUDITLINK__" localSheetId="5"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5__FDSAUDITLINK__" localSheetId="3"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5__FDSAUDITLINK__" localSheetId="1"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5__FDSAUDITLINK__"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6__FDSAUDITLINK__" localSheetId="4"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6__FDSAUDITLINK__" localSheetId="5"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6__FDSAUDITLINK__" localSheetId="3"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6__FDSAUDITLINK__" localSheetId="1"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6__FDSAUDITLINK__"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7__FDSAUDITLINK__" localSheetId="4"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7__FDSAUDITLINK__" localSheetId="5"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7__FDSAUDITLINK__" localSheetId="3"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7__FDSAUDITLINK__" localSheetId="1"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7__FDSAUDITLINK__"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8__FDSAUDITLINK__" localSheetId="4"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8__FDSAUDITLINK__" localSheetId="5"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8__FDSAUDITLINK__" localSheetId="3"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8__FDSAUDITLINK__" localSheetId="1"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8__FDSAUDITLINK__"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9__FDSAUDITLINK__" localSheetId="4"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49__FDSAUDITLINK__" localSheetId="5"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49__FDSAUDITLINK__" localSheetId="3"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49__FDSAUDITLINK__" localSheetId="1"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49__FDSAUDITLINK__"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5__FDSAUDITLINK__" localSheetId="4"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__FDSAUDITLINK__" localSheetId="5"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__FDSAUDITLINK__" localSheetId="3"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__FDSAUDITLINK__" localSheetId="1"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__FDSAUDITLINK__"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0__FDSAUDITLINK__" localSheetId="4"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0__FDSAUDITLINK__" localSheetId="5"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0__FDSAUDITLINK__" localSheetId="3"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0__FDSAUDITLINK__" localSheetId="1"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0__FDSAUDITLINK__"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1__FDSAUDITLINK__" localSheetId="4"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1__FDSAUDITLINK__" localSheetId="5"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1__FDSAUDITLINK__" localSheetId="3"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1__FDSAUDITLINK__" localSheetId="1"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1__FDSAUDITLINK__"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2__FDSAUDITLINK__" localSheetId="4"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2__FDSAUDITLINK__" localSheetId="5"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2__FDSAUDITLINK__" localSheetId="3"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2__FDSAUDITLINK__" localSheetId="1"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2__FDSAUDITLINK__"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3__FDSAUDITLINK__" localSheetId="4"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3__FDSAUDITLINK__" localSheetId="5"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3__FDSAUDITLINK__" localSheetId="3"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3__FDSAUDITLINK__" localSheetId="1"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3__FDSAUDITLINK__"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4__FDSAUDITLINK__" localSheetId="4"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4__FDSAUDITLINK__" localSheetId="5"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4__FDSAUDITLINK__" localSheetId="3"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4__FDSAUDITLINK__" localSheetId="1"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4__FDSAUDITLINK__"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5__FDSAUDITLINK__" localSheetId="4"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5__FDSAUDITLINK__" localSheetId="5"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5__FDSAUDITLINK__" localSheetId="3"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5__FDSAUDITLINK__" localSheetId="1"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5__FDSAUDITLINK__"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6__FDSAUDITLINK__" localSheetId="4"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6__FDSAUDITLINK__" localSheetId="5"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6__FDSAUDITLINK__" localSheetId="3"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6__FDSAUDITLINK__" localSheetId="1"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6__FDSAUDITLINK__"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7__FDSAUDITLINK__" localSheetId="4"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7__FDSAUDITLINK__" localSheetId="5"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7__FDSAUDITLINK__" localSheetId="3"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7__FDSAUDITLINK__" localSheetId="1"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7__FDSAUDITLINK__"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8__FDSAUDITLINK__" localSheetId="4"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8__FDSAUDITLINK__" localSheetId="5"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8__FDSAUDITLINK__" localSheetId="3"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8__FDSAUDITLINK__" localSheetId="1"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8__FDSAUDITLINK__"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9__FDSAUDITLINK__" localSheetId="4"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59__FDSAUDITLINK__" localSheetId="5"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59__FDSAUDITLINK__" localSheetId="3"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59__FDSAUDITLINK__" localSheetId="1"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59__FDSAUDITLINK__"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6__FDSAUDITLINK__" localSheetId="4"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__FDSAUDITLINK__" localSheetId="5"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__FDSAUDITLINK__" localSheetId="3"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__FDSAUDITLINK__" localSheetId="1"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__FDSAUDITLINK__"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0__FDSAUDITLINK__" localSheetId="4"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0__FDSAUDITLINK__" localSheetId="5"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0__FDSAUDITLINK__" localSheetId="3"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0__FDSAUDITLINK__" localSheetId="1"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0__FDSAUDITLINK__"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1__FDSAUDITLINK__" localSheetId="4"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1__FDSAUDITLINK__" localSheetId="5"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1__FDSAUDITLINK__" localSheetId="3"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1__FDSAUDITLINK__" localSheetId="1"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1__FDSAUDITLINK__"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2__FDSAUDITLINK__" localSheetId="4"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2__FDSAUDITLINK__" localSheetId="5"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2__FDSAUDITLINK__" localSheetId="3"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2__FDSAUDITLINK__" localSheetId="1"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2__FDSAUDITLINK__"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3__FDSAUDITLINK__" localSheetId="4"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3__FDSAUDITLINK__" localSheetId="5"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3__FDSAUDITLINK__" localSheetId="3"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3__FDSAUDITLINK__" localSheetId="1"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3__FDSAUDITLINK__"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4__FDSAUDITLINK__" localSheetId="4"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4__FDSAUDITLINK__" localSheetId="5"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4__FDSAUDITLINK__" localSheetId="3"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4__FDSAUDITLINK__" localSheetId="1"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4__FDSAUDITLINK__"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5__FDSAUDITLINK__" localSheetId="4"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5__FDSAUDITLINK__" localSheetId="5"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5__FDSAUDITLINK__" localSheetId="3"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5__FDSAUDITLINK__" localSheetId="1"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5__FDSAUDITLINK__"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6__FDSAUDITLINK__" localSheetId="4"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6__FDSAUDITLINK__" localSheetId="5"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6__FDSAUDITLINK__" localSheetId="3"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6__FDSAUDITLINK__" localSheetId="1"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6__FDSAUDITLINK__"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7__FDSAUDITLINK__" localSheetId="4"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7__FDSAUDITLINK__" localSheetId="5"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7__FDSAUDITLINK__" localSheetId="3"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7__FDSAUDITLINK__" localSheetId="1"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7__FDSAUDITLINK__"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8__FDSAUDITLINK__" localSheetId="4"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8__FDSAUDITLINK__" localSheetId="5"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8__FDSAUDITLINK__" localSheetId="3"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8__FDSAUDITLINK__" localSheetId="1"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8__FDSAUDITLINK__"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9__FDSAUDITLINK__" localSheetId="4"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69__FDSAUDITLINK__" localSheetId="5"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69__FDSAUDITLINK__" localSheetId="3"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69__FDSAUDITLINK__" localSheetId="1"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69__FDSAUDITLINK__"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7__FDSAUDITLINK__" localSheetId="4"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__FDSAUDITLINK__" localSheetId="5"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__FDSAUDITLINK__" localSheetId="3"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__FDSAUDITLINK__" localSheetId="1"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__FDSAUDITLINK__"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0__FDSAUDITLINK__" localSheetId="4"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0__FDSAUDITLINK__" localSheetId="5"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0__FDSAUDITLINK__" localSheetId="3"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0__FDSAUDITLINK__" localSheetId="1"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0__FDSAUDITLINK__"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1__FDSAUDITLINK__" localSheetId="4"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1__FDSAUDITLINK__" localSheetId="5"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1__FDSAUDITLINK__" localSheetId="3"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1__FDSAUDITLINK__" localSheetId="1"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1__FDSAUDITLINK__"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2__FDSAUDITLINK__" localSheetId="4"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2__FDSAUDITLINK__" localSheetId="5"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2__FDSAUDITLINK__" localSheetId="3"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2__FDSAUDITLINK__" localSheetId="1"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2__FDSAUDITLINK__"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3__FDSAUDITLINK__" localSheetId="4"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3__FDSAUDITLINK__" localSheetId="5"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3__FDSAUDITLINK__" localSheetId="3"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3__FDSAUDITLINK__" localSheetId="1"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3__FDSAUDITLINK__"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4__FDSAUDITLINK__" localSheetId="4"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4__FDSAUDITLINK__" localSheetId="5"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4__FDSAUDITLINK__" localSheetId="3"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4__FDSAUDITLINK__" localSheetId="1"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4__FDSAUDITLINK__"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5__FDSAUDITLINK__" localSheetId="4"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5__FDSAUDITLINK__" localSheetId="5"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5__FDSAUDITLINK__" localSheetId="3"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5__FDSAUDITLINK__" localSheetId="1"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5__FDSAUDITLINK__"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6__FDSAUDITLINK__" localSheetId="4"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6__FDSAUDITLINK__" localSheetId="5"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6__FDSAUDITLINK__" localSheetId="3"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6__FDSAUDITLINK__" localSheetId="1"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6__FDSAUDITLINK__"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7__FDSAUDITLINK__" localSheetId="4"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7__FDSAUDITLINK__" localSheetId="5"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7__FDSAUDITLINK__" localSheetId="3"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7__FDSAUDITLINK__" localSheetId="1"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7__FDSAUDITLINK__"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8__FDSAUDITLINK__" localSheetId="4"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8__FDSAUDITLINK__" localSheetId="5"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8__FDSAUDITLINK__" localSheetId="3"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8__FDSAUDITLINK__" localSheetId="1"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8__FDSAUDITLINK__"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9__FDSAUDITLINK__" localSheetId="4"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79__FDSAUDITLINK__" localSheetId="5"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79__FDSAUDITLINK__" localSheetId="3"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79__FDSAUDITLINK__" localSheetId="1"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79__FDSAUDITLINK__"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8__FDSAUDITLINK__" localSheetId="4"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__FDSAUDITLINK__" localSheetId="5"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__FDSAUDITLINK__" localSheetId="3"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__FDSAUDITLINK__" localSheetId="1"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__FDSAUDITLINK__"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0__FDSAUDITLINK__" localSheetId="4"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0__FDSAUDITLINK__" localSheetId="5"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0__FDSAUDITLINK__" localSheetId="3"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0__FDSAUDITLINK__" localSheetId="1"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0__FDSAUDITLINK__"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1__FDSAUDITLINK__" localSheetId="4"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1__FDSAUDITLINK__" localSheetId="5"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1__FDSAUDITLINK__" localSheetId="3"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1__FDSAUDITLINK__" localSheetId="1"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1__FDSAUDITLINK__"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2__FDSAUDITLINK__" localSheetId="4"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2__FDSAUDITLINK__" localSheetId="5"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2__FDSAUDITLINK__" localSheetId="3"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2__FDSAUDITLINK__" localSheetId="1"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2__FDSAUDITLINK__"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3__FDSAUDITLINK__" localSheetId="4"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3__FDSAUDITLINK__" localSheetId="5"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3__FDSAUDITLINK__" localSheetId="3"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3__FDSAUDITLINK__" localSheetId="1"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3__FDSAUDITLINK__"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4__FDSAUDITLINK__" localSheetId="4"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4__FDSAUDITLINK__" localSheetId="5"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4__FDSAUDITLINK__" localSheetId="3"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4__FDSAUDITLINK__" localSheetId="1"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4__FDSAUDITLINK__"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5__FDSAUDITLINK__" localSheetId="4"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5__FDSAUDITLINK__" localSheetId="5"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5__FDSAUDITLINK__" localSheetId="3"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5__FDSAUDITLINK__" localSheetId="1"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5__FDSAUDITLINK__"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6__FDSAUDITLINK__" localSheetId="4"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6__FDSAUDITLINK__" localSheetId="5"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6__FDSAUDITLINK__" localSheetId="3"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6__FDSAUDITLINK__" localSheetId="1"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6__FDSAUDITLINK__"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7__FDSAUDITLINK__" localSheetId="4"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7__FDSAUDITLINK__" localSheetId="5"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7__FDSAUDITLINK__" localSheetId="3"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7__FDSAUDITLINK__" localSheetId="1"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7__FDSAUDITLINK__"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8__FDSAUDITLINK__" localSheetId="4"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8__FDSAUDITLINK__" localSheetId="5"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8__FDSAUDITLINK__" localSheetId="3"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8__FDSAUDITLINK__" localSheetId="1"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8__FDSAUDITLINK__"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9__FDSAUDITLINK__" localSheetId="4"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89__FDSAUDITLINK__" localSheetId="5"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89__FDSAUDITLINK__" localSheetId="3"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89__FDSAUDITLINK__" localSheetId="1"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89__FDSAUDITLINK__"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9__FDSAUDITLINK__" localSheetId="4" hidden="1">{"fdsup://Directions/FactSet Auditing Viewer?action=AUDIT_VALUE&amp;DB=129&amp;ID1=80854110&amp;VALUEID=02001&amp;SDATE=2011&amp;PERIODTYPE=ANN_STD&amp;SCFT=3&amp;window=popup_no_bar&amp;width=385&amp;height=120&amp;START_MAXIMIZED=FALSE&amp;creator=factset&amp;display_string=Audit"}</definedName>
    <definedName name="_59__FDSAUDITLINK__" localSheetId="5" hidden="1">{"fdsup://Directions/FactSet Auditing Viewer?action=AUDIT_VALUE&amp;DB=129&amp;ID1=80854110&amp;VALUEID=02001&amp;SDATE=2011&amp;PERIODTYPE=ANN_STD&amp;SCFT=3&amp;window=popup_no_bar&amp;width=385&amp;height=120&amp;START_MAXIMIZED=FALSE&amp;creator=factset&amp;display_string=Audit"}</definedName>
    <definedName name="_59__FDSAUDITLINK__" localSheetId="3" hidden="1">{"fdsup://Directions/FactSet Auditing Viewer?action=AUDIT_VALUE&amp;DB=129&amp;ID1=80854110&amp;VALUEID=02001&amp;SDATE=2011&amp;PERIODTYPE=ANN_STD&amp;SCFT=3&amp;window=popup_no_bar&amp;width=385&amp;height=120&amp;START_MAXIMIZED=FALSE&amp;creator=factset&amp;display_string=Audit"}</definedName>
    <definedName name="_59__FDSAUDITLINK__" localSheetId="1" hidden="1">{"fdsup://Directions/FactSet Auditing Viewer?action=AUDIT_VALUE&amp;DB=129&amp;ID1=80854110&amp;VALUEID=02001&amp;SDATE=2011&amp;PERIODTYPE=ANN_STD&amp;SCFT=3&amp;window=popup_no_bar&amp;width=385&amp;height=120&amp;START_MAXIMIZED=FALSE&amp;creator=factset&amp;display_string=Audit"}</definedName>
    <definedName name="_59__FDSAUDITLINK__" hidden="1">{"fdsup://Directions/FactSet Auditing Viewer?action=AUDIT_VALUE&amp;DB=129&amp;ID1=80854110&amp;VALUEID=02001&amp;SDATE=2011&amp;PERIODTYPE=ANN_STD&amp;SCFT=3&amp;window=popup_no_bar&amp;width=385&amp;height=120&amp;START_MAXIMIZED=FALSE&amp;creator=factset&amp;display_string=Audit"}</definedName>
    <definedName name="_590__FDSAUDITLINK__" localSheetId="4"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0__FDSAUDITLINK__" localSheetId="5"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0__FDSAUDITLINK__" localSheetId="3"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0__FDSAUDITLINK__" localSheetId="1"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0__FDSAUDITLINK__"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1__FDSAUDITLINK__" localSheetId="4"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1__FDSAUDITLINK__" localSheetId="5"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1__FDSAUDITLINK__" localSheetId="3"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1__FDSAUDITLINK__" localSheetId="1"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1__FDSAUDITLINK__"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2__FDSAUDITLINK__" localSheetId="4"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2__FDSAUDITLINK__" localSheetId="5"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2__FDSAUDITLINK__" localSheetId="3"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2__FDSAUDITLINK__" localSheetId="1"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2__FDSAUDITLINK__"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3__FDSAUDITLINK__" localSheetId="4"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3__FDSAUDITLINK__" localSheetId="5"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3__FDSAUDITLINK__" localSheetId="3"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3__FDSAUDITLINK__" localSheetId="1"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3__FDSAUDITLINK__"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4__FDSAUDITLINK__" localSheetId="4"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4__FDSAUDITLINK__" localSheetId="5"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4__FDSAUDITLINK__" localSheetId="3"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4__FDSAUDITLINK__" localSheetId="1"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4__FDSAUDITLINK__"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5__FDSAUDITLINK__" localSheetId="4"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5__FDSAUDITLINK__" localSheetId="5"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5__FDSAUDITLINK__" localSheetId="3"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5__FDSAUDITLINK__" localSheetId="1"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5__FDSAUDITLINK__"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6__FDSAUDITLINK__" localSheetId="4"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6__FDSAUDITLINK__" localSheetId="5"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6__FDSAUDITLINK__" localSheetId="3"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6__FDSAUDITLINK__" localSheetId="1"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6__FDSAUDITLINK__"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7__FDSAUDITLINK__" localSheetId="4"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7__FDSAUDITLINK__" localSheetId="5"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7__FDSAUDITLINK__" localSheetId="3"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7__FDSAUDITLINK__" localSheetId="1"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7__FDSAUDITLINK__"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8__FDSAUDITLINK__" localSheetId="4"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8__FDSAUDITLINK__" localSheetId="5"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8__FDSAUDITLINK__" localSheetId="3"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8__FDSAUDITLINK__" localSheetId="1"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8__FDSAUDITLINK__"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9__FDSAUDITLINK__" localSheetId="4"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599__FDSAUDITLINK__" localSheetId="5"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599__FDSAUDITLINK__" localSheetId="3"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599__FDSAUDITLINK__" localSheetId="1"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599__FDSAUDITLINK__"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6__FDSAUDITLINK__" localSheetId="4"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__FDSAUDITLINK__" localSheetId="5"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__FDSAUDITLINK__" localSheetId="3"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__FDSAUDITLINK__" localSheetId="1"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__FDSAUDITLINK__"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0__FDSAUDITLINK__" localSheetId="4"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__FDSAUDITLINK__" localSheetId="5"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__FDSAUDITLINK__" localSheetId="3"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__FDSAUDITLINK__" localSheetId="1"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__FDSAUDITLINK__"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0__FDSAUDITLINK__" localSheetId="4"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0__FDSAUDITLINK__" localSheetId="5"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0__FDSAUDITLINK__" localSheetId="3"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0__FDSAUDITLINK__" localSheetId="1"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0__FDSAUDITLINK__"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1__FDSAUDITLINK__" localSheetId="4"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1__FDSAUDITLINK__" localSheetId="5"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1__FDSAUDITLINK__" localSheetId="3"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1__FDSAUDITLINK__" localSheetId="1"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1__FDSAUDITLINK__"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2__FDSAUDITLINK__" localSheetId="4"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2__FDSAUDITLINK__" localSheetId="5"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2__FDSAUDITLINK__" localSheetId="3"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2__FDSAUDITLINK__" localSheetId="1"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2__FDSAUDITLINK__"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3__FDSAUDITLINK__" localSheetId="4"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3__FDSAUDITLINK__" localSheetId="5"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3__FDSAUDITLINK__" localSheetId="3"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3__FDSAUDITLINK__" localSheetId="1"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3__FDSAUDITLINK__"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4__FDSAUDITLINK__" localSheetId="4"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4__FDSAUDITLINK__" localSheetId="5"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4__FDSAUDITLINK__" localSheetId="3"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4__FDSAUDITLINK__" localSheetId="1"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4__FDSAUDITLINK__"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5__FDSAUDITLINK__" localSheetId="4"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5__FDSAUDITLINK__" localSheetId="5"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5__FDSAUDITLINK__" localSheetId="3"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5__FDSAUDITLINK__" localSheetId="1"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5__FDSAUDITLINK__"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6__FDSAUDITLINK__" localSheetId="4"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6__FDSAUDITLINK__" localSheetId="5"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6__FDSAUDITLINK__" localSheetId="3"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6__FDSAUDITLINK__" localSheetId="1"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6__FDSAUDITLINK__"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7__FDSAUDITLINK__" localSheetId="4"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7__FDSAUDITLINK__" localSheetId="5"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7__FDSAUDITLINK__" localSheetId="3"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7__FDSAUDITLINK__" localSheetId="1"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7__FDSAUDITLINK__"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8__FDSAUDITLINK__" localSheetId="4"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8__FDSAUDITLINK__" localSheetId="5"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8__FDSAUDITLINK__" localSheetId="3"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8__FDSAUDITLINK__" localSheetId="1"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8__FDSAUDITLINK__"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9__FDSAUDITLINK__" localSheetId="4"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09__FDSAUDITLINK__" localSheetId="5"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09__FDSAUDITLINK__" localSheetId="3"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09__FDSAUDITLINK__" localSheetId="1"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09__FDSAUDITLINK__"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1__FDSAUDITLINK__" localSheetId="4" hidden="1">{"fdsup://Directions/FactSet Auditing Viewer?action=AUDIT_VALUE&amp;DB=129&amp;ID1=045449&amp;VALUEID=02001&amp;SDATE=2011&amp;PERIODTYPE=ANN_STD&amp;SCFT=3&amp;window=popup_no_bar&amp;width=385&amp;height=120&amp;START_MAXIMIZED=FALSE&amp;creator=factset&amp;display_string=Audit"}</definedName>
    <definedName name="_61__FDSAUDITLINK__" localSheetId="5" hidden="1">{"fdsup://Directions/FactSet Auditing Viewer?action=AUDIT_VALUE&amp;DB=129&amp;ID1=045449&amp;VALUEID=02001&amp;SDATE=2011&amp;PERIODTYPE=ANN_STD&amp;SCFT=3&amp;window=popup_no_bar&amp;width=385&amp;height=120&amp;START_MAXIMIZED=FALSE&amp;creator=factset&amp;display_string=Audit"}</definedName>
    <definedName name="_61__FDSAUDITLINK__" localSheetId="3" hidden="1">{"fdsup://Directions/FactSet Auditing Viewer?action=AUDIT_VALUE&amp;DB=129&amp;ID1=045449&amp;VALUEID=02001&amp;SDATE=2011&amp;PERIODTYPE=ANN_STD&amp;SCFT=3&amp;window=popup_no_bar&amp;width=385&amp;height=120&amp;START_MAXIMIZED=FALSE&amp;creator=factset&amp;display_string=Audit"}</definedName>
    <definedName name="_61__FDSAUDITLINK__" localSheetId="1" hidden="1">{"fdsup://Directions/FactSet Auditing Viewer?action=AUDIT_VALUE&amp;DB=129&amp;ID1=045449&amp;VALUEID=02001&amp;SDATE=2011&amp;PERIODTYPE=ANN_STD&amp;SCFT=3&amp;window=popup_no_bar&amp;width=385&amp;height=120&amp;START_MAXIMIZED=FALSE&amp;creator=factset&amp;display_string=Audit"}</definedName>
    <definedName name="_61__FDSAUDITLINK__" hidden="1">{"fdsup://Directions/FactSet Auditing Viewer?action=AUDIT_VALUE&amp;DB=129&amp;ID1=045449&amp;VALUEID=02001&amp;SDATE=2011&amp;PERIODTYPE=ANN_STD&amp;SCFT=3&amp;window=popup_no_bar&amp;width=385&amp;height=120&amp;START_MAXIMIZED=FALSE&amp;creator=factset&amp;display_string=Audit"}</definedName>
    <definedName name="_610__FDSAUDITLINK__" localSheetId="4"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0__FDSAUDITLINK__" localSheetId="5"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0__FDSAUDITLINK__" localSheetId="3"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0__FDSAUDITLINK__" localSheetId="1"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0__FDSAUDITLINK__"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1__FDSAUDITLINK__" localSheetId="4"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1__FDSAUDITLINK__" localSheetId="5"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1__FDSAUDITLINK__" localSheetId="3"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1__FDSAUDITLINK__" localSheetId="1"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1__FDSAUDITLINK__"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2__FDSAUDITLINK__" localSheetId="4"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2__FDSAUDITLINK__" localSheetId="5"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2__FDSAUDITLINK__" localSheetId="3"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2__FDSAUDITLINK__" localSheetId="1"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2__FDSAUDITLINK__"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3__FDSAUDITLINK__" localSheetId="4"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3__FDSAUDITLINK__" localSheetId="5"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3__FDSAUDITLINK__" localSheetId="3"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3__FDSAUDITLINK__" localSheetId="1"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3__FDSAUDITLINK__"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4__FDSAUDITLINK__" localSheetId="4"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4__FDSAUDITLINK__" localSheetId="5"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4__FDSAUDITLINK__" localSheetId="3"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4__FDSAUDITLINK__" localSheetId="1"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4__FDSAUDITLINK__"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5__FDSAUDITLINK__" localSheetId="4"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5__FDSAUDITLINK__" localSheetId="5"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5__FDSAUDITLINK__" localSheetId="3"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5__FDSAUDITLINK__" localSheetId="1"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5__FDSAUDITLINK__"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6__FDSAUDITLINK__" localSheetId="4"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6__FDSAUDITLINK__" localSheetId="5"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6__FDSAUDITLINK__" localSheetId="3"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6__FDSAUDITLINK__" localSheetId="1"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6__FDSAUDITLINK__"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7__FDSAUDITLINK__" localSheetId="4"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7__FDSAUDITLINK__" localSheetId="5"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7__FDSAUDITLINK__" localSheetId="3"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7__FDSAUDITLINK__" localSheetId="1"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7__FDSAUDITLINK__"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8__FDSAUDITLINK__" localSheetId="4"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8__FDSAUDITLINK__" localSheetId="5"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8__FDSAUDITLINK__" localSheetId="3"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8__FDSAUDITLINK__" localSheetId="1"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8__FDSAUDITLINK__"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9__FDSAUDITLINK__" localSheetId="4"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19__FDSAUDITLINK__" localSheetId="5"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19__FDSAUDITLINK__" localSheetId="3"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19__FDSAUDITLINK__" localSheetId="1"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19__FDSAUDITLINK__"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2__FDSAUDITLINK__" localSheetId="4"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__FDSAUDITLINK__" localSheetId="5"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__FDSAUDITLINK__" localSheetId="3"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__FDSAUDITLINK__" localSheetId="1"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__FDSAUDITLINK__"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0__FDSAUDITLINK__" localSheetId="4"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0__FDSAUDITLINK__" localSheetId="5"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0__FDSAUDITLINK__" localSheetId="3"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0__FDSAUDITLINK__" localSheetId="1"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0__FDSAUDITLINK__"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1__FDSAUDITLINK__" localSheetId="4"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1__FDSAUDITLINK__" localSheetId="5"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1__FDSAUDITLINK__" localSheetId="3"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1__FDSAUDITLINK__" localSheetId="1"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1__FDSAUDITLINK__"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2__FDSAUDITLINK__" localSheetId="4"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2__FDSAUDITLINK__" localSheetId="5"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2__FDSAUDITLINK__" localSheetId="3"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2__FDSAUDITLINK__" localSheetId="1"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2__FDSAUDITLINK__"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3__FDSAUDITLINK__" localSheetId="4"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3__FDSAUDITLINK__" localSheetId="5"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3__FDSAUDITLINK__" localSheetId="3"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3__FDSAUDITLINK__" localSheetId="1"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3__FDSAUDITLINK__"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4__FDSAUDITLINK__" localSheetId="4"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4__FDSAUDITLINK__" localSheetId="5"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4__FDSAUDITLINK__" localSheetId="3"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4__FDSAUDITLINK__" localSheetId="1"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4__FDSAUDITLINK__"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5__FDSAUDITLINK__" localSheetId="4"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5__FDSAUDITLINK__" localSheetId="5"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5__FDSAUDITLINK__" localSheetId="3"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5__FDSAUDITLINK__" localSheetId="1"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5__FDSAUDITLINK__"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6__FDSAUDITLINK__" localSheetId="4"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6__FDSAUDITLINK__" localSheetId="5"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6__FDSAUDITLINK__" localSheetId="3"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6__FDSAUDITLINK__" localSheetId="1"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6__FDSAUDITLINK__"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7__FDSAUDITLINK__" localSheetId="4"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7__FDSAUDITLINK__" localSheetId="5"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7__FDSAUDITLINK__" localSheetId="3"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7__FDSAUDITLINK__" localSheetId="1"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7__FDSAUDITLINK__"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8__FDSAUDITLINK__" localSheetId="4"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8__FDSAUDITLINK__" localSheetId="5"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8__FDSAUDITLINK__" localSheetId="3"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8__FDSAUDITLINK__" localSheetId="1"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8__FDSAUDITLINK__"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9__FDSAUDITLINK__" localSheetId="4"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29__FDSAUDITLINK__" localSheetId="5"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29__FDSAUDITLINK__" localSheetId="3"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29__FDSAUDITLINK__" localSheetId="1"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29__FDSAUDITLINK__"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3__FDSAUDITLINK__" localSheetId="4"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__FDSAUDITLINK__" localSheetId="5"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__FDSAUDITLINK__" localSheetId="3"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__FDSAUDITLINK__" localSheetId="1"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__FDSAUDITLINK__"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0__FDSAUDITLINK__" localSheetId="4"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0__FDSAUDITLINK__" localSheetId="5"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0__FDSAUDITLINK__" localSheetId="3"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0__FDSAUDITLINK__" localSheetId="1"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0__FDSAUDITLINK__"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1__FDSAUDITLINK__" localSheetId="4"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1__FDSAUDITLINK__" localSheetId="5"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1__FDSAUDITLINK__" localSheetId="3"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1__FDSAUDITLINK__" localSheetId="1"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1__FDSAUDITLINK__"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2__FDSAUDITLINK__" localSheetId="4"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2__FDSAUDITLINK__" localSheetId="5"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2__FDSAUDITLINK__" localSheetId="3"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2__FDSAUDITLINK__" localSheetId="1"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2__FDSAUDITLINK__"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3__FDSAUDITLINK__" localSheetId="4"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3__FDSAUDITLINK__" localSheetId="5"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3__FDSAUDITLINK__" localSheetId="3"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3__FDSAUDITLINK__" localSheetId="1"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3__FDSAUDITLINK__"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4__FDSAUDITLINK__" localSheetId="4"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4__FDSAUDITLINK__" localSheetId="5"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4__FDSAUDITLINK__" localSheetId="3"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4__FDSAUDITLINK__" localSheetId="1"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4__FDSAUDITLINK__"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5__FDSAUDITLINK__" localSheetId="4"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5__FDSAUDITLINK__" localSheetId="5"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5__FDSAUDITLINK__" localSheetId="3"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5__FDSAUDITLINK__" localSheetId="1"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5__FDSAUDITLINK__"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6__FDSAUDITLINK__" localSheetId="4"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6__FDSAUDITLINK__" localSheetId="5"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6__FDSAUDITLINK__" localSheetId="3"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6__FDSAUDITLINK__" localSheetId="1"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6__FDSAUDITLINK__"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7__FDSAUDITLINK__" localSheetId="4"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7__FDSAUDITLINK__" localSheetId="5"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7__FDSAUDITLINK__" localSheetId="3"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7__FDSAUDITLINK__" localSheetId="1"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7__FDSAUDITLINK__"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8__FDSAUDITLINK__" localSheetId="4"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8__FDSAUDITLINK__" localSheetId="5"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8__FDSAUDITLINK__" localSheetId="3"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8__FDSAUDITLINK__" localSheetId="1"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8__FDSAUDITLINK__"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9__FDSAUDITLINK__" localSheetId="4"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39__FDSAUDITLINK__" localSheetId="5"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39__FDSAUDITLINK__" localSheetId="3"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39__FDSAUDITLINK__" localSheetId="1"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39__FDSAUDITLINK__"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4__FDSAUDITLINK__" localSheetId="4"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__FDSAUDITLINK__" localSheetId="5"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__FDSAUDITLINK__" localSheetId="3"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__FDSAUDITLINK__" localSheetId="1"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__FDSAUDITLINK__"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0__FDSAUDITLINK__" localSheetId="4"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0__FDSAUDITLINK__" localSheetId="5"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0__FDSAUDITLINK__" localSheetId="3"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0__FDSAUDITLINK__" localSheetId="1"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0__FDSAUDITLINK__"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1__FDSAUDITLINK__" localSheetId="4"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1__FDSAUDITLINK__" localSheetId="5"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1__FDSAUDITLINK__" localSheetId="3"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1__FDSAUDITLINK__" localSheetId="1"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1__FDSAUDITLINK__"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2__FDSAUDITLINK__" localSheetId="4"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2__FDSAUDITLINK__" localSheetId="5"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2__FDSAUDITLINK__" localSheetId="3"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2__FDSAUDITLINK__" localSheetId="1"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2__FDSAUDITLINK__"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3__FDSAUDITLINK__" localSheetId="4"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3__FDSAUDITLINK__" localSheetId="5"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3__FDSAUDITLINK__" localSheetId="3"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3__FDSAUDITLINK__" localSheetId="1"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3__FDSAUDITLINK__"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4__FDSAUDITLINK__" localSheetId="4"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4__FDSAUDITLINK__" localSheetId="5"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4__FDSAUDITLINK__" localSheetId="3"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4__FDSAUDITLINK__" localSheetId="1"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4__FDSAUDITLINK__"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5__FDSAUDITLINK__" localSheetId="4"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5__FDSAUDITLINK__" localSheetId="5"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5__FDSAUDITLINK__" localSheetId="3"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5__FDSAUDITLINK__" localSheetId="1"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5__FDSAUDITLINK__"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6__FDSAUDITLINK__" localSheetId="4"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6__FDSAUDITLINK__" localSheetId="5"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6__FDSAUDITLINK__" localSheetId="3"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6__FDSAUDITLINK__" localSheetId="1"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6__FDSAUDITLINK__"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7__FDSAUDITLINK__" localSheetId="4"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7__FDSAUDITLINK__" localSheetId="5"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7__FDSAUDITLINK__" localSheetId="3"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7__FDSAUDITLINK__" localSheetId="1"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7__FDSAUDITLINK__"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8__FDSAUDITLINK__" localSheetId="4"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8__FDSAUDITLINK__" localSheetId="5"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8__FDSAUDITLINK__" localSheetId="3"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8__FDSAUDITLINK__" localSheetId="1"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8__FDSAUDITLINK__"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9__FDSAUDITLINK__" localSheetId="4"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49__FDSAUDITLINK__" localSheetId="5"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49__FDSAUDITLINK__" localSheetId="3"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49__FDSAUDITLINK__" localSheetId="1"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49__FDSAUDITLINK__"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5__FDSAUDITLINK__" localSheetId="4"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__FDSAUDITLINK__" localSheetId="5"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__FDSAUDITLINK__" localSheetId="3"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__FDSAUDITLINK__" localSheetId="1"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__FDSAUDITLINK__"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0__FDSAUDITLINK__" localSheetId="4"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0__FDSAUDITLINK__" localSheetId="5"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0__FDSAUDITLINK__" localSheetId="3"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0__FDSAUDITLINK__" localSheetId="1"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0__FDSAUDITLINK__"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1__FDSAUDITLINK__" localSheetId="4"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1__FDSAUDITLINK__" localSheetId="5"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1__FDSAUDITLINK__" localSheetId="3"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1__FDSAUDITLINK__" localSheetId="1"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1__FDSAUDITLINK__"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2__FDSAUDITLINK__" localSheetId="4"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2__FDSAUDITLINK__" localSheetId="5"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2__FDSAUDITLINK__" localSheetId="3"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2__FDSAUDITLINK__" localSheetId="1"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2__FDSAUDITLINK__"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3__FDSAUDITLINK__" localSheetId="4"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3__FDSAUDITLINK__" localSheetId="5"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3__FDSAUDITLINK__" localSheetId="3"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3__FDSAUDITLINK__" localSheetId="1"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3__FDSAUDITLINK__"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4__FDSAUDITLINK__" localSheetId="4"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4__FDSAUDITLINK__" localSheetId="5"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4__FDSAUDITLINK__" localSheetId="3"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4__FDSAUDITLINK__" localSheetId="1"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4__FDSAUDITLINK__"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5__FDSAUDITLINK__" localSheetId="4"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5__FDSAUDITLINK__" localSheetId="5"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5__FDSAUDITLINK__" localSheetId="3"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5__FDSAUDITLINK__" localSheetId="1"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5__FDSAUDITLINK__"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6__FDSAUDITLINK__" localSheetId="4"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6__FDSAUDITLINK__" localSheetId="5"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6__FDSAUDITLINK__" localSheetId="3"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6__FDSAUDITLINK__" localSheetId="1"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6__FDSAUDITLINK__"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7__FDSAUDITLINK__" localSheetId="4"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7__FDSAUDITLINK__" localSheetId="5"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7__FDSAUDITLINK__" localSheetId="3"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7__FDSAUDITLINK__" localSheetId="1"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7__FDSAUDITLINK__"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8__FDSAUDITLINK__" localSheetId="4"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8__FDSAUDITLINK__" localSheetId="5"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8__FDSAUDITLINK__" localSheetId="3"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8__FDSAUDITLINK__" localSheetId="1"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8__FDSAUDITLINK__"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9__FDSAUDITLINK__" localSheetId="4"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59__FDSAUDITLINK__" localSheetId="5"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59__FDSAUDITLINK__" localSheetId="3"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59__FDSAUDITLINK__" localSheetId="1"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59__FDSAUDITLINK__"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6__FDSAUDITLINK__" localSheetId="4"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__FDSAUDITLINK__" localSheetId="5"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__FDSAUDITLINK__" localSheetId="3"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__FDSAUDITLINK__" localSheetId="1"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__FDSAUDITLINK__"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0__FDSAUDITLINK__" localSheetId="4"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0__FDSAUDITLINK__" localSheetId="5"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0__FDSAUDITLINK__" localSheetId="3"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0__FDSAUDITLINK__" localSheetId="1"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0__FDSAUDITLINK__"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1__FDSAUDITLINK__" localSheetId="4"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1__FDSAUDITLINK__" localSheetId="5"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1__FDSAUDITLINK__" localSheetId="3"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1__FDSAUDITLINK__" localSheetId="1"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1__FDSAUDITLINK__"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2__FDSAUDITLINK__" localSheetId="4"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2__FDSAUDITLINK__" localSheetId="5"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2__FDSAUDITLINK__" localSheetId="3"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2__FDSAUDITLINK__" localSheetId="1"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2__FDSAUDITLINK__"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3__FDSAUDITLINK__" localSheetId="4"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3__FDSAUDITLINK__" localSheetId="5"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3__FDSAUDITLINK__" localSheetId="3"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3__FDSAUDITLINK__" localSheetId="1"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3__FDSAUDITLINK__"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4__FDSAUDITLINK__" localSheetId="4"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4__FDSAUDITLINK__" localSheetId="5"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4__FDSAUDITLINK__" localSheetId="3"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4__FDSAUDITLINK__" localSheetId="1"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4__FDSAUDITLINK__"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5__FDSAUDITLINK__" localSheetId="4"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5__FDSAUDITLINK__" localSheetId="5"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5__FDSAUDITLINK__" localSheetId="3"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5__FDSAUDITLINK__" localSheetId="1"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5__FDSAUDITLINK__"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6__FDSAUDITLINK__" localSheetId="4"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6__FDSAUDITLINK__" localSheetId="5"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6__FDSAUDITLINK__" localSheetId="3"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6__FDSAUDITLINK__" localSheetId="1"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6__FDSAUDITLINK__"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7__FDSAUDITLINK__" localSheetId="4"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7__FDSAUDITLINK__" localSheetId="5"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7__FDSAUDITLINK__" localSheetId="3"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7__FDSAUDITLINK__" localSheetId="1"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7__FDSAUDITLINK__"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8__FDSAUDITLINK__" localSheetId="4"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8__FDSAUDITLINK__" localSheetId="5"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8__FDSAUDITLINK__" localSheetId="3"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8__FDSAUDITLINK__" localSheetId="1"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8__FDSAUDITLINK__"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9__FDSAUDITLINK__" localSheetId="4"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69__FDSAUDITLINK__" localSheetId="5"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69__FDSAUDITLINK__" localSheetId="3"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69__FDSAUDITLINK__" localSheetId="1"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69__FDSAUDITLINK__"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7__FDSAUDITLINK__" localSheetId="4"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__FDSAUDITLINK__" localSheetId="5"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__FDSAUDITLINK__" localSheetId="3"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__FDSAUDITLINK__" localSheetId="1"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__FDSAUDITLINK__"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0__FDSAUDITLINK__" localSheetId="4"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0__FDSAUDITLINK__" localSheetId="5"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0__FDSAUDITLINK__" localSheetId="3"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0__FDSAUDITLINK__" localSheetId="1"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0__FDSAUDITLINK__"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1__FDSAUDITLINK__" localSheetId="4"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1__FDSAUDITLINK__" localSheetId="5"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1__FDSAUDITLINK__" localSheetId="3"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1__FDSAUDITLINK__" localSheetId="1"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1__FDSAUDITLINK__"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2__FDSAUDITLINK__" localSheetId="4"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2__FDSAUDITLINK__" localSheetId="5"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2__FDSAUDITLINK__" localSheetId="3"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2__FDSAUDITLINK__" localSheetId="1"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2__FDSAUDITLINK__"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3__FDSAUDITLINK__" localSheetId="4"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3__FDSAUDITLINK__" localSheetId="5"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3__FDSAUDITLINK__" localSheetId="3"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3__FDSAUDITLINK__" localSheetId="1"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3__FDSAUDITLINK__"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4__FDSAUDITLINK__" localSheetId="4"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4__FDSAUDITLINK__" localSheetId="5"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4__FDSAUDITLINK__" localSheetId="3"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4__FDSAUDITLINK__" localSheetId="1"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4__FDSAUDITLINK__"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5__FDSAUDITLINK__" localSheetId="4"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5__FDSAUDITLINK__" localSheetId="5"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5__FDSAUDITLINK__" localSheetId="3"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5__FDSAUDITLINK__" localSheetId="1"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5__FDSAUDITLINK__"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6__FDSAUDITLINK__" localSheetId="4"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6__FDSAUDITLINK__" localSheetId="5"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6__FDSAUDITLINK__" localSheetId="3"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6__FDSAUDITLINK__" localSheetId="1"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6__FDSAUDITLINK__"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7__FDSAUDITLINK__" localSheetId="4"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7__FDSAUDITLINK__" localSheetId="5"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7__FDSAUDITLINK__" localSheetId="3"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7__FDSAUDITLINK__" localSheetId="1"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7__FDSAUDITLINK__"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8__FDSAUDITLINK__" localSheetId="4"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8__FDSAUDITLINK__" localSheetId="5"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8__FDSAUDITLINK__" localSheetId="3"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8__FDSAUDITLINK__" localSheetId="1"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8__FDSAUDITLINK__"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9__FDSAUDITLINK__" localSheetId="4"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79__FDSAUDITLINK__" localSheetId="5"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79__FDSAUDITLINK__" localSheetId="3"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79__FDSAUDITLINK__" localSheetId="1"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79__FDSAUDITLINK__"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8__FDSAUDITLINK__" localSheetId="4"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__FDSAUDITLINK__" localSheetId="5"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__FDSAUDITLINK__" localSheetId="3"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__FDSAUDITLINK__" localSheetId="1"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__FDSAUDITLINK__"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0__FDSAUDITLINK__" localSheetId="4"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0__FDSAUDITLINK__" localSheetId="5"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0__FDSAUDITLINK__" localSheetId="3"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0__FDSAUDITLINK__" localSheetId="1"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0__FDSAUDITLINK__"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1__FDSAUDITLINK__" localSheetId="4"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1__FDSAUDITLINK__" localSheetId="5"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1__FDSAUDITLINK__" localSheetId="3"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1__FDSAUDITLINK__" localSheetId="1"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1__FDSAUDITLINK__"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2__FDSAUDITLINK__" localSheetId="4"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2__FDSAUDITLINK__" localSheetId="5"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2__FDSAUDITLINK__" localSheetId="3"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2__FDSAUDITLINK__" localSheetId="1"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2__FDSAUDITLINK__"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3__FDSAUDITLINK__" localSheetId="4"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3__FDSAUDITLINK__" localSheetId="5"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3__FDSAUDITLINK__" localSheetId="3"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3__FDSAUDITLINK__" localSheetId="1"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3__FDSAUDITLINK__"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4__FDSAUDITLINK__" localSheetId="4"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4__FDSAUDITLINK__" localSheetId="5"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4__FDSAUDITLINK__" localSheetId="3"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4__FDSAUDITLINK__" localSheetId="1"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4__FDSAUDITLINK__"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5__FDSAUDITLINK__" localSheetId="4"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5__FDSAUDITLINK__" localSheetId="5"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5__FDSAUDITLINK__" localSheetId="3"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5__FDSAUDITLINK__" localSheetId="1"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5__FDSAUDITLINK__"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6__FDSAUDITLINK__" localSheetId="4"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6__FDSAUDITLINK__" localSheetId="5"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6__FDSAUDITLINK__" localSheetId="3"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6__FDSAUDITLINK__" localSheetId="1"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6__FDSAUDITLINK__"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7__FDSAUDITLINK__" localSheetId="4"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7__FDSAUDITLINK__" localSheetId="5"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7__FDSAUDITLINK__" localSheetId="3"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7__FDSAUDITLINK__" localSheetId="1"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7__FDSAUDITLINK__"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8__FDSAUDITLINK__" localSheetId="4"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8__FDSAUDITLINK__" localSheetId="5"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8__FDSAUDITLINK__" localSheetId="3"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8__FDSAUDITLINK__" localSheetId="1"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8__FDSAUDITLINK__"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9__FDSAUDITLINK__" localSheetId="4"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89__FDSAUDITLINK__" localSheetId="5"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89__FDSAUDITLINK__" localSheetId="3"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89__FDSAUDITLINK__" localSheetId="1"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89__FDSAUDITLINK__"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9__FDSAUDITLINK__" localSheetId="4"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__FDSAUDITLINK__" localSheetId="5"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__FDSAUDITLINK__" localSheetId="3"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__FDSAUDITLINK__" localSheetId="1"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__FDSAUDITLINK__"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0__FDSAUDITLINK__" localSheetId="4"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0__FDSAUDITLINK__" localSheetId="5"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0__FDSAUDITLINK__" localSheetId="3"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0__FDSAUDITLINK__" localSheetId="1"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0__FDSAUDITLINK__"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1__FDSAUDITLINK__" localSheetId="4"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1__FDSAUDITLINK__" localSheetId="5"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1__FDSAUDITLINK__" localSheetId="3"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1__FDSAUDITLINK__" localSheetId="1"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1__FDSAUDITLINK__"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2__FDSAUDITLINK__" localSheetId="4"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2__FDSAUDITLINK__" localSheetId="5"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2__FDSAUDITLINK__" localSheetId="3"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2__FDSAUDITLINK__" localSheetId="1"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2__FDSAUDITLINK__"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3__FDSAUDITLINK__" localSheetId="4"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3__FDSAUDITLINK__" localSheetId="5"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3__FDSAUDITLINK__" localSheetId="3"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3__FDSAUDITLINK__" localSheetId="1"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3__FDSAUDITLINK__"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4__FDSAUDITLINK__" localSheetId="4"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4__FDSAUDITLINK__" localSheetId="5"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4__FDSAUDITLINK__" localSheetId="3"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4__FDSAUDITLINK__" localSheetId="1"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4__FDSAUDITLINK__"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5__FDSAUDITLINK__" localSheetId="4"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5__FDSAUDITLINK__" localSheetId="5"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5__FDSAUDITLINK__" localSheetId="3"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5__FDSAUDITLINK__" localSheetId="1"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5__FDSAUDITLINK__"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6__FDSAUDITLINK__" localSheetId="4"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6__FDSAUDITLINK__" localSheetId="5"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6__FDSAUDITLINK__" localSheetId="3"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6__FDSAUDITLINK__" localSheetId="1"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6__FDSAUDITLINK__"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7__FDSAUDITLINK__" localSheetId="4"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7__FDSAUDITLINK__" localSheetId="5"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7__FDSAUDITLINK__" localSheetId="3"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7__FDSAUDITLINK__" localSheetId="1"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7__FDSAUDITLINK__"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8__FDSAUDITLINK__" localSheetId="4"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8__FDSAUDITLINK__" localSheetId="5"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8__FDSAUDITLINK__" localSheetId="3"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8__FDSAUDITLINK__" localSheetId="1"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8__FDSAUDITLINK__"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9__FDSAUDITLINK__" localSheetId="4"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699__FDSAUDITLINK__" localSheetId="5"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699__FDSAUDITLINK__" localSheetId="3"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699__FDSAUDITLINK__" localSheetId="1"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699__FDSAUDITLINK__"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7__FDSAUDITLINK__" localSheetId="4"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__FDSAUDITLINK__" localSheetId="5"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__FDSAUDITLINK__" localSheetId="3"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__FDSAUDITLINK__" localSheetId="1"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__FDSAUDITLINK__"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0__FDSAUDITLINK__" localSheetId="4"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__FDSAUDITLINK__" localSheetId="5"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__FDSAUDITLINK__" localSheetId="3"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__FDSAUDITLINK__" localSheetId="1"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__FDSAUDITLINK__"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0__FDSAUDITLINK__" localSheetId="4"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0__FDSAUDITLINK__" localSheetId="5"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0__FDSAUDITLINK__" localSheetId="3"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0__FDSAUDITLINK__" localSheetId="1"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0__FDSAUDITLINK__"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1__FDSAUDITLINK__" localSheetId="4"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1__FDSAUDITLINK__" localSheetId="5"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1__FDSAUDITLINK__" localSheetId="3"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1__FDSAUDITLINK__" localSheetId="1"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1__FDSAUDITLINK__"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2__FDSAUDITLINK__" localSheetId="4"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2__FDSAUDITLINK__" localSheetId="5"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2__FDSAUDITLINK__" localSheetId="3"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2__FDSAUDITLINK__" localSheetId="1"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2__FDSAUDITLINK__"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3__FDSAUDITLINK__" localSheetId="4"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3__FDSAUDITLINK__" localSheetId="5"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3__FDSAUDITLINK__" localSheetId="3"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3__FDSAUDITLINK__" localSheetId="1"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3__FDSAUDITLINK__"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4__FDSAUDITLINK__" localSheetId="4"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4__FDSAUDITLINK__" localSheetId="5"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4__FDSAUDITLINK__" localSheetId="3"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4__FDSAUDITLINK__" localSheetId="1"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4__FDSAUDITLINK__"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5__FDSAUDITLINK__" localSheetId="4"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5__FDSAUDITLINK__" localSheetId="5"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5__FDSAUDITLINK__" localSheetId="3"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5__FDSAUDITLINK__" localSheetId="1"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5__FDSAUDITLINK__"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6__FDSAUDITLINK__" localSheetId="4"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6__FDSAUDITLINK__" localSheetId="5"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6__FDSAUDITLINK__" localSheetId="3"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6__FDSAUDITLINK__" localSheetId="1"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6__FDSAUDITLINK__"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7__FDSAUDITLINK__" localSheetId="4"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7__FDSAUDITLINK__" localSheetId="5"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7__FDSAUDITLINK__" localSheetId="3"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7__FDSAUDITLINK__" localSheetId="1"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7__FDSAUDITLINK__"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8__FDSAUDITLINK__" localSheetId="4"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8__FDSAUDITLINK__" localSheetId="5"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8__FDSAUDITLINK__" localSheetId="3"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8__FDSAUDITLINK__" localSheetId="1"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8__FDSAUDITLINK__"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9__FDSAUDITLINK__" localSheetId="4"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09__FDSAUDITLINK__" localSheetId="5"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09__FDSAUDITLINK__" localSheetId="3"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09__FDSAUDITLINK__" localSheetId="1"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09__FDSAUDITLINK__"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1__FDSAUDITLINK__" localSheetId="4"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__FDSAUDITLINK__" localSheetId="5"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__FDSAUDITLINK__" localSheetId="3"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__FDSAUDITLINK__" localSheetId="1"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__FDSAUDITLINK__"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0__FDSAUDITLINK__" localSheetId="4"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0__FDSAUDITLINK__" localSheetId="5"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0__FDSAUDITLINK__" localSheetId="3"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0__FDSAUDITLINK__" localSheetId="1"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0__FDSAUDITLINK__"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1__FDSAUDITLINK__" localSheetId="4"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1__FDSAUDITLINK__" localSheetId="5"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1__FDSAUDITLINK__" localSheetId="3"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1__FDSAUDITLINK__" localSheetId="1"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1__FDSAUDITLINK__"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2__FDSAUDITLINK__" localSheetId="4"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2__FDSAUDITLINK__" localSheetId="5"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2__FDSAUDITLINK__" localSheetId="3"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2__FDSAUDITLINK__" localSheetId="1"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2__FDSAUDITLINK__"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3__FDSAUDITLINK__" localSheetId="4"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3__FDSAUDITLINK__" localSheetId="5"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3__FDSAUDITLINK__" localSheetId="3"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3__FDSAUDITLINK__" localSheetId="1"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3__FDSAUDITLINK__"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4__FDSAUDITLINK__" localSheetId="4"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4__FDSAUDITLINK__" localSheetId="5"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4__FDSAUDITLINK__" localSheetId="3"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4__FDSAUDITLINK__" localSheetId="1"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4__FDSAUDITLINK__"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5__FDSAUDITLINK__" localSheetId="4"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5__FDSAUDITLINK__" localSheetId="5"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5__FDSAUDITLINK__" localSheetId="3"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5__FDSAUDITLINK__" localSheetId="1"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5__FDSAUDITLINK__"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6__FDSAUDITLINK__" localSheetId="4"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6__FDSAUDITLINK__" localSheetId="5"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6__FDSAUDITLINK__" localSheetId="3"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6__FDSAUDITLINK__" localSheetId="1"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6__FDSAUDITLINK__"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7__FDSAUDITLINK__" localSheetId="4"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7__FDSAUDITLINK__" localSheetId="5"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7__FDSAUDITLINK__" localSheetId="3"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7__FDSAUDITLINK__" localSheetId="1"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7__FDSAUDITLINK__"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8__FDSAUDITLINK__" localSheetId="4"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8__FDSAUDITLINK__" localSheetId="5"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8__FDSAUDITLINK__" localSheetId="3"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8__FDSAUDITLINK__" localSheetId="1"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8__FDSAUDITLINK__"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9__FDSAUDITLINK__" localSheetId="4"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19__FDSAUDITLINK__" localSheetId="5"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19__FDSAUDITLINK__" localSheetId="3"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19__FDSAUDITLINK__" localSheetId="1"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19__FDSAUDITLINK__"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2__FDSAUDITLINK__" localSheetId="4"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__FDSAUDITLINK__" localSheetId="5"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__FDSAUDITLINK__" localSheetId="3"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__FDSAUDITLINK__" localSheetId="1"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__FDSAUDITLINK__"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0__FDSAUDITLINK__" localSheetId="4"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0__FDSAUDITLINK__" localSheetId="5"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0__FDSAUDITLINK__" localSheetId="3"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0__FDSAUDITLINK__" localSheetId="1"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0__FDSAUDITLINK__"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1__FDSAUDITLINK__" localSheetId="4"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1__FDSAUDITLINK__" localSheetId="5"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1__FDSAUDITLINK__" localSheetId="3"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1__FDSAUDITLINK__" localSheetId="1"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1__FDSAUDITLINK__"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2__FDSAUDITLINK__" localSheetId="4"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2__FDSAUDITLINK__" localSheetId="5"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2__FDSAUDITLINK__" localSheetId="3"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2__FDSAUDITLINK__" localSheetId="1"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2__FDSAUDITLINK__"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3__FDSAUDITLINK__" localSheetId="4"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3__FDSAUDITLINK__" localSheetId="5"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3__FDSAUDITLINK__" localSheetId="3"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3__FDSAUDITLINK__" localSheetId="1"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3__FDSAUDITLINK__"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4__FDSAUDITLINK__" localSheetId="4"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4__FDSAUDITLINK__" localSheetId="5"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4__FDSAUDITLINK__" localSheetId="3"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4__FDSAUDITLINK__" localSheetId="1"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4__FDSAUDITLINK__"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5__FDSAUDITLINK__" localSheetId="4"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5__FDSAUDITLINK__" localSheetId="5"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5__FDSAUDITLINK__" localSheetId="3"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5__FDSAUDITLINK__" localSheetId="1"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5__FDSAUDITLINK__"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6__FDSAUDITLINK__" localSheetId="4"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6__FDSAUDITLINK__" localSheetId="5"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6__FDSAUDITLINK__" localSheetId="3"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6__FDSAUDITLINK__" localSheetId="1"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6__FDSAUDITLINK__"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7__FDSAUDITLINK__" localSheetId="4"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7__FDSAUDITLINK__" localSheetId="5"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7__FDSAUDITLINK__" localSheetId="3"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7__FDSAUDITLINK__" localSheetId="1"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7__FDSAUDITLINK__"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8__FDSAUDITLINK__" localSheetId="4"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8__FDSAUDITLINK__" localSheetId="5"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8__FDSAUDITLINK__" localSheetId="3"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8__FDSAUDITLINK__" localSheetId="1"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8__FDSAUDITLINK__"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9__FDSAUDITLINK__" localSheetId="4"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29__FDSAUDITLINK__" localSheetId="5"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29__FDSAUDITLINK__" localSheetId="3"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29__FDSAUDITLINK__" localSheetId="1"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29__FDSAUDITLINK__"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3__FDSAUDITLINK__" localSheetId="4"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__FDSAUDITLINK__" localSheetId="5"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__FDSAUDITLINK__" localSheetId="3"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__FDSAUDITLINK__" localSheetId="1"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__FDSAUDITLINK__"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0__FDSAUDITLINK__" localSheetId="4"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0__FDSAUDITLINK__" localSheetId="5"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0__FDSAUDITLINK__" localSheetId="3"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0__FDSAUDITLINK__" localSheetId="1"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0__FDSAUDITLINK__"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1__FDSAUDITLINK__" localSheetId="4"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1__FDSAUDITLINK__" localSheetId="5"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1__FDSAUDITLINK__" localSheetId="3"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1__FDSAUDITLINK__" localSheetId="1"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1__FDSAUDITLINK__"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2__FDSAUDITLINK__" localSheetId="4"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2__FDSAUDITLINK__" localSheetId="5"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2__FDSAUDITLINK__" localSheetId="3"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2__FDSAUDITLINK__" localSheetId="1"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2__FDSAUDITLINK__"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3__FDSAUDITLINK__" localSheetId="4"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3__FDSAUDITLINK__" localSheetId="5"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3__FDSAUDITLINK__" localSheetId="3"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3__FDSAUDITLINK__" localSheetId="1"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3__FDSAUDITLINK__"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4__FDSAUDITLINK__" localSheetId="4"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4__FDSAUDITLINK__" localSheetId="5"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4__FDSAUDITLINK__" localSheetId="3"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4__FDSAUDITLINK__" localSheetId="1"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4__FDSAUDITLINK__"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5__FDSAUDITLINK__" localSheetId="4"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5__FDSAUDITLINK__" localSheetId="5"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5__FDSAUDITLINK__" localSheetId="3"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5__FDSAUDITLINK__" localSheetId="1"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5__FDSAUDITLINK__"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6__FDSAUDITLINK__" localSheetId="4"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6__FDSAUDITLINK__" localSheetId="5"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6__FDSAUDITLINK__" localSheetId="3"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6__FDSAUDITLINK__" localSheetId="1"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6__FDSAUDITLINK__"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7__FDSAUDITLINK__" localSheetId="4"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7__FDSAUDITLINK__" localSheetId="5"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7__FDSAUDITLINK__" localSheetId="3"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7__FDSAUDITLINK__" localSheetId="1"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7__FDSAUDITLINK__"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8__FDSAUDITLINK__" localSheetId="4"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8__FDSAUDITLINK__" localSheetId="5"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8__FDSAUDITLINK__" localSheetId="3"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8__FDSAUDITLINK__" localSheetId="1"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8__FDSAUDITLINK__"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9__FDSAUDITLINK__" localSheetId="4"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39__FDSAUDITLINK__" localSheetId="5"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39__FDSAUDITLINK__" localSheetId="3"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39__FDSAUDITLINK__" localSheetId="1"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39__FDSAUDITLINK__"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4__FDSAUDITLINK__" localSheetId="4"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__FDSAUDITLINK__" localSheetId="5"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__FDSAUDITLINK__" localSheetId="3"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__FDSAUDITLINK__" localSheetId="1"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__FDSAUDITLINK__"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0__FDSAUDITLINK__" localSheetId="4"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0__FDSAUDITLINK__" localSheetId="5"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0__FDSAUDITLINK__" localSheetId="3"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0__FDSAUDITLINK__" localSheetId="1"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0__FDSAUDITLINK__"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1__FDSAUDITLINK__" localSheetId="4"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1__FDSAUDITLINK__" localSheetId="5"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1__FDSAUDITLINK__" localSheetId="3"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1__FDSAUDITLINK__" localSheetId="1"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1__FDSAUDITLINK__"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2__FDSAUDITLINK__" localSheetId="4"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2__FDSAUDITLINK__" localSheetId="5"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2__FDSAUDITLINK__" localSheetId="3"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2__FDSAUDITLINK__" localSheetId="1"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2__FDSAUDITLINK__"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3__FDSAUDITLINK__" localSheetId="4"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3__FDSAUDITLINK__" localSheetId="5"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3__FDSAUDITLINK__" localSheetId="3"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3__FDSAUDITLINK__" localSheetId="1"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3__FDSAUDITLINK__"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4__FDSAUDITLINK__" localSheetId="4"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4__FDSAUDITLINK__" localSheetId="5"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4__FDSAUDITLINK__" localSheetId="3"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4__FDSAUDITLINK__" localSheetId="1"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4__FDSAUDITLINK__"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5__FDSAUDITLINK__" localSheetId="4"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5__FDSAUDITLINK__" localSheetId="5"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5__FDSAUDITLINK__" localSheetId="3"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5__FDSAUDITLINK__" localSheetId="1"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5__FDSAUDITLINK__"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6__FDSAUDITLINK__" localSheetId="4"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6__FDSAUDITLINK__" localSheetId="5"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6__FDSAUDITLINK__" localSheetId="3"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6__FDSAUDITLINK__" localSheetId="1"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6__FDSAUDITLINK__"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7__FDSAUDITLINK__" localSheetId="4"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7__FDSAUDITLINK__" localSheetId="5"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7__FDSAUDITLINK__" localSheetId="3"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7__FDSAUDITLINK__" localSheetId="1"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7__FDSAUDITLINK__"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8__FDSAUDITLINK__" localSheetId="4"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8__FDSAUDITLINK__" localSheetId="5"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8__FDSAUDITLINK__" localSheetId="3"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8__FDSAUDITLINK__" localSheetId="1"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8__FDSAUDITLINK__"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9__FDSAUDITLINK__" localSheetId="4"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49__FDSAUDITLINK__" localSheetId="5"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49__FDSAUDITLINK__" localSheetId="3"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49__FDSAUDITLINK__" localSheetId="1"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49__FDSAUDITLINK__"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5__FDSAUDITLINK__" localSheetId="4"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__FDSAUDITLINK__" localSheetId="5"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__FDSAUDITLINK__" localSheetId="3"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__FDSAUDITLINK__" localSheetId="1"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__FDSAUDITLINK__"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0__FDSAUDITLINK__" localSheetId="4"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0__FDSAUDITLINK__" localSheetId="5"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0__FDSAUDITLINK__" localSheetId="3"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0__FDSAUDITLINK__" localSheetId="1"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0__FDSAUDITLINK__"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1__FDSAUDITLINK__" localSheetId="4"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1__FDSAUDITLINK__" localSheetId="5"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1__FDSAUDITLINK__" localSheetId="3"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1__FDSAUDITLINK__" localSheetId="1"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1__FDSAUDITLINK__"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2__FDSAUDITLINK__" localSheetId="4"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2__FDSAUDITLINK__" localSheetId="5"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2__FDSAUDITLINK__" localSheetId="3"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2__FDSAUDITLINK__" localSheetId="1"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2__FDSAUDITLINK__"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3__FDSAUDITLINK__" localSheetId="4"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3__FDSAUDITLINK__" localSheetId="5"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3__FDSAUDITLINK__" localSheetId="3"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3__FDSAUDITLINK__" localSheetId="1"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3__FDSAUDITLINK__"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4__FDSAUDITLINK__" localSheetId="4"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4__FDSAUDITLINK__" localSheetId="5"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4__FDSAUDITLINK__" localSheetId="3"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4__FDSAUDITLINK__" localSheetId="1"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4__FDSAUDITLINK__"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5__FDSAUDITLINK__" localSheetId="4"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5__FDSAUDITLINK__" localSheetId="5"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5__FDSAUDITLINK__" localSheetId="3"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5__FDSAUDITLINK__" localSheetId="1"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5__FDSAUDITLINK__"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6__FDSAUDITLINK__" localSheetId="4"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6__FDSAUDITLINK__" localSheetId="5"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6__FDSAUDITLINK__" localSheetId="3"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6__FDSAUDITLINK__" localSheetId="1"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6__FDSAUDITLINK__"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7__FDSAUDITLINK__" localSheetId="4"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7__FDSAUDITLINK__" localSheetId="5"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7__FDSAUDITLINK__" localSheetId="3"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7__FDSAUDITLINK__" localSheetId="1"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7__FDSAUDITLINK__"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8__FDSAUDITLINK__" localSheetId="4"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8__FDSAUDITLINK__" localSheetId="5"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8__FDSAUDITLINK__" localSheetId="3"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8__FDSAUDITLINK__" localSheetId="1"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8__FDSAUDITLINK__"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9__FDSAUDITLINK__" localSheetId="4"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59__FDSAUDITLINK__" localSheetId="5"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59__FDSAUDITLINK__" localSheetId="3"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59__FDSAUDITLINK__" localSheetId="1"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59__FDSAUDITLINK__"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6__FDSAUDITLINK__" localSheetId="4"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__FDSAUDITLINK__" localSheetId="5"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__FDSAUDITLINK__" localSheetId="3"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__FDSAUDITLINK__" localSheetId="1"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__FDSAUDITLINK__"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0__FDSAUDITLINK__" localSheetId="4"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0__FDSAUDITLINK__" localSheetId="5"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0__FDSAUDITLINK__" localSheetId="3"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0__FDSAUDITLINK__" localSheetId="1"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0__FDSAUDITLINK__"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1__FDSAUDITLINK__" localSheetId="4"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1__FDSAUDITLINK__" localSheetId="5"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1__FDSAUDITLINK__" localSheetId="3"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1__FDSAUDITLINK__" localSheetId="1"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1__FDSAUDITLINK__"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2__FDSAUDITLINK__" localSheetId="4"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2__FDSAUDITLINK__" localSheetId="5"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2__FDSAUDITLINK__" localSheetId="3"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2__FDSAUDITLINK__" localSheetId="1"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2__FDSAUDITLINK__"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3__FDSAUDITLINK__" localSheetId="4"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3__FDSAUDITLINK__" localSheetId="5"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3__FDSAUDITLINK__" localSheetId="3"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3__FDSAUDITLINK__" localSheetId="1"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3__FDSAUDITLINK__"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4__FDSAUDITLINK__" localSheetId="4"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4__FDSAUDITLINK__" localSheetId="5"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4__FDSAUDITLINK__" localSheetId="3"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4__FDSAUDITLINK__" localSheetId="1"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4__FDSAUDITLINK__"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5__FDSAUDITLINK__" localSheetId="4"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5__FDSAUDITLINK__" localSheetId="5"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5__FDSAUDITLINK__" localSheetId="3"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5__FDSAUDITLINK__" localSheetId="1"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5__FDSAUDITLINK__"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6__FDSAUDITLINK__" localSheetId="4"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6__FDSAUDITLINK__" localSheetId="5"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6__FDSAUDITLINK__" localSheetId="3"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6__FDSAUDITLINK__" localSheetId="1"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6__FDSAUDITLINK__"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7__FDSAUDITLINK__" localSheetId="4"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7__FDSAUDITLINK__" localSheetId="5"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7__FDSAUDITLINK__" localSheetId="3"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7__FDSAUDITLINK__" localSheetId="1"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7__FDSAUDITLINK__"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8__FDSAUDITLINK__" localSheetId="4"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8__FDSAUDITLINK__" localSheetId="5"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8__FDSAUDITLINK__" localSheetId="3"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8__FDSAUDITLINK__" localSheetId="1"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8__FDSAUDITLINK__"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9__FDSAUDITLINK__" localSheetId="4"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69__FDSAUDITLINK__" localSheetId="5"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69__FDSAUDITLINK__" localSheetId="3"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69__FDSAUDITLINK__" localSheetId="1"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69__FDSAUDITLINK__"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7__FDSAUDITLINK__" localSheetId="4"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__FDSAUDITLINK__" localSheetId="5"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__FDSAUDITLINK__" localSheetId="3"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__FDSAUDITLINK__" localSheetId="1"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__FDSAUDITLINK__"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0__FDSAUDITLINK__" localSheetId="4"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0__FDSAUDITLINK__" localSheetId="5"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0__FDSAUDITLINK__" localSheetId="3"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0__FDSAUDITLINK__" localSheetId="1"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0__FDSAUDITLINK__"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1__FDSAUDITLINK__" localSheetId="4"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1__FDSAUDITLINK__" localSheetId="5"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1__FDSAUDITLINK__" localSheetId="3"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1__FDSAUDITLINK__" localSheetId="1"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1__FDSAUDITLINK__"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2__FDSAUDITLINK__" localSheetId="4"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2__FDSAUDITLINK__" localSheetId="5"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2__FDSAUDITLINK__" localSheetId="3"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2__FDSAUDITLINK__" localSheetId="1"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2__FDSAUDITLINK__"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3__FDSAUDITLINK__" localSheetId="4"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3__FDSAUDITLINK__" localSheetId="5"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3__FDSAUDITLINK__" localSheetId="3"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3__FDSAUDITLINK__" localSheetId="1"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3__FDSAUDITLINK__"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4__FDSAUDITLINK__" localSheetId="4"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4__FDSAUDITLINK__" localSheetId="5"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4__FDSAUDITLINK__" localSheetId="3"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4__FDSAUDITLINK__" localSheetId="1"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4__FDSAUDITLINK__"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5__FDSAUDITLINK__" localSheetId="4"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5__FDSAUDITLINK__" localSheetId="5"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5__FDSAUDITLINK__" localSheetId="3"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5__FDSAUDITLINK__" localSheetId="1"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5__FDSAUDITLINK__"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6__FDSAUDITLINK__" localSheetId="4"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6__FDSAUDITLINK__" localSheetId="5"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6__FDSAUDITLINK__" localSheetId="3"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6__FDSAUDITLINK__" localSheetId="1"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6__FDSAUDITLINK__"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7__FDSAUDITLINK__" localSheetId="4"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7__FDSAUDITLINK__" localSheetId="5"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7__FDSAUDITLINK__" localSheetId="3"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7__FDSAUDITLINK__" localSheetId="1"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7__FDSAUDITLINK__"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8__FDSAUDITLINK__" localSheetId="4"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8__FDSAUDITLINK__" localSheetId="5"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8__FDSAUDITLINK__" localSheetId="3"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8__FDSAUDITLINK__" localSheetId="1"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8__FDSAUDITLINK__"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9__FDSAUDITLINK__" localSheetId="4"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79__FDSAUDITLINK__" localSheetId="5"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79__FDSAUDITLINK__" localSheetId="3"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79__FDSAUDITLINK__" localSheetId="1"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79__FDSAUDITLINK__"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8__FDSAUDITLINK__" localSheetId="4"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__FDSAUDITLINK__" localSheetId="5"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__FDSAUDITLINK__" localSheetId="3"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__FDSAUDITLINK__" localSheetId="1"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__FDSAUDITLINK__"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0__FDSAUDITLINK__" localSheetId="4"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0__FDSAUDITLINK__" localSheetId="5"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0__FDSAUDITLINK__" localSheetId="3"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0__FDSAUDITLINK__" localSheetId="1"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0__FDSAUDITLINK__"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1__FDSAUDITLINK__" localSheetId="4"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1__FDSAUDITLINK__" localSheetId="5"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1__FDSAUDITLINK__" localSheetId="3"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1__FDSAUDITLINK__" localSheetId="1"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1__FDSAUDITLINK__"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2__FDSAUDITLINK__" localSheetId="4"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2__FDSAUDITLINK__" localSheetId="5"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2__FDSAUDITLINK__" localSheetId="3"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2__FDSAUDITLINK__" localSheetId="1"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2__FDSAUDITLINK__"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3__FDSAUDITLINK__" localSheetId="4"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3__FDSAUDITLINK__" localSheetId="5"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3__FDSAUDITLINK__" localSheetId="3"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3__FDSAUDITLINK__" localSheetId="1"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3__FDSAUDITLINK__"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4__FDSAUDITLINK__" localSheetId="4"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4__FDSAUDITLINK__" localSheetId="5"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4__FDSAUDITLINK__" localSheetId="3"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4__FDSAUDITLINK__" localSheetId="1"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4__FDSAUDITLINK__"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5__FDSAUDITLINK__" localSheetId="4"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5__FDSAUDITLINK__" localSheetId="5"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5__FDSAUDITLINK__" localSheetId="3"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5__FDSAUDITLINK__" localSheetId="1"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5__FDSAUDITLINK__"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6__FDSAUDITLINK__" localSheetId="4"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6__FDSAUDITLINK__" localSheetId="5"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6__FDSAUDITLINK__" localSheetId="3"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6__FDSAUDITLINK__" localSheetId="1"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6__FDSAUDITLINK__"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7__FDSAUDITLINK__" localSheetId="4"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7__FDSAUDITLINK__" localSheetId="5"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7__FDSAUDITLINK__" localSheetId="3"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7__FDSAUDITLINK__" localSheetId="1"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7__FDSAUDITLINK__"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8__FDSAUDITLINK__" localSheetId="4"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8__FDSAUDITLINK__" localSheetId="5"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8__FDSAUDITLINK__" localSheetId="3"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8__FDSAUDITLINK__" localSheetId="1"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8__FDSAUDITLINK__"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9__FDSAUDITLINK__" localSheetId="4"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89__FDSAUDITLINK__" localSheetId="5"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89__FDSAUDITLINK__" localSheetId="3"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89__FDSAUDITLINK__" localSheetId="1"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89__FDSAUDITLINK__"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9__FDSAUDITLINK__" localSheetId="4"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__FDSAUDITLINK__" localSheetId="5"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__FDSAUDITLINK__" localSheetId="3"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__FDSAUDITLINK__" localSheetId="1"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__FDSAUDITLINK__"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0__FDSAUDITLINK__" localSheetId="4"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0__FDSAUDITLINK__" localSheetId="5"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0__FDSAUDITLINK__" localSheetId="3"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0__FDSAUDITLINK__" localSheetId="1"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0__FDSAUDITLINK__"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1__FDSAUDITLINK__" localSheetId="4"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1__FDSAUDITLINK__" localSheetId="5"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1__FDSAUDITLINK__" localSheetId="3"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1__FDSAUDITLINK__" localSheetId="1"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1__FDSAUDITLINK__"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2__FDSAUDITLINK__" localSheetId="4"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2__FDSAUDITLINK__" localSheetId="5"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2__FDSAUDITLINK__" localSheetId="3"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2__FDSAUDITLINK__" localSheetId="1"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2__FDSAUDITLINK__"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3__FDSAUDITLINK__" localSheetId="4"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3__FDSAUDITLINK__" localSheetId="5"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3__FDSAUDITLINK__" localSheetId="3"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3__FDSAUDITLINK__" localSheetId="1"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3__FDSAUDITLINK__"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4__FDSAUDITLINK__" localSheetId="4"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4__FDSAUDITLINK__" localSheetId="5"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4__FDSAUDITLINK__" localSheetId="3"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4__FDSAUDITLINK__" localSheetId="1"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4__FDSAUDITLINK__"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5__FDSAUDITLINK__" localSheetId="4"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5__FDSAUDITLINK__" localSheetId="5"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5__FDSAUDITLINK__" localSheetId="3"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5__FDSAUDITLINK__" localSheetId="1"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5__FDSAUDITLINK__"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6__FDSAUDITLINK__" localSheetId="4"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6__FDSAUDITLINK__" localSheetId="5"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6__FDSAUDITLINK__" localSheetId="3"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6__FDSAUDITLINK__" localSheetId="1"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6__FDSAUDITLINK__"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7__FDSAUDITLINK__" localSheetId="4"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7__FDSAUDITLINK__" localSheetId="5"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7__FDSAUDITLINK__" localSheetId="3"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7__FDSAUDITLINK__" localSheetId="1"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7__FDSAUDITLINK__"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8__FDSAUDITLINK__" localSheetId="4"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8__FDSAUDITLINK__" localSheetId="5"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8__FDSAUDITLINK__" localSheetId="3"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8__FDSAUDITLINK__" localSheetId="1"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8__FDSAUDITLINK__"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9__FDSAUDITLINK__" localSheetId="4"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799__FDSAUDITLINK__" localSheetId="5"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799__FDSAUDITLINK__" localSheetId="3"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799__FDSAUDITLINK__" localSheetId="1"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799__FDSAUDITLINK__"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8__FDSAUDITLINK__" localSheetId="4"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__FDSAUDITLINK__" localSheetId="5"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__FDSAUDITLINK__" localSheetId="3"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__FDSAUDITLINK__" localSheetId="1"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__FDSAUDITLINK__"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0__FDSAUDITLINK__" localSheetId="4"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__FDSAUDITLINK__" localSheetId="5"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__FDSAUDITLINK__" localSheetId="3"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__FDSAUDITLINK__" localSheetId="1"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__FDSAUDITLINK__"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0__FDSAUDITLINK__" localSheetId="4"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0__FDSAUDITLINK__" localSheetId="5"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0__FDSAUDITLINK__" localSheetId="3"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0__FDSAUDITLINK__" localSheetId="1"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0__FDSAUDITLINK__"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1__FDSAUDITLINK__" localSheetId="4"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1__FDSAUDITLINK__" localSheetId="5"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1__FDSAUDITLINK__" localSheetId="3"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1__FDSAUDITLINK__" localSheetId="1"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1__FDSAUDITLINK__"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2__FDSAUDITLINK__" localSheetId="4"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2__FDSAUDITLINK__" localSheetId="5"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2__FDSAUDITLINK__" localSheetId="3"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2__FDSAUDITLINK__" localSheetId="1"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2__FDSAUDITLINK__"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3__FDSAUDITLINK__" localSheetId="4"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3__FDSAUDITLINK__" localSheetId="5"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3__FDSAUDITLINK__" localSheetId="3"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3__FDSAUDITLINK__" localSheetId="1"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3__FDSAUDITLINK__"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4__FDSAUDITLINK__" localSheetId="4"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4__FDSAUDITLINK__" localSheetId="5"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4__FDSAUDITLINK__" localSheetId="3"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4__FDSAUDITLINK__" localSheetId="1"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4__FDSAUDITLINK__"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5__FDSAUDITLINK__" localSheetId="4"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5__FDSAUDITLINK__" localSheetId="5"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5__FDSAUDITLINK__" localSheetId="3"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5__FDSAUDITLINK__" localSheetId="1"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5__FDSAUDITLINK__"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6__FDSAUDITLINK__" localSheetId="4"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6__FDSAUDITLINK__" localSheetId="5"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6__FDSAUDITLINK__" localSheetId="3"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6__FDSAUDITLINK__" localSheetId="1"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6__FDSAUDITLINK__"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7__FDSAUDITLINK__" localSheetId="4"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7__FDSAUDITLINK__" localSheetId="5"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7__FDSAUDITLINK__" localSheetId="3"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7__FDSAUDITLINK__" localSheetId="1"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7__FDSAUDITLINK__"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8__FDSAUDITLINK__" localSheetId="4"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8__FDSAUDITLINK__" localSheetId="5"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8__FDSAUDITLINK__" localSheetId="3"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8__FDSAUDITLINK__" localSheetId="1"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8__FDSAUDITLINK__"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9__FDSAUDITLINK__" localSheetId="4"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09__FDSAUDITLINK__" localSheetId="5"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09__FDSAUDITLINK__" localSheetId="3"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09__FDSAUDITLINK__" localSheetId="1"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09__FDSAUDITLINK__"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1__FDSAUDITLINK__" localSheetId="4"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__FDSAUDITLINK__" localSheetId="5"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__FDSAUDITLINK__" localSheetId="3"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__FDSAUDITLINK__" localSheetId="1"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__FDSAUDITLINK__"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0__FDSAUDITLINK__" localSheetId="4"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0__FDSAUDITLINK__" localSheetId="5"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0__FDSAUDITLINK__" localSheetId="3"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0__FDSAUDITLINK__" localSheetId="1"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0__FDSAUDITLINK__"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1__FDSAUDITLINK__" localSheetId="4"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1__FDSAUDITLINK__" localSheetId="5"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1__FDSAUDITLINK__" localSheetId="3"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1__FDSAUDITLINK__" localSheetId="1"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1__FDSAUDITLINK__"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2__FDSAUDITLINK__" localSheetId="4"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2__FDSAUDITLINK__" localSheetId="5"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2__FDSAUDITLINK__" localSheetId="3"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2__FDSAUDITLINK__" localSheetId="1"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2__FDSAUDITLINK__"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3__FDSAUDITLINK__" localSheetId="4"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3__FDSAUDITLINK__" localSheetId="5"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3__FDSAUDITLINK__" localSheetId="3"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3__FDSAUDITLINK__" localSheetId="1"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3__FDSAUDITLINK__"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4__FDSAUDITLINK__" localSheetId="4"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4__FDSAUDITLINK__" localSheetId="5"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4__FDSAUDITLINK__" localSheetId="3"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4__FDSAUDITLINK__" localSheetId="1"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4__FDSAUDITLINK__"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5__FDSAUDITLINK__" localSheetId="4"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5__FDSAUDITLINK__" localSheetId="5"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5__FDSAUDITLINK__" localSheetId="3"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5__FDSAUDITLINK__" localSheetId="1"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5__FDSAUDITLINK__"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6__FDSAUDITLINK__" localSheetId="4"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6__FDSAUDITLINK__" localSheetId="5"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6__FDSAUDITLINK__" localSheetId="3"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6__FDSAUDITLINK__" localSheetId="1"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6__FDSAUDITLINK__"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7__FDSAUDITLINK__" localSheetId="4"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7__FDSAUDITLINK__" localSheetId="5"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7__FDSAUDITLINK__" localSheetId="3"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7__FDSAUDITLINK__" localSheetId="1"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7__FDSAUDITLINK__"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8__FDSAUDITLINK__" localSheetId="4"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8__FDSAUDITLINK__" localSheetId="5"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8__FDSAUDITLINK__" localSheetId="3"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8__FDSAUDITLINK__" localSheetId="1"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8__FDSAUDITLINK__"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9__FDSAUDITLINK__" localSheetId="4"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19__FDSAUDITLINK__" localSheetId="5"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19__FDSAUDITLINK__" localSheetId="3"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19__FDSAUDITLINK__" localSheetId="1"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19__FDSAUDITLINK__"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2__FDSAUDITLINK__" localSheetId="4"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__FDSAUDITLINK__" localSheetId="5"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__FDSAUDITLINK__" localSheetId="3"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__FDSAUDITLINK__" localSheetId="1"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__FDSAUDITLINK__"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0__FDSAUDITLINK__" localSheetId="4"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0__FDSAUDITLINK__" localSheetId="5"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0__FDSAUDITLINK__" localSheetId="3"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0__FDSAUDITLINK__" localSheetId="1"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0__FDSAUDITLINK__"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1__FDSAUDITLINK__" localSheetId="4"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1__FDSAUDITLINK__" localSheetId="5"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1__FDSAUDITLINK__" localSheetId="3"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1__FDSAUDITLINK__" localSheetId="1"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1__FDSAUDITLINK__"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2__FDSAUDITLINK__" localSheetId="4"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2__FDSAUDITLINK__" localSheetId="5"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2__FDSAUDITLINK__" localSheetId="3"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2__FDSAUDITLINK__" localSheetId="1"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2__FDSAUDITLINK__"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3__FDSAUDITLINK__" localSheetId="4"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3__FDSAUDITLINK__" localSheetId="5"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3__FDSAUDITLINK__" localSheetId="3"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3__FDSAUDITLINK__" localSheetId="1"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3__FDSAUDITLINK__"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4__FDSAUDITLINK__" localSheetId="4"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4__FDSAUDITLINK__" localSheetId="5"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4__FDSAUDITLINK__" localSheetId="3"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4__FDSAUDITLINK__" localSheetId="1"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4__FDSAUDITLINK__"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5__FDSAUDITLINK__" localSheetId="4"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5__FDSAUDITLINK__" localSheetId="5"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5__FDSAUDITLINK__" localSheetId="3"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5__FDSAUDITLINK__" localSheetId="1"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5__FDSAUDITLINK__"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6__FDSAUDITLINK__" localSheetId="4"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6__FDSAUDITLINK__" localSheetId="5"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6__FDSAUDITLINK__" localSheetId="3"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6__FDSAUDITLINK__" localSheetId="1"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6__FDSAUDITLINK__"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7__FDSAUDITLINK__" localSheetId="4"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7__FDSAUDITLINK__" localSheetId="5"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7__FDSAUDITLINK__" localSheetId="3"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7__FDSAUDITLINK__" localSheetId="1"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7__FDSAUDITLINK__"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8__FDSAUDITLINK__" localSheetId="4"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8__FDSAUDITLINK__" localSheetId="5"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8__FDSAUDITLINK__" localSheetId="3"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8__FDSAUDITLINK__" localSheetId="1"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8__FDSAUDITLINK__"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9__FDSAUDITLINK__" localSheetId="4"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29__FDSAUDITLINK__" localSheetId="5"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29__FDSAUDITLINK__" localSheetId="3"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29__FDSAUDITLINK__" localSheetId="1"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29__FDSAUDITLINK__"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3__FDSAUDITLINK__" localSheetId="4"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__FDSAUDITLINK__" localSheetId="5"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__FDSAUDITLINK__" localSheetId="3"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__FDSAUDITLINK__" localSheetId="1"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__FDSAUDITLINK__"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0__FDSAUDITLINK__" localSheetId="4"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0__FDSAUDITLINK__" localSheetId="5"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0__FDSAUDITLINK__" localSheetId="3"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0__FDSAUDITLINK__" localSheetId="1"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0__FDSAUDITLINK__"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1__FDSAUDITLINK__" localSheetId="4"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1__FDSAUDITLINK__" localSheetId="5"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1__FDSAUDITLINK__" localSheetId="3"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1__FDSAUDITLINK__" localSheetId="1"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1__FDSAUDITLINK__"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2__FDSAUDITLINK__" localSheetId="4"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2__FDSAUDITLINK__" localSheetId="5"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2__FDSAUDITLINK__" localSheetId="3"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2__FDSAUDITLINK__" localSheetId="1"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2__FDSAUDITLINK__"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3__FDSAUDITLINK__" localSheetId="4"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3__FDSAUDITLINK__" localSheetId="5"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3__FDSAUDITLINK__" localSheetId="3"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3__FDSAUDITLINK__" localSheetId="1"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3__FDSAUDITLINK__"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4__FDSAUDITLINK__" localSheetId="4"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4__FDSAUDITLINK__" localSheetId="5"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4__FDSAUDITLINK__" localSheetId="3"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4__FDSAUDITLINK__" localSheetId="1"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4__FDSAUDITLINK__"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5__FDSAUDITLINK__" localSheetId="4"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5__FDSAUDITLINK__" localSheetId="5"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5__FDSAUDITLINK__" localSheetId="3"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5__FDSAUDITLINK__" localSheetId="1"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5__FDSAUDITLINK__"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6__FDSAUDITLINK__" localSheetId="4"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6__FDSAUDITLINK__" localSheetId="5"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6__FDSAUDITLINK__" localSheetId="3"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6__FDSAUDITLINK__" localSheetId="1"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6__FDSAUDITLINK__"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7__FDSAUDITLINK__" localSheetId="4"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7__FDSAUDITLINK__" localSheetId="5"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7__FDSAUDITLINK__" localSheetId="3"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7__FDSAUDITLINK__" localSheetId="1"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7__FDSAUDITLINK__"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8__FDSAUDITLINK__" localSheetId="4"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8__FDSAUDITLINK__" localSheetId="5"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8__FDSAUDITLINK__" localSheetId="3"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8__FDSAUDITLINK__" localSheetId="1"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8__FDSAUDITLINK__"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9__FDSAUDITLINK__" localSheetId="4"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39__FDSAUDITLINK__" localSheetId="5"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39__FDSAUDITLINK__" localSheetId="3"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39__FDSAUDITLINK__" localSheetId="1"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39__FDSAUDITLINK__"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4__FDSAUDITLINK__" localSheetId="4"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__FDSAUDITLINK__" localSheetId="5"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__FDSAUDITLINK__" localSheetId="3"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__FDSAUDITLINK__" localSheetId="1"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__FDSAUDITLINK__"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0__FDSAUDITLINK__" localSheetId="4"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0__FDSAUDITLINK__" localSheetId="5"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0__FDSAUDITLINK__" localSheetId="3"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0__FDSAUDITLINK__" localSheetId="1"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0__FDSAUDITLINK__"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1__FDSAUDITLINK__" localSheetId="4"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1__FDSAUDITLINK__" localSheetId="5"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1__FDSAUDITLINK__" localSheetId="3"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1__FDSAUDITLINK__" localSheetId="1"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1__FDSAUDITLINK__"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2__FDSAUDITLINK__" localSheetId="4"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2__FDSAUDITLINK__" localSheetId="5"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2__FDSAUDITLINK__" localSheetId="3"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2__FDSAUDITLINK__" localSheetId="1"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2__FDSAUDITLINK__"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3__FDSAUDITLINK__" localSheetId="4"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3__FDSAUDITLINK__" localSheetId="5"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3__FDSAUDITLINK__" localSheetId="3"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3__FDSAUDITLINK__" localSheetId="1"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3__FDSAUDITLINK__"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4__FDSAUDITLINK__" localSheetId="4"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4__FDSAUDITLINK__" localSheetId="5"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4__FDSAUDITLINK__" localSheetId="3"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4__FDSAUDITLINK__" localSheetId="1"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4__FDSAUDITLINK__"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5__FDSAUDITLINK__" localSheetId="4"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5__FDSAUDITLINK__" localSheetId="5"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5__FDSAUDITLINK__" localSheetId="3"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5__FDSAUDITLINK__" localSheetId="1"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5__FDSAUDITLINK__"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6__FDSAUDITLINK__" localSheetId="4"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6__FDSAUDITLINK__" localSheetId="5"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6__FDSAUDITLINK__" localSheetId="3"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6__FDSAUDITLINK__" localSheetId="1"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6__FDSAUDITLINK__"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7__FDSAUDITLINK__" localSheetId="4"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7__FDSAUDITLINK__" localSheetId="5"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7__FDSAUDITLINK__" localSheetId="3"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7__FDSAUDITLINK__" localSheetId="1"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7__FDSAUDITLINK__"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8__FDSAUDITLINK__" localSheetId="4"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8__FDSAUDITLINK__" localSheetId="5"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8__FDSAUDITLINK__" localSheetId="3"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8__FDSAUDITLINK__" localSheetId="1"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8__FDSAUDITLINK__"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9__FDSAUDITLINK__" localSheetId="4"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49__FDSAUDITLINK__" localSheetId="5"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49__FDSAUDITLINK__" localSheetId="3"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49__FDSAUDITLINK__" localSheetId="1"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49__FDSAUDITLINK__"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5__FDSAUDITLINK__" localSheetId="4"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__FDSAUDITLINK__" localSheetId="5"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__FDSAUDITLINK__" localSheetId="3"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__FDSAUDITLINK__" localSheetId="1"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__FDSAUDITLINK__"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0__FDSAUDITLINK__" localSheetId="4"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0__FDSAUDITLINK__" localSheetId="5"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0__FDSAUDITLINK__" localSheetId="3"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0__FDSAUDITLINK__" localSheetId="1"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0__FDSAUDITLINK__"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1__FDSAUDITLINK__" localSheetId="4"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1__FDSAUDITLINK__" localSheetId="5"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1__FDSAUDITLINK__" localSheetId="3"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1__FDSAUDITLINK__" localSheetId="1"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1__FDSAUDITLINK__"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2__FDSAUDITLINK__" localSheetId="4"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2__FDSAUDITLINK__" localSheetId="5"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2__FDSAUDITLINK__" localSheetId="3"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2__FDSAUDITLINK__" localSheetId="1"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2__FDSAUDITLINK__"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3__FDSAUDITLINK__" localSheetId="4"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3__FDSAUDITLINK__" localSheetId="5"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3__FDSAUDITLINK__" localSheetId="3"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3__FDSAUDITLINK__" localSheetId="1"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3__FDSAUDITLINK__"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4__FDSAUDITLINK__" localSheetId="4"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4__FDSAUDITLINK__" localSheetId="5"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4__FDSAUDITLINK__" localSheetId="3"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4__FDSAUDITLINK__" localSheetId="1"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4__FDSAUDITLINK__"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5__FDSAUDITLINK__" localSheetId="4"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5__FDSAUDITLINK__" localSheetId="5"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5__FDSAUDITLINK__" localSheetId="3"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5__FDSAUDITLINK__" localSheetId="1"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5__FDSAUDITLINK__"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6__FDSAUDITLINK__" localSheetId="4"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6__FDSAUDITLINK__" localSheetId="5"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6__FDSAUDITLINK__" localSheetId="3"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6__FDSAUDITLINK__" localSheetId="1"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6__FDSAUDITLINK__"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7__FDSAUDITLINK__" localSheetId="4"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7__FDSAUDITLINK__" localSheetId="5"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7__FDSAUDITLINK__" localSheetId="3"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7__FDSAUDITLINK__" localSheetId="1"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7__FDSAUDITLINK__"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8__FDSAUDITLINK__" localSheetId="4"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8__FDSAUDITLINK__" localSheetId="5"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8__FDSAUDITLINK__" localSheetId="3"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8__FDSAUDITLINK__" localSheetId="1"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8__FDSAUDITLINK__"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9__FDSAUDITLINK__" localSheetId="4"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59__FDSAUDITLINK__" localSheetId="5"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59__FDSAUDITLINK__" localSheetId="3"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59__FDSAUDITLINK__" localSheetId="1"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59__FDSAUDITLINK__"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6__FDSAUDITLINK__" localSheetId="4"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__FDSAUDITLINK__" localSheetId="5"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__FDSAUDITLINK__" localSheetId="3"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__FDSAUDITLINK__" localSheetId="1"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__FDSAUDITLINK__"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0__FDSAUDITLINK__" localSheetId="4"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0__FDSAUDITLINK__" localSheetId="5"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0__FDSAUDITLINK__" localSheetId="3"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0__FDSAUDITLINK__" localSheetId="1"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0__FDSAUDITLINK__"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1__FDSAUDITLINK__" localSheetId="4"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1__FDSAUDITLINK__" localSheetId="5"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1__FDSAUDITLINK__" localSheetId="3"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1__FDSAUDITLINK__" localSheetId="1"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1__FDSAUDITLINK__"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2__FDSAUDITLINK__" localSheetId="4"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2__FDSAUDITLINK__" localSheetId="5"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2__FDSAUDITLINK__" localSheetId="3"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2__FDSAUDITLINK__" localSheetId="1"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2__FDSAUDITLINK__"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3__FDSAUDITLINK__" localSheetId="4"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3__FDSAUDITLINK__" localSheetId="5"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3__FDSAUDITLINK__" localSheetId="3"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3__FDSAUDITLINK__" localSheetId="1"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3__FDSAUDITLINK__"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4__FDSAUDITLINK__" localSheetId="4"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4__FDSAUDITLINK__" localSheetId="5"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4__FDSAUDITLINK__" localSheetId="3"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4__FDSAUDITLINK__" localSheetId="1"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4__FDSAUDITLINK__"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5__FDSAUDITLINK__" localSheetId="4"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5__FDSAUDITLINK__" localSheetId="5"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5__FDSAUDITLINK__" localSheetId="3"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5__FDSAUDITLINK__" localSheetId="1"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5__FDSAUDITLINK__"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6__FDSAUDITLINK__" localSheetId="4"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6__FDSAUDITLINK__" localSheetId="5"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6__FDSAUDITLINK__" localSheetId="3"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6__FDSAUDITLINK__" localSheetId="1"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6__FDSAUDITLINK__"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7__FDSAUDITLINK__" localSheetId="4"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7__FDSAUDITLINK__" localSheetId="5"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7__FDSAUDITLINK__" localSheetId="3"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7__FDSAUDITLINK__" localSheetId="1"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7__FDSAUDITLINK__"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8__FDSAUDITLINK__" localSheetId="4"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8__FDSAUDITLINK__" localSheetId="5"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8__FDSAUDITLINK__" localSheetId="3"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8__FDSAUDITLINK__" localSheetId="1"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8__FDSAUDITLINK__"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9__FDSAUDITLINK__" localSheetId="4"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69__FDSAUDITLINK__" localSheetId="5"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69__FDSAUDITLINK__" localSheetId="3"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69__FDSAUDITLINK__" localSheetId="1"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69__FDSAUDITLINK__"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7__FDSAUDITLINK__" localSheetId="4"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__FDSAUDITLINK__" localSheetId="5"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__FDSAUDITLINK__" localSheetId="3"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__FDSAUDITLINK__" localSheetId="1"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__FDSAUDITLINK__"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0__FDSAUDITLINK__" localSheetId="4"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0__FDSAUDITLINK__" localSheetId="5"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0__FDSAUDITLINK__" localSheetId="3"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0__FDSAUDITLINK__" localSheetId="1"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0__FDSAUDITLINK__"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1__FDSAUDITLINK__" localSheetId="4"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1__FDSAUDITLINK__" localSheetId="5"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1__FDSAUDITLINK__" localSheetId="3"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1__FDSAUDITLINK__" localSheetId="1"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1__FDSAUDITLINK__"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2__FDSAUDITLINK__" localSheetId="4"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2__FDSAUDITLINK__" localSheetId="5"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2__FDSAUDITLINK__" localSheetId="3"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2__FDSAUDITLINK__" localSheetId="1"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2__FDSAUDITLINK__"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3__FDSAUDITLINK__" localSheetId="4"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3__FDSAUDITLINK__" localSheetId="5"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3__FDSAUDITLINK__" localSheetId="3"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3__FDSAUDITLINK__" localSheetId="1"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3__FDSAUDITLINK__"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4__FDSAUDITLINK__" localSheetId="4"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4__FDSAUDITLINK__" localSheetId="5"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4__FDSAUDITLINK__" localSheetId="3"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4__FDSAUDITLINK__" localSheetId="1"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4__FDSAUDITLINK__"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5__FDSAUDITLINK__" localSheetId="4"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5__FDSAUDITLINK__" localSheetId="5"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5__FDSAUDITLINK__" localSheetId="3"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5__FDSAUDITLINK__" localSheetId="1"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5__FDSAUDITLINK__"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6__FDSAUDITLINK__" localSheetId="4"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6__FDSAUDITLINK__" localSheetId="5"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6__FDSAUDITLINK__" localSheetId="3"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6__FDSAUDITLINK__" localSheetId="1"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6__FDSAUDITLINK__"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7__FDSAUDITLINK__" localSheetId="4"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7__FDSAUDITLINK__" localSheetId="5"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7__FDSAUDITLINK__" localSheetId="3"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7__FDSAUDITLINK__" localSheetId="1"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7__FDSAUDITLINK__"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8__FDSAUDITLINK__" localSheetId="4"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8__FDSAUDITLINK__" localSheetId="5"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8__FDSAUDITLINK__" localSheetId="3"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8__FDSAUDITLINK__" localSheetId="1"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8__FDSAUDITLINK__"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9__FDSAUDITLINK__" localSheetId="4"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79__FDSAUDITLINK__" localSheetId="5"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79__FDSAUDITLINK__" localSheetId="3"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79__FDSAUDITLINK__" localSheetId="1"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79__FDSAUDITLINK__"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8__FDSAUDITLINK__" localSheetId="4"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__FDSAUDITLINK__" localSheetId="5"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__FDSAUDITLINK__" localSheetId="3"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__FDSAUDITLINK__" localSheetId="1"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__FDSAUDITLINK__"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0__FDSAUDITLINK__" localSheetId="4"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0__FDSAUDITLINK__" localSheetId="5"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0__FDSAUDITLINK__" localSheetId="3"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0__FDSAUDITLINK__" localSheetId="1"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0__FDSAUDITLINK__"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1__FDSAUDITLINK__" localSheetId="4"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1__FDSAUDITLINK__" localSheetId="5"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1__FDSAUDITLINK__" localSheetId="3"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1__FDSAUDITLINK__" localSheetId="1"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1__FDSAUDITLINK__"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2__FDSAUDITLINK__" localSheetId="4"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2__FDSAUDITLINK__" localSheetId="5"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2__FDSAUDITLINK__" localSheetId="3"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2__FDSAUDITLINK__" localSheetId="1"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2__FDSAUDITLINK__"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3__FDSAUDITLINK__" localSheetId="4"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3__FDSAUDITLINK__" localSheetId="5"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3__FDSAUDITLINK__" localSheetId="3"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3__FDSAUDITLINK__" localSheetId="1"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3__FDSAUDITLINK__"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4__FDSAUDITLINK__" localSheetId="4"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4__FDSAUDITLINK__" localSheetId="5"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4__FDSAUDITLINK__" localSheetId="3"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4__FDSAUDITLINK__" localSheetId="1"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4__FDSAUDITLINK__"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5__FDSAUDITLINK__" localSheetId="4"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5__FDSAUDITLINK__" localSheetId="5"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5__FDSAUDITLINK__" localSheetId="3"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5__FDSAUDITLINK__" localSheetId="1"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5__FDSAUDITLINK__"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6__FDSAUDITLINK__" localSheetId="4"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6__FDSAUDITLINK__" localSheetId="5"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6__FDSAUDITLINK__" localSheetId="3"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6__FDSAUDITLINK__" localSheetId="1"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6__FDSAUDITLINK__"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7__FDSAUDITLINK__" localSheetId="4"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7__FDSAUDITLINK__" localSheetId="5"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7__FDSAUDITLINK__" localSheetId="3"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7__FDSAUDITLINK__" localSheetId="1"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7__FDSAUDITLINK__"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8__FDSAUDITLINK__" localSheetId="4"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8__FDSAUDITLINK__" localSheetId="5"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8__FDSAUDITLINK__" localSheetId="3"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8__FDSAUDITLINK__" localSheetId="1"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8__FDSAUDITLINK__"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9__FDSAUDITLINK__" localSheetId="4"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89__FDSAUDITLINK__" localSheetId="5"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89__FDSAUDITLINK__" localSheetId="3"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89__FDSAUDITLINK__" localSheetId="1"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89__FDSAUDITLINK__"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9__FDSAUDITLINK__" localSheetId="4"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__FDSAUDITLINK__" localSheetId="5"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__FDSAUDITLINK__" localSheetId="3"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__FDSAUDITLINK__" localSheetId="1"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__FDSAUDITLINK__"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0__FDSAUDITLINK__" localSheetId="4"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0__FDSAUDITLINK__" localSheetId="5"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0__FDSAUDITLINK__" localSheetId="3"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0__FDSAUDITLINK__" localSheetId="1"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0__FDSAUDITLINK__"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1__FDSAUDITLINK__" localSheetId="4"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1__FDSAUDITLINK__" localSheetId="5"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1__FDSAUDITLINK__" localSheetId="3"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1__FDSAUDITLINK__" localSheetId="1"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1__FDSAUDITLINK__"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2__FDSAUDITLINK__" localSheetId="4"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2__FDSAUDITLINK__" localSheetId="5"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2__FDSAUDITLINK__" localSheetId="3"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2__FDSAUDITLINK__" localSheetId="1"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2__FDSAUDITLINK__"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3__FDSAUDITLINK__" localSheetId="4"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3__FDSAUDITLINK__" localSheetId="5"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3__FDSAUDITLINK__" localSheetId="3"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3__FDSAUDITLINK__" localSheetId="1"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3__FDSAUDITLINK__"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4__FDSAUDITLINK__" localSheetId="4"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4__FDSAUDITLINK__" localSheetId="5"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4__FDSAUDITLINK__" localSheetId="3"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4__FDSAUDITLINK__" localSheetId="1"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4__FDSAUDITLINK__"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5__FDSAUDITLINK__" localSheetId="4"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5__FDSAUDITLINK__" localSheetId="5"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5__FDSAUDITLINK__" localSheetId="3"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5__FDSAUDITLINK__" localSheetId="1"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5__FDSAUDITLINK__"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6__FDSAUDITLINK__" localSheetId="4"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6__FDSAUDITLINK__" localSheetId="5"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6__FDSAUDITLINK__" localSheetId="3"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6__FDSAUDITLINK__" localSheetId="1"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6__FDSAUDITLINK__"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7__FDSAUDITLINK__" localSheetId="4"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7__FDSAUDITLINK__" localSheetId="5"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7__FDSAUDITLINK__" localSheetId="3"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7__FDSAUDITLINK__" localSheetId="1"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7__FDSAUDITLINK__"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8__FDSAUDITLINK__" localSheetId="4"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8__FDSAUDITLINK__" localSheetId="5"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8__FDSAUDITLINK__" localSheetId="3"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8__FDSAUDITLINK__" localSheetId="1"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8__FDSAUDITLINK__"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9__FDSAUDITLINK__" localSheetId="4"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899__FDSAUDITLINK__" localSheetId="5"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899__FDSAUDITLINK__" localSheetId="3"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899__FDSAUDITLINK__" localSheetId="1"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899__FDSAUDITLINK__"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9__FDSAUDITLINK__" localSheetId="4"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__FDSAUDITLINK__" localSheetId="5"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__FDSAUDITLINK__" localSheetId="3"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__FDSAUDITLINK__" localSheetId="1"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__FDSAUDITLINK__"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0__FDSAUDITLINK__" localSheetId="4"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__FDSAUDITLINK__" localSheetId="5"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__FDSAUDITLINK__" localSheetId="3"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__FDSAUDITLINK__" localSheetId="1"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__FDSAUDITLINK__"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0__FDSAUDITLINK__" localSheetId="4"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0__FDSAUDITLINK__" localSheetId="5"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0__FDSAUDITLINK__" localSheetId="3"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0__FDSAUDITLINK__" localSheetId="1"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0__FDSAUDITLINK__"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1__FDSAUDITLINK__" localSheetId="4"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1__FDSAUDITLINK__" localSheetId="5"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1__FDSAUDITLINK__" localSheetId="3"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1__FDSAUDITLINK__" localSheetId="1"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1__FDSAUDITLINK__"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2__FDSAUDITLINK__" localSheetId="4"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2__FDSAUDITLINK__" localSheetId="5"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2__FDSAUDITLINK__" localSheetId="3"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2__FDSAUDITLINK__" localSheetId="1"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2__FDSAUDITLINK__"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3__FDSAUDITLINK__" localSheetId="4"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3__FDSAUDITLINK__" localSheetId="5"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3__FDSAUDITLINK__" localSheetId="3"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3__FDSAUDITLINK__" localSheetId="1"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3__FDSAUDITLINK__"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4__FDSAUDITLINK__" localSheetId="4"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4__FDSAUDITLINK__" localSheetId="5"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4__FDSAUDITLINK__" localSheetId="3"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4__FDSAUDITLINK__" localSheetId="1"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4__FDSAUDITLINK__"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5__FDSAUDITLINK__" localSheetId="4"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5__FDSAUDITLINK__" localSheetId="5"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5__FDSAUDITLINK__" localSheetId="3"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5__FDSAUDITLINK__" localSheetId="1"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5__FDSAUDITLINK__"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6__FDSAUDITLINK__" localSheetId="4"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6__FDSAUDITLINK__" localSheetId="5"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6__FDSAUDITLINK__" localSheetId="3"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6__FDSAUDITLINK__" localSheetId="1"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6__FDSAUDITLINK__"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7__FDSAUDITLINK__" localSheetId="4"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7__FDSAUDITLINK__" localSheetId="5"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7__FDSAUDITLINK__" localSheetId="3"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7__FDSAUDITLINK__" localSheetId="1"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7__FDSAUDITLINK__"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8__FDSAUDITLINK__" localSheetId="4"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8__FDSAUDITLINK__" localSheetId="5"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8__FDSAUDITLINK__" localSheetId="3"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8__FDSAUDITLINK__" localSheetId="1"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8__FDSAUDITLINK__"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9__FDSAUDITLINK__" localSheetId="4"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09__FDSAUDITLINK__" localSheetId="5"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09__FDSAUDITLINK__" localSheetId="3"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09__FDSAUDITLINK__" localSheetId="1"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09__FDSAUDITLINK__"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1__FDSAUDITLINK__" localSheetId="4"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__FDSAUDITLINK__" localSheetId="5"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__FDSAUDITLINK__" localSheetId="3"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__FDSAUDITLINK__" localSheetId="1"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__FDSAUDITLINK__"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0__FDSAUDITLINK__" localSheetId="4"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0__FDSAUDITLINK__" localSheetId="5"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0__FDSAUDITLINK__" localSheetId="3"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0__FDSAUDITLINK__" localSheetId="1"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0__FDSAUDITLINK__"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1__FDSAUDITLINK__" localSheetId="4"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1__FDSAUDITLINK__" localSheetId="5"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1__FDSAUDITLINK__" localSheetId="3"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1__FDSAUDITLINK__" localSheetId="1"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1__FDSAUDITLINK__"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2__FDSAUDITLINK__" localSheetId="4"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2__FDSAUDITLINK__" localSheetId="5"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2__FDSAUDITLINK__" localSheetId="3"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2__FDSAUDITLINK__" localSheetId="1"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2__FDSAUDITLINK__"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3__FDSAUDITLINK__" localSheetId="4"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3__FDSAUDITLINK__" localSheetId="5"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3__FDSAUDITLINK__" localSheetId="3"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3__FDSAUDITLINK__" localSheetId="1"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3__FDSAUDITLINK__"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4__FDSAUDITLINK__" localSheetId="4"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4__FDSAUDITLINK__" localSheetId="5"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4__FDSAUDITLINK__" localSheetId="3"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4__FDSAUDITLINK__" localSheetId="1"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4__FDSAUDITLINK__"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5__FDSAUDITLINK__" localSheetId="4"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5__FDSAUDITLINK__" localSheetId="5"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5__FDSAUDITLINK__" localSheetId="3"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5__FDSAUDITLINK__" localSheetId="1"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5__FDSAUDITLINK__"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6__FDSAUDITLINK__" localSheetId="4"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6__FDSAUDITLINK__" localSheetId="5"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6__FDSAUDITLINK__" localSheetId="3"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6__FDSAUDITLINK__" localSheetId="1"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6__FDSAUDITLINK__"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7__FDSAUDITLINK__" localSheetId="4"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7__FDSAUDITLINK__" localSheetId="5"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7__FDSAUDITLINK__" localSheetId="3"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7__FDSAUDITLINK__" localSheetId="1"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7__FDSAUDITLINK__"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8__FDSAUDITLINK__" localSheetId="4"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8__FDSAUDITLINK__" localSheetId="5"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8__FDSAUDITLINK__" localSheetId="3"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8__FDSAUDITLINK__" localSheetId="1"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8__FDSAUDITLINK__"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9__FDSAUDITLINK__" localSheetId="4"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19__FDSAUDITLINK__" localSheetId="5"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19__FDSAUDITLINK__" localSheetId="3"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19__FDSAUDITLINK__" localSheetId="1"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19__FDSAUDITLINK__"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2__FDSAUDITLINK__" localSheetId="4"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__FDSAUDITLINK__" localSheetId="5"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__FDSAUDITLINK__" localSheetId="3"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__FDSAUDITLINK__" localSheetId="1"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__FDSAUDITLINK__"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0__FDSAUDITLINK__" localSheetId="4"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0__FDSAUDITLINK__" localSheetId="5"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0__FDSAUDITLINK__" localSheetId="3"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0__FDSAUDITLINK__" localSheetId="1"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0__FDSAUDITLINK__"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1__FDSAUDITLINK__" localSheetId="4"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1__FDSAUDITLINK__" localSheetId="5"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1__FDSAUDITLINK__" localSheetId="3"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1__FDSAUDITLINK__" localSheetId="1"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1__FDSAUDITLINK__"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2__FDSAUDITLINK__" localSheetId="4"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2__FDSAUDITLINK__" localSheetId="5"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2__FDSAUDITLINK__" localSheetId="3"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2__FDSAUDITLINK__" localSheetId="1"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2__FDSAUDITLINK__"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3__FDSAUDITLINK__" localSheetId="4"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3__FDSAUDITLINK__" localSheetId="5"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3__FDSAUDITLINK__" localSheetId="3"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3__FDSAUDITLINK__" localSheetId="1"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3__FDSAUDITLINK__"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4__FDSAUDITLINK__" localSheetId="4"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4__FDSAUDITLINK__" localSheetId="5"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4__FDSAUDITLINK__" localSheetId="3"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4__FDSAUDITLINK__" localSheetId="1"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4__FDSAUDITLINK__"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5__FDSAUDITLINK__" localSheetId="4"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5__FDSAUDITLINK__" localSheetId="5"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5__FDSAUDITLINK__" localSheetId="3"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5__FDSAUDITLINK__" localSheetId="1"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5__FDSAUDITLINK__"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6__FDSAUDITLINK__" localSheetId="4"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6__FDSAUDITLINK__" localSheetId="5"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6__FDSAUDITLINK__" localSheetId="3"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6__FDSAUDITLINK__" localSheetId="1"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6__FDSAUDITLINK__"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7__FDSAUDITLINK__" localSheetId="4"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7__FDSAUDITLINK__" localSheetId="5"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7__FDSAUDITLINK__" localSheetId="3"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7__FDSAUDITLINK__" localSheetId="1"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7__FDSAUDITLINK__"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8__FDSAUDITLINK__" localSheetId="4"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8__FDSAUDITLINK__" localSheetId="5"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8__FDSAUDITLINK__" localSheetId="3"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8__FDSAUDITLINK__" localSheetId="1"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8__FDSAUDITLINK__"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9__FDSAUDITLINK__" localSheetId="4"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29__FDSAUDITLINK__" localSheetId="5"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29__FDSAUDITLINK__" localSheetId="3"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29__FDSAUDITLINK__" localSheetId="1"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29__FDSAUDITLINK__"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3__FDSAUDITLINK__" localSheetId="4"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__FDSAUDITLINK__" localSheetId="5"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__FDSAUDITLINK__" localSheetId="3"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__FDSAUDITLINK__" localSheetId="1"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__FDSAUDITLINK__"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0__FDSAUDITLINK__" localSheetId="4"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0__FDSAUDITLINK__" localSheetId="5"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0__FDSAUDITLINK__" localSheetId="3"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0__FDSAUDITLINK__" localSheetId="1"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0__FDSAUDITLINK__"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1__FDSAUDITLINK__" localSheetId="4"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1__FDSAUDITLINK__" localSheetId="5"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1__FDSAUDITLINK__" localSheetId="3"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1__FDSAUDITLINK__" localSheetId="1"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1__FDSAUDITLINK__"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2__FDSAUDITLINK__" localSheetId="4"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2__FDSAUDITLINK__" localSheetId="5"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2__FDSAUDITLINK__" localSheetId="3"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2__FDSAUDITLINK__" localSheetId="1"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2__FDSAUDITLINK__"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3__FDSAUDITLINK__" localSheetId="4"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3__FDSAUDITLINK__" localSheetId="5"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3__FDSAUDITLINK__" localSheetId="3"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3__FDSAUDITLINK__" localSheetId="1"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3__FDSAUDITLINK__"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4__FDSAUDITLINK__" localSheetId="4"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4__FDSAUDITLINK__" localSheetId="5"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4__FDSAUDITLINK__" localSheetId="3"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4__FDSAUDITLINK__" localSheetId="1"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4__FDSAUDITLINK__"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5__FDSAUDITLINK__" localSheetId="4"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5__FDSAUDITLINK__" localSheetId="5"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5__FDSAUDITLINK__" localSheetId="3"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5__FDSAUDITLINK__" localSheetId="1"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5__FDSAUDITLINK__"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6__FDSAUDITLINK__" localSheetId="4"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6__FDSAUDITLINK__" localSheetId="5"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6__FDSAUDITLINK__" localSheetId="3"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6__FDSAUDITLINK__" localSheetId="1"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6__FDSAUDITLINK__"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7__FDSAUDITLINK__" localSheetId="4"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7__FDSAUDITLINK__" localSheetId="5"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7__FDSAUDITLINK__" localSheetId="3"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7__FDSAUDITLINK__" localSheetId="1"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7__FDSAUDITLINK__"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8__FDSAUDITLINK__" localSheetId="4"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8__FDSAUDITLINK__" localSheetId="5"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8__FDSAUDITLINK__" localSheetId="3"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8__FDSAUDITLINK__" localSheetId="1"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8__FDSAUDITLINK__"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9__FDSAUDITLINK__" localSheetId="4"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39__FDSAUDITLINK__" localSheetId="5"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39__FDSAUDITLINK__" localSheetId="3"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39__FDSAUDITLINK__" localSheetId="1"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39__FDSAUDITLINK__"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4__FDSAUDITLINK__" localSheetId="4"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__FDSAUDITLINK__" localSheetId="5"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__FDSAUDITLINK__" localSheetId="3"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__FDSAUDITLINK__" localSheetId="1"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__FDSAUDITLINK__"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0__FDSAUDITLINK__" localSheetId="4"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0__FDSAUDITLINK__" localSheetId="5"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0__FDSAUDITLINK__" localSheetId="3"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0__FDSAUDITLINK__" localSheetId="1"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0__FDSAUDITLINK__"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1__FDSAUDITLINK__" localSheetId="4"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1__FDSAUDITLINK__" localSheetId="5"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1__FDSAUDITLINK__" localSheetId="3"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1__FDSAUDITLINK__" localSheetId="1"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1__FDSAUDITLINK__"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2__FDSAUDITLINK__" localSheetId="4"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2__FDSAUDITLINK__" localSheetId="5"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2__FDSAUDITLINK__" localSheetId="3"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2__FDSAUDITLINK__" localSheetId="1"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2__FDSAUDITLINK__"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3__FDSAUDITLINK__" localSheetId="4"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3__FDSAUDITLINK__" localSheetId="5"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3__FDSAUDITLINK__" localSheetId="3"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3__FDSAUDITLINK__" localSheetId="1"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3__FDSAUDITLINK__"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4__FDSAUDITLINK__" localSheetId="4"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4__FDSAUDITLINK__" localSheetId="5"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4__FDSAUDITLINK__" localSheetId="3"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4__FDSAUDITLINK__" localSheetId="1"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4__FDSAUDITLINK__"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5__FDSAUDITLINK__" localSheetId="4"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5__FDSAUDITLINK__" localSheetId="5"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5__FDSAUDITLINK__" localSheetId="3"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5__FDSAUDITLINK__" localSheetId="1"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5__FDSAUDITLINK__"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6__FDSAUDITLINK__" localSheetId="4"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6__FDSAUDITLINK__" localSheetId="5"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6__FDSAUDITLINK__" localSheetId="3"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6__FDSAUDITLINK__" localSheetId="1"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6__FDSAUDITLINK__"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7__FDSAUDITLINK__" localSheetId="4"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7__FDSAUDITLINK__" localSheetId="5"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7__FDSAUDITLINK__" localSheetId="3"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7__FDSAUDITLINK__" localSheetId="1"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7__FDSAUDITLINK__"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8__FDSAUDITLINK__" localSheetId="4"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8__FDSAUDITLINK__" localSheetId="5"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8__FDSAUDITLINK__" localSheetId="3"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8__FDSAUDITLINK__" localSheetId="1"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8__FDSAUDITLINK__"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9__FDSAUDITLINK__" localSheetId="4"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49__FDSAUDITLINK__" localSheetId="5"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49__FDSAUDITLINK__" localSheetId="3"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49__FDSAUDITLINK__" localSheetId="1"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49__FDSAUDITLINK__"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5__FDSAUDITLINK__" localSheetId="4"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__FDSAUDITLINK__" localSheetId="5"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__FDSAUDITLINK__" localSheetId="3"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__FDSAUDITLINK__" localSheetId="1"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__FDSAUDITLINK__"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0__FDSAUDITLINK__" localSheetId="4"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0__FDSAUDITLINK__" localSheetId="5"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0__FDSAUDITLINK__" localSheetId="3"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0__FDSAUDITLINK__" localSheetId="1"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0__FDSAUDITLINK__"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1__FDSAUDITLINK__" localSheetId="4"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1__FDSAUDITLINK__" localSheetId="5"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1__FDSAUDITLINK__" localSheetId="3"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1__FDSAUDITLINK__" localSheetId="1"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1__FDSAUDITLINK__"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2__FDSAUDITLINK__" localSheetId="4"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2__FDSAUDITLINK__" localSheetId="5"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2__FDSAUDITLINK__" localSheetId="3"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2__FDSAUDITLINK__" localSheetId="1"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2__FDSAUDITLINK__"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3__FDSAUDITLINK__" localSheetId="4"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3__FDSAUDITLINK__" localSheetId="5"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3__FDSAUDITLINK__" localSheetId="3"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3__FDSAUDITLINK__" localSheetId="1"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3__FDSAUDITLINK__"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4__FDSAUDITLINK__" localSheetId="4"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4__FDSAUDITLINK__" localSheetId="5"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4__FDSAUDITLINK__" localSheetId="3"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4__FDSAUDITLINK__" localSheetId="1"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4__FDSAUDITLINK__"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5__FDSAUDITLINK__" localSheetId="4"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5__FDSAUDITLINK__" localSheetId="5"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5__FDSAUDITLINK__" localSheetId="3"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5__FDSAUDITLINK__" localSheetId="1"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5__FDSAUDITLINK__"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6__FDSAUDITLINK__" localSheetId="4"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6__FDSAUDITLINK__" localSheetId="5"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6__FDSAUDITLINK__" localSheetId="3"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6__FDSAUDITLINK__" localSheetId="1"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6__FDSAUDITLINK__"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7__FDSAUDITLINK__" localSheetId="4"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7__FDSAUDITLINK__" localSheetId="5"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7__FDSAUDITLINK__" localSheetId="3"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7__FDSAUDITLINK__" localSheetId="1"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7__FDSAUDITLINK__"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8__FDSAUDITLINK__" localSheetId="4"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8__FDSAUDITLINK__" localSheetId="5"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8__FDSAUDITLINK__" localSheetId="3"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8__FDSAUDITLINK__" localSheetId="1"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8__FDSAUDITLINK__"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9__FDSAUDITLINK__" localSheetId="4"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59__FDSAUDITLINK__" localSheetId="5"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59__FDSAUDITLINK__" localSheetId="3"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59__FDSAUDITLINK__" localSheetId="1"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59__FDSAUDITLINK__"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6__FDSAUDITLINK__" localSheetId="4"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__FDSAUDITLINK__" localSheetId="5"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__FDSAUDITLINK__" localSheetId="3"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__FDSAUDITLINK__" localSheetId="1"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__FDSAUDITLINK__"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0__FDSAUDITLINK__" localSheetId="4"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0__FDSAUDITLINK__" localSheetId="5"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0__FDSAUDITLINK__" localSheetId="3"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0__FDSAUDITLINK__" localSheetId="1"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0__FDSAUDITLINK__"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1__FDSAUDITLINK__" localSheetId="4"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1__FDSAUDITLINK__" localSheetId="5"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1__FDSAUDITLINK__" localSheetId="3"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1__FDSAUDITLINK__" localSheetId="1"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1__FDSAUDITLINK__"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2__FDSAUDITLINK__" localSheetId="4"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2__FDSAUDITLINK__" localSheetId="5"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2__FDSAUDITLINK__" localSheetId="3"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2__FDSAUDITLINK__" localSheetId="1"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2__FDSAUDITLINK__"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3__FDSAUDITLINK__" localSheetId="4"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3__FDSAUDITLINK__" localSheetId="5"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3__FDSAUDITLINK__" localSheetId="3"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3__FDSAUDITLINK__" localSheetId="1"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3__FDSAUDITLINK__"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4__FDSAUDITLINK__" localSheetId="4"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4__FDSAUDITLINK__" localSheetId="5"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4__FDSAUDITLINK__" localSheetId="3"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4__FDSAUDITLINK__" localSheetId="1"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4__FDSAUDITLINK__"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5__FDSAUDITLINK__" localSheetId="4"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5__FDSAUDITLINK__" localSheetId="5"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5__FDSAUDITLINK__" localSheetId="3"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5__FDSAUDITLINK__" localSheetId="1"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5__FDSAUDITLINK__"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6__FDSAUDITLINK__" localSheetId="4"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6__FDSAUDITLINK__" localSheetId="5"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6__FDSAUDITLINK__" localSheetId="3"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6__FDSAUDITLINK__" localSheetId="1"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6__FDSAUDITLINK__"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7__FDSAUDITLINK__" localSheetId="4"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7__FDSAUDITLINK__" localSheetId="5"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7__FDSAUDITLINK__" localSheetId="3"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7__FDSAUDITLINK__" localSheetId="1"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7__FDSAUDITLINK__"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8__FDSAUDITLINK__" localSheetId="4"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8__FDSAUDITLINK__" localSheetId="5"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8__FDSAUDITLINK__" localSheetId="3"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8__FDSAUDITLINK__" localSheetId="1"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8__FDSAUDITLINK__"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9__FDSAUDITLINK__" localSheetId="4"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69__FDSAUDITLINK__" localSheetId="5"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69__FDSAUDITLINK__" localSheetId="3"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69__FDSAUDITLINK__" localSheetId="1"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69__FDSAUDITLINK__"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7__FDSAUDITLINK__" localSheetId="4"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__FDSAUDITLINK__" localSheetId="5"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__FDSAUDITLINK__" localSheetId="3"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__FDSAUDITLINK__" localSheetId="1"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__FDSAUDITLINK__"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0__FDSAUDITLINK__" localSheetId="4"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0__FDSAUDITLINK__" localSheetId="5"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0__FDSAUDITLINK__" localSheetId="3"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0__FDSAUDITLINK__" localSheetId="1"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0__FDSAUDITLINK__"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1__FDSAUDITLINK__" localSheetId="4"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1__FDSAUDITLINK__" localSheetId="5"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1__FDSAUDITLINK__" localSheetId="3"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1__FDSAUDITLINK__" localSheetId="1"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1__FDSAUDITLINK__"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2__FDSAUDITLINK__" localSheetId="4"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2__FDSAUDITLINK__" localSheetId="5"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2__FDSAUDITLINK__" localSheetId="3"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2__FDSAUDITLINK__" localSheetId="1"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2__FDSAUDITLINK__"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3__FDSAUDITLINK__" localSheetId="4"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3__FDSAUDITLINK__" localSheetId="5"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3__FDSAUDITLINK__" localSheetId="3"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3__FDSAUDITLINK__" localSheetId="1"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3__FDSAUDITLINK__"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4__FDSAUDITLINK__" localSheetId="4"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4__FDSAUDITLINK__" localSheetId="5"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4__FDSAUDITLINK__" localSheetId="3"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4__FDSAUDITLINK__" localSheetId="1"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4__FDSAUDITLINK__"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5__FDSAUDITLINK__" localSheetId="4"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5__FDSAUDITLINK__" localSheetId="5"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5__FDSAUDITLINK__" localSheetId="3"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5__FDSAUDITLINK__" localSheetId="1"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5__FDSAUDITLINK__"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6__FDSAUDITLINK__" localSheetId="4"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6__FDSAUDITLINK__" localSheetId="5"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6__FDSAUDITLINK__" localSheetId="3"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6__FDSAUDITLINK__" localSheetId="1"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6__FDSAUDITLINK__"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7__FDSAUDITLINK__" localSheetId="4"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7__FDSAUDITLINK__" localSheetId="5"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7__FDSAUDITLINK__" localSheetId="3"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7__FDSAUDITLINK__" localSheetId="1"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7__FDSAUDITLINK__"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8__FDSAUDITLINK__" localSheetId="4"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8__FDSAUDITLINK__" localSheetId="5"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8__FDSAUDITLINK__" localSheetId="3"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8__FDSAUDITLINK__" localSheetId="1"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8__FDSAUDITLINK__"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9__FDSAUDITLINK__" localSheetId="4"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79__FDSAUDITLINK__" localSheetId="5"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79__FDSAUDITLINK__" localSheetId="3"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79__FDSAUDITLINK__" localSheetId="1"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79__FDSAUDITLINK__"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8__FDSAUDITLINK__" localSheetId="4"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__FDSAUDITLINK__" localSheetId="5"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__FDSAUDITLINK__" localSheetId="3"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__FDSAUDITLINK__" localSheetId="1"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__FDSAUDITLINK__"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0__FDSAUDITLINK__" localSheetId="4"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0__FDSAUDITLINK__" localSheetId="5"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0__FDSAUDITLINK__" localSheetId="3"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0__FDSAUDITLINK__" localSheetId="1"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0__FDSAUDITLINK__"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1__FDSAUDITLINK__" localSheetId="4"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1__FDSAUDITLINK__" localSheetId="5"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1__FDSAUDITLINK__" localSheetId="3"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1__FDSAUDITLINK__" localSheetId="1"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1__FDSAUDITLINK__"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2__FDSAUDITLINK__" localSheetId="4"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2__FDSAUDITLINK__" localSheetId="5"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2__FDSAUDITLINK__" localSheetId="3"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2__FDSAUDITLINK__" localSheetId="1"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2__FDSAUDITLINK__"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3__FDSAUDITLINK__" localSheetId="4"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3__FDSAUDITLINK__" localSheetId="5"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3__FDSAUDITLINK__" localSheetId="3"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3__FDSAUDITLINK__" localSheetId="1"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3__FDSAUDITLINK__"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4__FDSAUDITLINK__" localSheetId="4"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4__FDSAUDITLINK__" localSheetId="5"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4__FDSAUDITLINK__" localSheetId="3"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4__FDSAUDITLINK__" localSheetId="1"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4__FDSAUDITLINK__"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5__FDSAUDITLINK__" localSheetId="4"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5__FDSAUDITLINK__" localSheetId="5"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5__FDSAUDITLINK__" localSheetId="3"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5__FDSAUDITLINK__" localSheetId="1"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5__FDSAUDITLINK__"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6__FDSAUDITLINK__" localSheetId="4"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6__FDSAUDITLINK__" localSheetId="5"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6__FDSAUDITLINK__" localSheetId="3"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6__FDSAUDITLINK__" localSheetId="1"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6__FDSAUDITLINK__"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7__FDSAUDITLINK__" localSheetId="4"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7__FDSAUDITLINK__" localSheetId="5"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7__FDSAUDITLINK__" localSheetId="3"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7__FDSAUDITLINK__" localSheetId="1"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7__FDSAUDITLINK__"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8__FDSAUDITLINK__" localSheetId="4"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8__FDSAUDITLINK__" localSheetId="5"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8__FDSAUDITLINK__" localSheetId="3"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8__FDSAUDITLINK__" localSheetId="1"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8__FDSAUDITLINK__"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9__FDSAUDITLINK__" localSheetId="4"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89__FDSAUDITLINK__" localSheetId="5"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89__FDSAUDITLINK__" localSheetId="3"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89__FDSAUDITLINK__" localSheetId="1"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89__FDSAUDITLINK__"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9__FDSAUDITLINK__" localSheetId="4"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__FDSAUDITLINK__" localSheetId="5"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__FDSAUDITLINK__" localSheetId="3"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__FDSAUDITLINK__" localSheetId="1"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__FDSAUDITLINK__"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0__FDSAUDITLINK__" localSheetId="4"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0__FDSAUDITLINK__" localSheetId="5"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0__FDSAUDITLINK__" localSheetId="3"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0__FDSAUDITLINK__" localSheetId="1"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0__FDSAUDITLINK__"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1__FDSAUDITLINK__" localSheetId="4"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1__FDSAUDITLINK__" localSheetId="5"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1__FDSAUDITLINK__" localSheetId="3"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1__FDSAUDITLINK__" localSheetId="1"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1__FDSAUDITLINK__"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2__FDSAUDITLINK__" localSheetId="4"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2__FDSAUDITLINK__" localSheetId="5"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2__FDSAUDITLINK__" localSheetId="3"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2__FDSAUDITLINK__" localSheetId="1"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2__FDSAUDITLINK__"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3__FDSAUDITLINK__" localSheetId="4"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3__FDSAUDITLINK__" localSheetId="5"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3__FDSAUDITLINK__" localSheetId="3"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3__FDSAUDITLINK__" localSheetId="1"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3__FDSAUDITLINK__"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4__FDSAUDITLINK__" localSheetId="4"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4__FDSAUDITLINK__" localSheetId="5"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4__FDSAUDITLINK__" localSheetId="3"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4__FDSAUDITLINK__" localSheetId="1"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4__FDSAUDITLINK__"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5__FDSAUDITLINK__" localSheetId="4"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5__FDSAUDITLINK__" localSheetId="5"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5__FDSAUDITLINK__" localSheetId="3"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5__FDSAUDITLINK__" localSheetId="1"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5__FDSAUDITLINK__"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6__FDSAUDITLINK__" localSheetId="4"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6__FDSAUDITLINK__" localSheetId="5"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6__FDSAUDITLINK__" localSheetId="3"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6__FDSAUDITLINK__" localSheetId="1"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6__FDSAUDITLINK__"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7__FDSAUDITLINK__" localSheetId="4"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7__FDSAUDITLINK__" localSheetId="5"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7__FDSAUDITLINK__" localSheetId="3"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7__FDSAUDITLINK__" localSheetId="1"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7__FDSAUDITLINK__"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8__FDSAUDITLINK__" localSheetId="4"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8__FDSAUDITLINK__" localSheetId="5"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8__FDSAUDITLINK__" localSheetId="3"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8__FDSAUDITLINK__" localSheetId="1"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8__FDSAUDITLINK__"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9__FDSAUDITLINK__" localSheetId="4"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999__FDSAUDITLINK__" localSheetId="5"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999__FDSAUDITLINK__" localSheetId="3"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999__FDSAUDITLINK__" localSheetId="1"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999__FDSAUDITLINK__"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bdm.01510172dfd24dc3a9224d37fa7f7abf.edm" localSheetId="4" hidden="1">#REF!</definedName>
    <definedName name="_bdm.01510172dfd24dc3a9224d37fa7f7abf.edm" localSheetId="5" hidden="1">#REF!</definedName>
    <definedName name="_bdm.01510172dfd24dc3a9224d37fa7f7abf.edm" localSheetId="2" hidden="1">#REF!</definedName>
    <definedName name="_bdm.01510172dfd24dc3a9224d37fa7f7abf.edm" localSheetId="3" hidden="1">#REF!</definedName>
    <definedName name="_bdm.01510172dfd24dc3a9224d37fa7f7abf.edm" hidden="1">#REF!</definedName>
    <definedName name="_bdm.042a08ea59804a4bb527a0aa58c9395d.edm" localSheetId="2" hidden="1">'Income Statement'!$A$1:$BR$148</definedName>
    <definedName name="_bdm.06a37c9b0b0b4c4ea71f60d5a3a4c2ac.edm" hidden="1">#REF!</definedName>
    <definedName name="_bdm.0A60D62B329D4783A636470BE1F80856.edm" localSheetId="2" hidden="1">#REF!</definedName>
    <definedName name="_bdm.0A60D62B329D4783A636470BE1F80856.edm" localSheetId="3" hidden="1">#REF!</definedName>
    <definedName name="_bdm.0A60D62B329D4783A636470BE1F80856.edm" localSheetId="1" hidden="1">#REF!</definedName>
    <definedName name="_bdm.0A60D62B329D4783A636470BE1F80856.edm" hidden="1">#REF!</definedName>
    <definedName name="_bdm.0da17c744f214659b1f2ddb016ede518.edm" hidden="1">#REF!</definedName>
    <definedName name="_bdm.0eeb61623dad4852b9812a6976b27a1c.edm" localSheetId="4" hidden="1">#REF!</definedName>
    <definedName name="_bdm.0eeb61623dad4852b9812a6976b27a1c.edm" localSheetId="5" hidden="1">#REF!</definedName>
    <definedName name="_bdm.0eeb61623dad4852b9812a6976b27a1c.edm" localSheetId="2" hidden="1">#REF!</definedName>
    <definedName name="_bdm.0eeb61623dad4852b9812a6976b27a1c.edm" localSheetId="1" hidden="1">#REF!</definedName>
    <definedName name="_bdm.0eeb61623dad4852b9812a6976b27a1c.edm" hidden="1">#REF!</definedName>
    <definedName name="_bdm.15344F674DAC4372BB969DB701C6C1F3.edm" localSheetId="4" hidden="1">#REF!</definedName>
    <definedName name="_bdm.15344F674DAC4372BB969DB701C6C1F3.edm" localSheetId="5" hidden="1">#REF!</definedName>
    <definedName name="_bdm.15344F674DAC4372BB969DB701C6C1F3.edm" localSheetId="2" hidden="1">#REF!</definedName>
    <definedName name="_bdm.15344F674DAC4372BB969DB701C6C1F3.edm" localSheetId="1" hidden="1">#REF!</definedName>
    <definedName name="_bdm.15344F674DAC4372BB969DB701C6C1F3.edm" hidden="1">#REF!</definedName>
    <definedName name="_bdm.16118c9c98584d3383d899c539b73eb6.edm" localSheetId="2" hidden="1">'Income Statement'!$A$4:$BM$141</definedName>
    <definedName name="_bdm.16459eac5c47433986ff0ca854918cab.edm" localSheetId="2" hidden="1">'Income Statement'!$A$1:$BR$149</definedName>
    <definedName name="_bdm.17dcaf94c47b4219a88eaaa2745416e9.edm" localSheetId="2" hidden="1">#REF!</definedName>
    <definedName name="_bdm.17dcaf94c47b4219a88eaaa2745416e9.edm" localSheetId="3" hidden="1">#REF!</definedName>
    <definedName name="_bdm.17dcaf94c47b4219a88eaaa2745416e9.edm" localSheetId="1" hidden="1">#REF!</definedName>
    <definedName name="_bdm.17dcaf94c47b4219a88eaaa2745416e9.edm" hidden="1">#REF!</definedName>
    <definedName name="_bdm.20236681f92f4d01b3ae300dfbe6797d.edm" localSheetId="2" hidden="1">#REF!</definedName>
    <definedName name="_bdm.20236681f92f4d01b3ae300dfbe6797d.edm" localSheetId="1" hidden="1">#REF!</definedName>
    <definedName name="_bdm.20236681f92f4d01b3ae300dfbe6797d.edm" hidden="1">#REF!</definedName>
    <definedName name="_bdm.21975F5A33E547199D1E4413FC238E4E.edm" localSheetId="2" hidden="1">'Income Statement'!$A$1:$BG$141</definedName>
    <definedName name="_bdm.25944eb16ea04d539513157bcf1276ec.edm" hidden="1">#REF!</definedName>
    <definedName name="_bdm.26d5c5dcac694a0182b7fa1061eaf081.edm" localSheetId="2" hidden="1">'Income Statement'!$A$1:$BI$110</definedName>
    <definedName name="_bdm.29580b22a2264001bae7ee1b13221627.edm" hidden="1">#REF!</definedName>
    <definedName name="_bdm.2CF25057E0124757B5C7DAA4EA5785F9.edm" hidden="1">#REF!</definedName>
    <definedName name="_bdm.2EA59EEA8077407E829B7D54A4CD3D78.edm" localSheetId="2" hidden="1">'Income Statement'!#REF!</definedName>
    <definedName name="_bdm.3316AE9BEDA048BAB3208B1F727E9A21.edm" localSheetId="2" hidden="1">#REF!</definedName>
    <definedName name="_bdm.3316AE9BEDA048BAB3208B1F727E9A21.edm" localSheetId="3" hidden="1">#REF!</definedName>
    <definedName name="_bdm.3316AE9BEDA048BAB3208B1F727E9A21.edm" localSheetId="1" hidden="1">#REF!</definedName>
    <definedName name="_bdm.3316AE9BEDA048BAB3208B1F727E9A21.edm" hidden="1">#REF!</definedName>
    <definedName name="_bdm.397e2a97c49c4e769485b7ff63129339.edm" localSheetId="2" hidden="1">#REF!</definedName>
    <definedName name="_bdm.397e2a97c49c4e769485b7ff63129339.edm" localSheetId="3" hidden="1">#REF!</definedName>
    <definedName name="_bdm.397e2a97c49c4e769485b7ff63129339.edm" localSheetId="1" hidden="1">#REF!</definedName>
    <definedName name="_bdm.397e2a97c49c4e769485b7ff63129339.edm" hidden="1">#REF!</definedName>
    <definedName name="_bdm.3da636213b6d44fcbf907558e6b40ecd.edm" localSheetId="2" hidden="1">'Income Statement'!$A$1:$BI$141</definedName>
    <definedName name="_bdm.4a9c4922c7d04195bbb3cebbd8f0ec61.edm" localSheetId="2" hidden="1">'Income Statement'!$A$1:$BH$149</definedName>
    <definedName name="_bdm.4b5e6eeda3e341139fed783453c7f6ac.edm" hidden="1">#REF!</definedName>
    <definedName name="_bdm.4C8F04B2AD6B4B3DB0FF7CCC35C55ACE.edm" localSheetId="2" hidden="1">#REF!</definedName>
    <definedName name="_bdm.4C8F04B2AD6B4B3DB0FF7CCC35C55ACE.edm" localSheetId="1" hidden="1">#REF!</definedName>
    <definedName name="_bdm.4C8F04B2AD6B4B3DB0FF7CCC35C55ACE.edm" hidden="1">#REF!</definedName>
    <definedName name="_bdm.4CDC5ABA7CE94B668EE345591BD8B6EF.edm" hidden="1">#REF!</definedName>
    <definedName name="_bdm.4de9fdf3b0c14b3e9e0c12b149199881.edm" localSheetId="2" hidden="1">'Income Statement'!$A$1:$BR$141</definedName>
    <definedName name="_bdm.4e9b6855fd9543a29b0f67c254f96c75.edm" localSheetId="2" hidden="1">#REF!</definedName>
    <definedName name="_bdm.4e9b6855fd9543a29b0f67c254f96c75.edm" localSheetId="3" hidden="1">#REF!</definedName>
    <definedName name="_bdm.4e9b6855fd9543a29b0f67c254f96c75.edm" localSheetId="1" hidden="1">#REF!</definedName>
    <definedName name="_bdm.4e9b6855fd9543a29b0f67c254f96c75.edm" hidden="1">#REF!</definedName>
    <definedName name="_bdm.50DEE54132694B458EAAAE075382B021.edm" hidden="1">#REF!</definedName>
    <definedName name="_bdm.5505200cec774c80b3a9665e4c740cdb.edm" localSheetId="2" hidden="1">#REF!</definedName>
    <definedName name="_bdm.5505200cec774c80b3a9665e4c740cdb.edm" localSheetId="3" hidden="1">#REF!</definedName>
    <definedName name="_bdm.5505200cec774c80b3a9665e4c740cdb.edm" localSheetId="1" hidden="1">#REF!</definedName>
    <definedName name="_bdm.5505200cec774c80b3a9665e4c740cdb.edm" hidden="1">#REF!</definedName>
    <definedName name="_bdm.5A58C41DD9F248E59726F822059D1D8D.edm" localSheetId="2" hidden="1">'Income Statement'!#REF!</definedName>
    <definedName name="_bdm.5A708A8003C0413E9369690FD2348AC9.edm" localSheetId="2" hidden="1">#REF!</definedName>
    <definedName name="_bdm.5A708A8003C0413E9369690FD2348AC9.edm" localSheetId="3" hidden="1">#REF!</definedName>
    <definedName name="_bdm.5A708A8003C0413E9369690FD2348AC9.edm" localSheetId="1" hidden="1">#REF!</definedName>
    <definedName name="_bdm.5A708A8003C0413E9369690FD2348AC9.edm" hidden="1">#REF!</definedName>
    <definedName name="_bdm.65246C09959945988DE53249F0AAF0A5.edm" localSheetId="2" hidden="1">#REF!</definedName>
    <definedName name="_bdm.65246C09959945988DE53249F0AAF0A5.edm" localSheetId="1" hidden="1">#REF!</definedName>
    <definedName name="_bdm.65246C09959945988DE53249F0AAF0A5.edm" hidden="1">#REF!</definedName>
    <definedName name="_bdm.6999f1ca9b1144619d8914b6727fa13c.edm" localSheetId="2" hidden="1">'Income Statement'!$A$1:$BI$141</definedName>
    <definedName name="_bdm.6D7B05EF9A764A149A4B0344B169A6A7.edm" localSheetId="2" hidden="1">'Income Statement'!$A$1:$BH$149</definedName>
    <definedName name="_bdm.767b1428d1cc426196e86257b40d684d.edm" localSheetId="2" hidden="1">'Income Statement'!$A$1:$BS$141</definedName>
    <definedName name="_bdm.78502E2F3F144553A5F04C565DD70A5F.edm" localSheetId="2" hidden="1">'Income Statement'!#REF!</definedName>
    <definedName name="_bdm.7BCC2E118FED4D558EDF16EAC524C3B0.edm" localSheetId="2" hidden="1">'Income Statement'!$A$1:$BI$149</definedName>
    <definedName name="_bdm.7f02be0166a541af84bf2e8d6f6ea10c.edm" localSheetId="2" hidden="1">'Income Statement'!$A$5:$BU$141</definedName>
    <definedName name="_bdm.822498808df9419c9f1f58c1861195c7.edm" hidden="1">#REF!</definedName>
    <definedName name="_bdm.82d34ae913194e699d26afcb91b4e77b.edm" localSheetId="2" hidden="1">'Income Statement'!$A$1:$BR$141</definedName>
    <definedName name="_bdm.843f07a3880a471995eebe0cfd3eaae0.edm" hidden="1">#REF!</definedName>
    <definedName name="_bdm.878C73BFD23F44D38D2E68B1D6DFD0C1.edm" localSheetId="2" hidden="1">'Income Statement'!#REF!</definedName>
    <definedName name="_bdm.87AFBB18D4C0453294BB682492D6E5ED.edm" localSheetId="4" hidden="1">#REF!</definedName>
    <definedName name="_bdm.87AFBB18D4C0453294BB682492D6E5ED.edm" localSheetId="5" hidden="1">#REF!</definedName>
    <definedName name="_bdm.87AFBB18D4C0453294BB682492D6E5ED.edm" localSheetId="2" hidden="1">#REF!</definedName>
    <definedName name="_bdm.87AFBB18D4C0453294BB682492D6E5ED.edm" localSheetId="1" hidden="1">#REF!</definedName>
    <definedName name="_bdm.87AFBB18D4C0453294BB682492D6E5ED.edm" hidden="1">#REF!</definedName>
    <definedName name="_bdm.88B3BBA6D0914BF1B1DA6BF03A827957.edm" localSheetId="2" hidden="1">#REF!</definedName>
    <definedName name="_bdm.88B3BBA6D0914BF1B1DA6BF03A827957.edm" localSheetId="1" hidden="1">#REF!</definedName>
    <definedName name="_bdm.88B3BBA6D0914BF1B1DA6BF03A827957.edm" hidden="1">#REF!</definedName>
    <definedName name="_bdm.8bbf10b5076f4b0c92096002f66ba0cd.edm" localSheetId="4" hidden="1">#REF!</definedName>
    <definedName name="_bdm.8bbf10b5076f4b0c92096002f66ba0cd.edm" localSheetId="5" hidden="1">#REF!</definedName>
    <definedName name="_bdm.8bbf10b5076f4b0c92096002f66ba0cd.edm" localSheetId="2" hidden="1">#REF!</definedName>
    <definedName name="_bdm.8bbf10b5076f4b0c92096002f66ba0cd.edm" localSheetId="1" hidden="1">#REF!</definedName>
    <definedName name="_bdm.8bbf10b5076f4b0c92096002f66ba0cd.edm" hidden="1">#REF!</definedName>
    <definedName name="_bdm.933fdc50d73e4b9789d746d5c5ea5081.edm" localSheetId="2" hidden="1">'Income Statement'!$A$1:$BK$141</definedName>
    <definedName name="_bdm.9545F5ABFC7D443BABAD345DFF09792E.edm" localSheetId="2" hidden="1">'Income Statement'!#REF!</definedName>
    <definedName name="_bdm.9608CC3EC1324B429C0C56BD76166DA7.edm" localSheetId="2" hidden="1">#REF!</definedName>
    <definedName name="_bdm.9608CC3EC1324B429C0C56BD76166DA7.edm" localSheetId="3" hidden="1">#REF!</definedName>
    <definedName name="_bdm.9608CC3EC1324B429C0C56BD76166DA7.edm" localSheetId="1" hidden="1">#REF!</definedName>
    <definedName name="_bdm.9608CC3EC1324B429C0C56BD76166DA7.edm" hidden="1">#REF!</definedName>
    <definedName name="_bdm.964a742351cf4dc3ba9b63206a94ef09.edm" localSheetId="2" hidden="1">#REF!</definedName>
    <definedName name="_bdm.964a742351cf4dc3ba9b63206a94ef09.edm" localSheetId="1" hidden="1">#REF!</definedName>
    <definedName name="_bdm.964a742351cf4dc3ba9b63206a94ef09.edm" hidden="1">#REF!</definedName>
    <definedName name="_bdm.98a8ef25101942b19b26c13fe75f13b1.edm" localSheetId="4" hidden="1">#REF!</definedName>
    <definedName name="_bdm.98a8ef25101942b19b26c13fe75f13b1.edm" localSheetId="5" hidden="1">#REF!</definedName>
    <definedName name="_bdm.98a8ef25101942b19b26c13fe75f13b1.edm" localSheetId="2" hidden="1">#REF!</definedName>
    <definedName name="_bdm.98a8ef25101942b19b26c13fe75f13b1.edm" localSheetId="1" hidden="1">#REF!</definedName>
    <definedName name="_bdm.98a8ef25101942b19b26c13fe75f13b1.edm" hidden="1">#REF!</definedName>
    <definedName name="_bdm.9C141D87F75F4E64B27F6F6129B743FC.edm" localSheetId="2" hidden="1">#REF!</definedName>
    <definedName name="_bdm.9C141D87F75F4E64B27F6F6129B743FC.edm" localSheetId="1" hidden="1">#REF!</definedName>
    <definedName name="_bdm.9C141D87F75F4E64B27F6F6129B743FC.edm" hidden="1">#REF!</definedName>
    <definedName name="_bdm.A168FD8AE2544865AA17465742DF341F.edm" localSheetId="2" hidden="1">'Income Statement'!$A$1:$BH$141</definedName>
    <definedName name="_bdm.A79C91B1E6CA4E809A935B6F47FEDF63.edm" localSheetId="4" hidden="1">#REF!</definedName>
    <definedName name="_bdm.A79C91B1E6CA4E809A935B6F47FEDF63.edm" localSheetId="5" hidden="1">#REF!</definedName>
    <definedName name="_bdm.A79C91B1E6CA4E809A935B6F47FEDF63.edm" localSheetId="2" hidden="1">#REF!</definedName>
    <definedName name="_bdm.A79C91B1E6CA4E809A935B6F47FEDF63.edm" localSheetId="1" hidden="1">#REF!</definedName>
    <definedName name="_bdm.A79C91B1E6CA4E809A935B6F47FEDF63.edm" hidden="1">#REF!</definedName>
    <definedName name="_bdm.A7F6CD9E0D32413485B29D92CB17AF14.edm" localSheetId="2" hidden="1">'Income Statement'!#REF!</definedName>
    <definedName name="_bdm.aab320a1717a475cad4a18879677edbf.edm" hidden="1">#REF!</definedName>
    <definedName name="_bdm.AB14FCC1989D49F99C7203D813188F62.edm" localSheetId="2" hidden="1">'Income Statement'!$A$1:$BG$149</definedName>
    <definedName name="_bdm.aeccbda2970d4620a0ae7017cd9c1060.edm" localSheetId="2" hidden="1">'Income Statement'!$A$1:$BS$130</definedName>
    <definedName name="_bdm.af44b290535747b3b22647e7111bd89e.edm" localSheetId="2" hidden="1">'Income Statement'!$A$1:$BJ$141</definedName>
    <definedName name="_bdm.B09651DF3F2649D4BE5FC3BFC12E678D.edm" localSheetId="2" hidden="1">'Income Statement'!#REF!</definedName>
    <definedName name="_bdm.bd4bedb0b6444dfe9b0bf4796f46ee08.edm" localSheetId="2" hidden="1">'Income Statement'!$A$1:$BM$141</definedName>
    <definedName name="_bdm.ce8a8943bcef42d0b872e307a0e0c4fa.edm" localSheetId="2" hidden="1">'Income Statement'!$A$1:$BS$65</definedName>
    <definedName name="_bdm.CFBED2310C4548578CDDADD5FFDE9910.edm" localSheetId="2" hidden="1">#REF!</definedName>
    <definedName name="_bdm.CFBED2310C4548578CDDADD5FFDE9910.edm" localSheetId="3" hidden="1">#REF!</definedName>
    <definedName name="_bdm.CFBED2310C4548578CDDADD5FFDE9910.edm" localSheetId="1" hidden="1">#REF!</definedName>
    <definedName name="_bdm.CFBED2310C4548578CDDADD5FFDE9910.edm" hidden="1">#REF!</definedName>
    <definedName name="_bdm.D0B68A7969F04C97A8B029359DF0A339.edm" localSheetId="2" hidden="1">#REF!</definedName>
    <definedName name="_bdm.D0B68A7969F04C97A8B029359DF0A339.edm" hidden="1">#REF!</definedName>
    <definedName name="_bdm.D0EC491C134B42A3942058952140EEFF.edm" localSheetId="2" hidden="1">#REF!</definedName>
    <definedName name="_bdm.D0EC491C134B42A3942058952140EEFF.edm" hidden="1">#REF!</definedName>
    <definedName name="_bdm.D348F495F19E4041BAC31ADC890B9117.edm" localSheetId="2" hidden="1">'Income Statement'!$A$1:$BG$141</definedName>
    <definedName name="_bdm.D5985AA729EC4BC49D1997285230851A.edm" hidden="1">#REF!</definedName>
    <definedName name="_bdm.d63d5f84315745e683ad193ad0dc495a.edm" localSheetId="2" hidden="1">'Income Statement'!$A$1:$BR$65</definedName>
    <definedName name="_bdm.D9DBF939337141DF98658D4426EEB22F.edm" localSheetId="2" hidden="1">#REF!</definedName>
    <definedName name="_bdm.D9DBF939337141DF98658D4426EEB22F.edm" localSheetId="3" hidden="1">#REF!</definedName>
    <definedName name="_bdm.D9DBF939337141DF98658D4426EEB22F.edm" localSheetId="1" hidden="1">#REF!</definedName>
    <definedName name="_bdm.D9DBF939337141DF98658D4426EEB22F.edm" hidden="1">#REF!</definedName>
    <definedName name="_bdm.dfcd7009f3ba4ad18552dd5b0a3f446b.edm" localSheetId="4" hidden="1">#REF!</definedName>
    <definedName name="_bdm.dfcd7009f3ba4ad18552dd5b0a3f446b.edm" localSheetId="5" hidden="1">#REF!</definedName>
    <definedName name="_bdm.dfcd7009f3ba4ad18552dd5b0a3f446b.edm" localSheetId="2" hidden="1">#REF!</definedName>
    <definedName name="_bdm.dfcd7009f3ba4ad18552dd5b0a3f446b.edm" localSheetId="1" hidden="1">#REF!</definedName>
    <definedName name="_bdm.dfcd7009f3ba4ad18552dd5b0a3f446b.edm" hidden="1">#REF!</definedName>
    <definedName name="_bdm.E1D9B56B27694606B24B6BE4D2FD0850.edm" localSheetId="2" hidden="1">#REF!</definedName>
    <definedName name="_bdm.E1D9B56B27694606B24B6BE4D2FD0850.edm" localSheetId="1" hidden="1">#REF!</definedName>
    <definedName name="_bdm.E1D9B56B27694606B24B6BE4D2FD0850.edm" hidden="1">#REF!</definedName>
    <definedName name="_bdm.e27d754f9a9d40bf8820433169e6247c.edm" localSheetId="2" hidden="1">'Income Statement'!$A$5:$BT$141</definedName>
    <definedName name="_bdm.E3517E4B4D924923AD759EF593B301B6.edm" localSheetId="2" hidden="1">'Income Statement'!#REF!</definedName>
    <definedName name="_bdm.E70757C79F5C4AF9BBB88BC0CA8EBCF1.edm" localSheetId="2" hidden="1">'Income Statement'!$1:$1048576</definedName>
    <definedName name="_bdm.E70757C79F5C4AF9BBB88BC0CA8EBCF1.edm" hidden="1">#REF!</definedName>
    <definedName name="_bdm.e7a243fb4f0e4085b05d6322f6abadf5.edm" localSheetId="2" hidden="1">'Income Statement'!$A$1:$BJ$141</definedName>
    <definedName name="_bdm.E9DD6276FDA94FFEB3AB90FD80238AD0.edm" localSheetId="4" hidden="1">#REF!</definedName>
    <definedName name="_bdm.E9DD6276FDA94FFEB3AB90FD80238AD0.edm" localSheetId="5" hidden="1">#REF!</definedName>
    <definedName name="_bdm.E9DD6276FDA94FFEB3AB90FD80238AD0.edm" localSheetId="2" hidden="1">#REF!</definedName>
    <definedName name="_bdm.E9DD6276FDA94FFEB3AB90FD80238AD0.edm" localSheetId="1" hidden="1">#REF!</definedName>
    <definedName name="_bdm.E9DD6276FDA94FFEB3AB90FD80238AD0.edm" hidden="1">#REF!</definedName>
    <definedName name="_bdm.EBCB44EAE86645D695157E61F1A386FB.edm" localSheetId="2" hidden="1">#REF!</definedName>
    <definedName name="_bdm.EBCB44EAE86645D695157E61F1A386FB.edm" localSheetId="1" hidden="1">#REF!</definedName>
    <definedName name="_bdm.EBCB44EAE86645D695157E61F1A386FB.edm" hidden="1">#REF!</definedName>
    <definedName name="_bdm.FAA595CCDBD54C468170478D73040F67.edm" localSheetId="2" hidden="1">#REF!</definedName>
    <definedName name="_bdm.FAA595CCDBD54C468170478D73040F67.edm" localSheetId="3" hidden="1">#REF!</definedName>
    <definedName name="_bdm.FAA595CCDBD54C468170478D73040F67.edm" localSheetId="1" hidden="1">#REF!</definedName>
    <definedName name="_bdm.FAA595CCDBD54C468170478D73040F67.edm" hidden="1">#REF!</definedName>
    <definedName name="_bdm.FastTrackBookmark.1_6_2020_1_52_42_PM.edm" hidden="1">#REF!</definedName>
    <definedName name="_bdm.FastTrackBookmark.12_11_2019_6_18_56_PM.edm" hidden="1">#REF!</definedName>
    <definedName name="_bdm.FastTrackBookmark.12_12_2019_1_12_59_PM.edm" hidden="1">#REF!</definedName>
    <definedName name="_bdm.FastTrackBookmark.12_17_2019_5_55_49_AM.edm" hidden="1">#REF!</definedName>
    <definedName name="_bdm.FastTrackBookmark.12_19_2019_1_46_03_AM.edm" hidden="1">#REF!</definedName>
    <definedName name="_bdm.FastTrackBookmark.12_2_2019_9_29_52_PM.edm" localSheetId="2" hidden="1">'Income Statement'!$T$10</definedName>
    <definedName name="_bdm.FastTrackBookmark.12_2_2019_9_29_52_PM.edm" hidden="1">#REF!</definedName>
    <definedName name="_bdm.FastTrackBookmark.2_19_2020_8_51_59_AM.edm" hidden="1">#REF!</definedName>
    <definedName name="_bdm.FastTrackBookmark.2_19_2021_8_25_41_PM.edm" hidden="1">#REF!</definedName>
    <definedName name="_bdm.FastTrackBookmark.2_3_2020_3_26_26_PM.edm" hidden="1">#REF!</definedName>
    <definedName name="_bdm.FastTrackBookmark.6_15_2021_2_38_38_PM.edm" hidden="1">#REF!</definedName>
    <definedName name="_bdm.FastTrackBookmark.6_15_2021_2_39_01_PM.edm" hidden="1">#REF!</definedName>
    <definedName name="_bdm.FastTrackBookmark.8_12_2022_8_55_37_AM.edm" hidden="1">#REF!</definedName>
    <definedName name="_bdm.FastTrackBookmark.9_2_2020_12_10_17_PM.edm" hidden="1">#REF!</definedName>
    <definedName name="_bdm.FF99397BBD21407DB12596C325D869ED.edm" localSheetId="2" hidden="1">#REF!</definedName>
    <definedName name="_bdm.FF99397BBD21407DB12596C325D869ED.edm" localSheetId="3" hidden="1">#REF!</definedName>
    <definedName name="_bdm.FF99397BBD21407DB12596C325D869ED.edm" localSheetId="1" hidden="1">#REF!</definedName>
    <definedName name="_bdm.FF99397BBD21407DB12596C325D869ED.edm" hidden="1">#REF!</definedName>
    <definedName name="Billings" localSheetId="2">#REF!</definedName>
    <definedName name="Billings" localSheetId="1">#REF!</definedName>
    <definedName name="Billings">#REF!</definedName>
    <definedName name="BS">'Balance Sheet'!$A$1:$BL$76</definedName>
    <definedName name="CF">'Cash Flow'!$A$1:$BR$78</definedName>
    <definedName name="Current" localSheetId="2">#REF!</definedName>
    <definedName name="Current" localSheetId="3">#REF!</definedName>
    <definedName name="Current" localSheetId="1">#REF!</definedName>
    <definedName name="Current">#REF!</definedName>
    <definedName name="Current_Net_Cash">#REF!</definedName>
    <definedName name="Current_Shares" localSheetId="4">#REF!</definedName>
    <definedName name="Current_Shares" localSheetId="5">#REF!</definedName>
    <definedName name="Current_Shares" localSheetId="2">#REF!</definedName>
    <definedName name="Current_Shares" localSheetId="1">#REF!</definedName>
    <definedName name="Current_Shares">#REF!</definedName>
    <definedName name="Debt">#REF!</definedName>
    <definedName name="Img_ML_1a9i6f1a" hidden="1">"IMG_11"</definedName>
    <definedName name="Img_ML_1c3d1n6n" hidden="1">"IMG_17"</definedName>
    <definedName name="Img_ML_1e1k9n5y" hidden="1">"IMG_18"</definedName>
    <definedName name="Img_ML_1g9y2u4q" hidden="1">"IMG_3"</definedName>
    <definedName name="Img_ML_1h4n3h8h" hidden="1">"IMG_17"</definedName>
    <definedName name="Img_ML_1k4g9u7k" hidden="1">"IMG_18"</definedName>
    <definedName name="Img_ML_1t5s6u1f" hidden="1">"IMG_17"</definedName>
    <definedName name="Img_ML_1y7a6c1t" hidden="1">"IMG_12"</definedName>
    <definedName name="Img_ML_2b1a1a6f" hidden="1">"IMG_11"</definedName>
    <definedName name="Img_ML_2b2b8h8h" hidden="1">"IMG_5"</definedName>
    <definedName name="Img_ML_2b4d2b3c" hidden="1">"IMG_11"</definedName>
    <definedName name="Img_ML_2b5e9i4d" hidden="1">"IMG_12"</definedName>
    <definedName name="Img_ML_2b9i6f3c" hidden="1">"IMG_12"</definedName>
    <definedName name="Img_ML_2e1r5p2m" hidden="1">"IMG_18"</definedName>
    <definedName name="Img_ML_2i4d6c2r" hidden="1">"IMG_11"</definedName>
    <definedName name="Img_ML_2j4h5d5y" hidden="1">"IMG_18"</definedName>
    <definedName name="Img_ML_2j6i5k6b" hidden="1">"IMG_17"</definedName>
    <definedName name="Img_ML_2v6s9i5c" hidden="1">"IMG_6"</definedName>
    <definedName name="Img_ML_2x1b8j5c" hidden="1">"IMG_5"</definedName>
    <definedName name="Img_ML_2x8r4a2e" hidden="1">"IMG_56"</definedName>
    <definedName name="Img_ML_3b3j3x9k" hidden="1">"IMG_12"</definedName>
    <definedName name="Img_ML_3c4d1a4d" hidden="1">"IMG_12"</definedName>
    <definedName name="Img_ML_3c4d2b5e" hidden="1">"IMG_12"</definedName>
    <definedName name="Img_ML_3c6e9c4g" hidden="1">"IMG_5"</definedName>
    <definedName name="Img_ML_3c7g1a7g" hidden="1">"IMG_6"</definedName>
    <definedName name="Img_ML_3c9i9i4d" hidden="1">"IMG_10"</definedName>
    <definedName name="Img_ML_3e2q4k7i" hidden="1">"IMG_55"</definedName>
    <definedName name="Img_ML_3g8d6p6r" hidden="1">"IMG_10"</definedName>
    <definedName name="Img_ML_3h2n3p4v" hidden="1">"IMG_18"</definedName>
    <definedName name="Img_ML_3p2b9c6w" hidden="1">"IMG_18"</definedName>
    <definedName name="Img_ML_3p5d9q5j" hidden="1">"IMG_12"</definedName>
    <definedName name="Img_ML_3r4u7k1k" hidden="1">"IMG_6"</definedName>
    <definedName name="Img_ML_3x8m5t8j" hidden="1">"IMG_18"</definedName>
    <definedName name="Img_ML_3y1j4m2m" hidden="1">"IMG_10"</definedName>
    <definedName name="Img_ML_4b5r5k9y" hidden="1">"IMG_17"</definedName>
    <definedName name="Img_ML_4d4d7g3c" hidden="1">"IMG_6"</definedName>
    <definedName name="Img_ML_4k8k7q4x" hidden="1">"IMG_17"</definedName>
    <definedName name="Img_ML_4m3p5r8j" hidden="1">"IMG_18"</definedName>
    <definedName name="Img_ML_4n6t1k1h" hidden="1">"IMG_17"</definedName>
    <definedName name="Img_ML_4r3t2p9g" hidden="1">"IMG_56"</definedName>
    <definedName name="Img_ML_4u2s9f9y" hidden="1">"IMG_17"</definedName>
    <definedName name="Img_ML_4u3z1k5l" hidden="1">"IMG_11"</definedName>
    <definedName name="Img_ML_5d3i8b5s" hidden="1">"IMG_56"</definedName>
    <definedName name="Img_ML_5e6f9i8h" hidden="1">"IMG_12"</definedName>
    <definedName name="Img_ML_5e7g5e5e" hidden="1">"IMG_5"</definedName>
    <definedName name="Img_ML_5e7s6t2u" hidden="1">"IMG_17"</definedName>
    <definedName name="Img_ML_5e9i9i2b" hidden="1">"IMG_10"</definedName>
    <definedName name="Img_ML_5e9m1k3s" hidden="1">"IMG_5"</definedName>
    <definedName name="Img_ML_5f9d1i5x" hidden="1">"IMG_6"</definedName>
    <definedName name="Img_ML_5f9x9u4u" hidden="1">"IMG_12"</definedName>
    <definedName name="Img_ML_5h6q3g8u" hidden="1">"IMG_18"</definedName>
    <definedName name="Img_ML_5k1g6v5e" hidden="1">"IMG_56"</definedName>
    <definedName name="Img_ML_5k7e4n8n" hidden="1">"IMG_18"</definedName>
    <definedName name="Img_ML_5k8u7s9i" hidden="1">"IMG_18"</definedName>
    <definedName name="Img_ML_6a6y1x1h" hidden="1">"IMG_11"</definedName>
    <definedName name="Img_ML_6f2b1a5e" hidden="1">"IMG_10"</definedName>
    <definedName name="Img_ML_6f2p1m9g" hidden="1">"IMG_10"</definedName>
    <definedName name="Img_ML_6f5e5e4d" hidden="1">"IMG_12"</definedName>
    <definedName name="Img_ML_6f6f4d9i" hidden="1">"IMG_12"</definedName>
    <definedName name="Img_ML_6f9i2b5e" hidden="1">"IMG_10"</definedName>
    <definedName name="Img_ML_6j2t7j8z" hidden="1">"IMG_4"</definedName>
    <definedName name="Img_ML_6j4v6x5i" hidden="1">"IMG_11"</definedName>
    <definedName name="Img_ML_6k9c9p4d" hidden="1">"IMG_11"</definedName>
    <definedName name="Img_ML_6m3p7m9h" hidden="1">"IMG_17"</definedName>
    <definedName name="Img_ML_6m6i9t6k" hidden="1">"IMG_11"</definedName>
    <definedName name="Img_ML_6n6c2h1d" hidden="1">"IMG_17"</definedName>
    <definedName name="Img_ML_6p2b6u6k" hidden="1">"IMG_11"</definedName>
    <definedName name="Img_ML_6p3m8v1n" hidden="1">"IMG_17"</definedName>
    <definedName name="Img_ML_6r9u1n9k" hidden="1">"IMG_18"</definedName>
    <definedName name="Img_ML_6u1b6h4m" hidden="1">"IMG_17"</definedName>
    <definedName name="Img_ML_6u4t7r7e" hidden="1">"IMG_17"</definedName>
    <definedName name="Img_ML_6w6m7b7r" hidden="1">"IMG_56"</definedName>
    <definedName name="Img_ML_6y9f7y3n" hidden="1">"IMG_18"</definedName>
    <definedName name="Img_ML_7b3x8f2f" hidden="1">"IMG_17"</definedName>
    <definedName name="Img_ML_7e1g7x4r" hidden="1">"IMG_12"</definedName>
    <definedName name="Img_ML_7g3c2b9i" hidden="1">"IMG_12"</definedName>
    <definedName name="Img_ML_7g4k9d6i" hidden="1">"IMG_18"</definedName>
    <definedName name="Img_ML_7g5e5e2b" hidden="1">"IMG_6"</definedName>
    <definedName name="Img_ML_7m3b4p7p" hidden="1">"IMG_17"</definedName>
    <definedName name="Img_ML_7m5m4k3b" hidden="1">"IMG_10"</definedName>
    <definedName name="Img_ML_7n6h3t1t" hidden="1">"IMG_12"</definedName>
    <definedName name="Img_ML_7s4w7c6r" hidden="1">"IMG_18"</definedName>
    <definedName name="Img_ML_7s7w4o2i" hidden="1">"IMG_3"</definedName>
    <definedName name="Img_ML_7w3j1h9t" hidden="1">"IMG_17"</definedName>
    <definedName name="Img_ML_8a8m2p9x" hidden="1">"IMG_12"</definedName>
    <definedName name="Img_ML_8b4s3j4n" hidden="1">"IMG_18"</definedName>
    <definedName name="Img_ML_8b9j5t1p" hidden="1">"IMG_18"</definedName>
    <definedName name="Img_ML_8c2q5i2r" hidden="1">"IMG_55"</definedName>
    <definedName name="Img_ML_8c4u3q4u" hidden="1">"IMG_17"</definedName>
    <definedName name="Img_ML_8d2w4j7j" hidden="1">"IMG_4"</definedName>
    <definedName name="Img_ML_8g3e4a7v" hidden="1">"IMG_6"</definedName>
    <definedName name="Img_ML_8h3m3i1m" hidden="1">"IMG_6"</definedName>
    <definedName name="Img_ML_8h4d9i2b" hidden="1">"IMG_11"</definedName>
    <definedName name="Img_ML_8h5e9i3c" hidden="1">"IMG_5"</definedName>
    <definedName name="Img_ML_8h7g3c9i" hidden="1">"IMG_10"</definedName>
    <definedName name="Img_ML_8h7g4d4d" hidden="1">"IMG_10"</definedName>
    <definedName name="Img_ML_8i9u7w8k" hidden="1">"IMG_56"</definedName>
    <definedName name="Img_ML_8j3w6p4c" hidden="1">"IMG_17"</definedName>
    <definedName name="Img_ML_8r1k8t4y" hidden="1">"IMG_18"</definedName>
    <definedName name="Img_ML_8r9f4n4f" hidden="1">"IMG_11"</definedName>
    <definedName name="Img_ML_8s3q3c1i" hidden="1">"IMG_18"</definedName>
    <definedName name="Img_ML_8t3m5u6f" hidden="1">"IMG_18"</definedName>
    <definedName name="Img_ML_9c9p6w6g" hidden="1">"IMG_11"</definedName>
    <definedName name="Img_ML_9g2r1i7c" hidden="1">"IMG_17"</definedName>
    <definedName name="Img_ML_9g3r6t7h" hidden="1">"IMG_17"</definedName>
    <definedName name="Img_ML_9j3t2m3v" hidden="1">"IMG_56"</definedName>
    <definedName name="Img_ML_9n1s4m5f" hidden="1">"IMG_11"</definedName>
    <definedName name="Img_ML_9u2c1d4e" hidden="1">"IMG_11"</definedName>
    <definedName name="Img_ML_9v6s2g1u" hidden="1">"IMG_18"</definedName>
    <definedName name="Img_Production_Breakdown" hidden="1">"IMG_3"</definedName>
    <definedName name="Img_ROIC_proforma" hidden="1">"IMG_11"</definedName>
    <definedName name="International.new" localSheetId="4"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nternational.new" localSheetId="5"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nternational.new" localSheetId="3"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nternational.new" localSheetId="1"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nternational.new"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ITAL_LEASES_TOTAL" hidden="1">"c3031"</definedName>
    <definedName name="IQ_CAPITAL_LEASES_TOTAL_PCT" hidden="1">"c2506"</definedName>
    <definedName name="IQ_CAPITALIZED_INTEREST" hidden="1">"c2076"</definedName>
    <definedName name="IQ_CASH_SHARE" hidden="1">"c1911"</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HANGE_NET_WORKING_CAPITAL" hidden="1">"c1909"</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_ADJ" hidden="1">"c2115"</definedName>
    <definedName name="IQ_COMMON_DIV" hidden="1">"c3006"</definedName>
    <definedName name="IQ_COMPANY_STATUS" hidden="1">"c2097"</definedName>
    <definedName name="IQ_COMPANY_TYPE" hidden="1">"c2096"</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VERED_POPS" hidden="1">"c2124"</definedName>
    <definedName name="IQ_CP" hidden="1">"c2495"</definedName>
    <definedName name="IQ_CP_PCT" hidden="1">"c2496"</definedName>
    <definedName name="IQ_CUMULATIVE_SPLIT_FACTOR" hidden="1">"c2094"</definedName>
    <definedName name="IQ_CURR_DOMESTIC_TAXES" hidden="1">"c2074"</definedName>
    <definedName name="IQ_CURR_FOREIGN_TAXES" hidden="1">"c2075"</definedName>
    <definedName name="IQ_CURRENT_PORT_PCT" hidden="1">"c2541"</definedName>
    <definedName name="IQ_DATED_DATE" hidden="1">"c2185"</definedName>
    <definedName name="IQ_DAY_COUNT" hidden="1">"c2161"</definedName>
    <definedName name="IQ_DEBT_ADJ" hidden="1">"c2515"</definedName>
    <definedName name="IQ_DEBT_ADJ_PCT" hidden="1">"c2516"</definedName>
    <definedName name="IQ_DEBT_EQUIV_NET_PBO" hidden="1">"c2938"</definedName>
    <definedName name="IQ_DEBT_EQUIV_OPER_LEASE" hidden="1">"c2935"</definedName>
    <definedName name="IQ_DEF_BENEFIT_INTEREST_COST_DOMESTIC" hidden="1">"c2652"</definedName>
    <definedName name="IQ_DEF_BENEFIT_INTEREST_COST_FOREIGN" hidden="1">"c2660"</definedName>
    <definedName name="IQ_DEF_BENEFIT_OTHER_COST_DOMESTIC" hidden="1">"c2654"</definedName>
    <definedName name="IQ_DEF_BENEFIT_OTHER_COST_FOREIGN" hidden="1">"c2662"</definedName>
    <definedName name="IQ_DEF_BENEFIT_ROA_DOMESTIC" hidden="1">"c2653"</definedName>
    <definedName name="IQ_DEF_BENEFIT_ROA_FOREIGN" hidden="1">"c2661"</definedName>
    <definedName name="IQ_DEF_BENEFIT_SERVICE_COST_DOMESTIC" hidden="1">"c2651"</definedName>
    <definedName name="IQ_DEF_BENEFIT_SERVICE_COST_FOREIGN" hidden="1">"c2659"</definedName>
    <definedName name="IQ_DEF_BENEFIT_TOTAL_COST_DOMESTIC" hidden="1">"c2655"</definedName>
    <definedName name="IQ_DEF_BENEFIT_TOTAL_COST_FOREIGN" hidden="1">"c2663"</definedName>
    <definedName name="IQ_DEFERRED_DOMESTIC_TAXES" hidden="1">"c2077"</definedName>
    <definedName name="IQ_DEFERRED_FOREIGN_TAXES" hidden="1">"c2078"</definedName>
    <definedName name="IQ_DIFF_LASTCLOSE_TARGET_PRICE" hidden="1">"c1854"</definedName>
    <definedName name="IQ_DILUT_EPS_NORM" hidden="1">"c1903"</definedName>
    <definedName name="IQ_DILUT_NI" hidden="1">"c2079"</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URATION" hidden="1">"c2181"</definedName>
    <definedName name="IQ_EARNINGS_ANNOUNCE_DATE" hidden="1">"c1649"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R" hidden="1">"c2989"</definedName>
    <definedName name="IQ_EBT_INCL_MARGIN" hidden="1">"c387"</definedName>
    <definedName name="IQ_EFFECT_TAX_RATE" hidden="1">"c1899"</definedName>
    <definedName name="IQ_EPS_ACT_OR_EST" hidden="1">"c2213"</definedName>
    <definedName name="IQ_EPS_MEDIAN_EST" hidden="1">"c1661"</definedName>
    <definedName name="IQ_EPS_NORM" hidden="1">"c1902"</definedName>
    <definedName name="IQ_EST_CURRENCY" hidden="1">"c2140"</definedName>
    <definedName name="IQ_EST_EPS_DIFF" hidden="1">"c1864"</definedName>
    <definedName name="IQ_EST_EPS_GROWTH_5YR" hidden="1">"c1655"</definedName>
    <definedName name="IQ_EVAL_DATE" hidden="1">"c2180"</definedName>
    <definedName name="IQ_EXERCISED" hidden="1">"c406"</definedName>
    <definedName name="IQ_FEDFUNDS_SOLD" hidden="1">"c2256"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M_RIGHTS" hidden="1">"c2254"</definedName>
    <definedName name="IQ_FIRST_INT_DATE" hidden="1">"c2186"</definedName>
    <definedName name="IQ_FIRST_YEAR_LIFE_PREM" hidden="1">"c2787"</definedName>
    <definedName name="IQ_FIRST_YEAR_PREM" hidden="1">"c2786"</definedName>
    <definedName name="IQ_FIRSTPRICINGDATE" hidden="1">"c3050"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GA_EXP" hidden="1">"c2241"</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EARNED" hidden="1">"c2732"</definedName>
    <definedName name="IQ_GROSS_LIFE_EARNED" hidden="1">"c2737"</definedName>
    <definedName name="IQ_GROSS_LIFE_IN_FORCE" hidden="1">"c2767"</definedName>
    <definedName name="IQ_GROSS_PC_EARNED" hidden="1">"c2747"</definedName>
    <definedName name="IQ_GROSS_SPRD" hidden="1">"c2155"</definedName>
    <definedName name="IQ_GROSS_WRITTEN" hidden="1">"c2726"</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HIGH_TARGET_PRICE" hidden="1">"c1651"</definedName>
    <definedName name="IQ_IMPUT_OPER_LEASE_DEPR" hidden="1">"c2987"</definedName>
    <definedName name="IQ_IMPUT_OPER_LEASE_INT_EXP" hidden="1">"c2986"</definedName>
    <definedName name="IQ_INS_ANNUITY_REV" hidden="1">"c2788"</definedName>
    <definedName name="IQ_INT_EXP_INCL_CAP" hidden="1">"c2988"</definedName>
    <definedName name="IQ_INT_EXP_LTD" hidden="1">"c2086"</definedName>
    <definedName name="IQ_INTEREST_CASH_DEPOSITS" hidden="1">"c2255"</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_DATE" hidden="1">"c2109"</definedName>
    <definedName name="IQ_LATESTK" hidden="1">1000</definedName>
    <definedName name="IQ_LATESTQ" hidden="1">500</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OSS_TO_NET_EARNED" hidden="1">"c2751"</definedName>
    <definedName name="IQ_LOW_TARGET_PRICE" hidden="1">"c1652"</definedName>
    <definedName name="IQ_LT_DEBT_CAPITAL_LEASES" hidden="1">"c2542"</definedName>
    <definedName name="IQ_LT_DEBT_CAPITAL_LEASES_PCT" hidden="1">"c2543"</definedName>
    <definedName name="IQ_LTMMONTH" hidden="1">120000</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INORITY_INTEREST_TOTAL" hidden="1">"c1905"</definedName>
    <definedName name="IQ_MORTGAGE_SERV_RIGHTS" hidden="1">"c2242"</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_EBITDA_CAPEX" hidden="1">"c2949"</definedName>
    <definedName name="IQ_NET_EARNED" hidden="1">"c2734"</definedName>
    <definedName name="IQ_NET_LIFE_INS_IN_FORCE" hidden="1">"c2769"</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ONCASH_PENSION_EXP" hidden="1">"c3000"</definedName>
    <definedName name="IQ_NONRECOURSE_DEBT" hidden="1">"c2550"</definedName>
    <definedName name="IQ_NONRECOURSE_DEBT_PCT" hidden="1">"c2551"</definedName>
    <definedName name="IQ_NONUTIL_REV" hidden="1">"c2089"</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PTIONS_EXERCISED" hidden="1">"c2116"</definedName>
    <definedName name="IQ_OPTIONS_GRANTED" hidden="1">"c2673"</definedName>
    <definedName name="IQ_OPTIONS_STRIKE_PRICE_GRANTED" hidden="1">"c2678"</definedName>
    <definedName name="IQ_OPTIONS_STRIKE_PRICE_OS" hidden="1">"c2677"</definedName>
    <definedName name="IQ_ORDER_BACKLOG" hidden="1">"c2090"</definedName>
    <definedName name="IQ_OTHER_ASSETS_SERV_RIGHTS" hidden="1">"c2243"</definedName>
    <definedName name="IQ_OTHER_DEBT" hidden="1">"c2507"</definedName>
    <definedName name="IQ_OTHER_DEBT_PCT" hidden="1">"c2508"</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STRIKE_PRICE_GRANTED" hidden="1">"c2692"</definedName>
    <definedName name="IQ_OTHER_UNDRAWN" hidden="1">"c2522"</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WNERSHIP" hidden="1">"c2160"</definedName>
    <definedName name="IQ_PAYOUT_RATIO" hidden="1">"c1900"</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E_NORMALIZED" hidden="1">"c2207"</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STPAID_CHURN" hidden="1">"c2121"</definedName>
    <definedName name="IQ_POSTPAID_SUBS" hidden="1">"c2118"</definedName>
    <definedName name="IQ_PREPAID_CHURN" hidden="1">"c2120"</definedName>
    <definedName name="IQ_PREPAID_SUBS" hidden="1">"c2117"</definedName>
    <definedName name="IQ_PRICE_TARGET" hidden="1">"c82"</definedName>
    <definedName name="IQ_PRINCIPAL_AMT" hidden="1">"c2157"</definedName>
    <definedName name="IQ_PROJECTED_PENSION_OBLIGATION" hidden="1">"c1292"</definedName>
    <definedName name="IQ_PROJECTED_PENSION_OBLIGATION_DOMESTIC" hidden="1">"c2656"</definedName>
    <definedName name="IQ_PROJECTED_PENSION_OBLIGATION_FOREIGN" hidden="1">"c2664"</definedName>
    <definedName name="IQ_PUT_DATE_SCHEDULE" hidden="1">"c2483"</definedName>
    <definedName name="IQ_PUT_NOTIFICATION" hidden="1">"c2485"</definedName>
    <definedName name="IQ_PUT_PRICE_SCHEDULE" hidden="1">"c2484"</definedName>
    <definedName name="IQ_RC" hidden="1">"c2497"</definedName>
    <definedName name="IQ_RC_PCT" hidden="1">"c2498"</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VISION_DATE_" hidden="1">39220.6890046296</definedName>
    <definedName name="IQ_RISK_ADJ_BANK_ASSETS" hidden="1">"c2670"</definedName>
    <definedName name="IQ_SALES_MARKETING" hidden="1">"c2240"</definedName>
    <definedName name="IQ_SAME_STORE_FRANCHISE" hidden="1">"c2900"</definedName>
    <definedName name="IQ_SAME_STORE_OWNED" hidden="1">"c2908"</definedName>
    <definedName name="IQ_SAME_STORE_TOTAL" hidden="1">"c2892"</definedName>
    <definedName name="IQ_SECURED_DEBT" hidden="1">"c2546"</definedName>
    <definedName name="IQ_SECURED_DEBT_PCT" hidden="1">"c2547"</definedName>
    <definedName name="IQ_SECURITY_LEVEL" hidden="1">"c2159"</definedName>
    <definedName name="IQ_SECURITY_NOTES" hidden="1">"c2202"</definedName>
    <definedName name="IQ_SECURITY_TYPE" hidden="1">"c2158"</definedName>
    <definedName name="IQ_SGA_MARGIN" hidden="1">"c1898"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_PCT" hidden="1">"c2539"</definedName>
    <definedName name="IQ_STOCK_BASED_AT" hidden="1">"c2999"</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TARGET_PRICE_NUM" hidden="1">"c1653"</definedName>
    <definedName name="IQ_TARGET_PRICE_STDDEV" hidden="1">"c1654"</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ERM_LOANS" hidden="1">"c2499"</definedName>
    <definedName name="IQ_TERM_LOANS_PCT" hidden="1">"c2500"</definedName>
    <definedName name="IQ_TEV_UFCF" hidden="1">"c2208"</definedName>
    <definedName name="IQ_TIER_ONE_CAPITAL" hidden="1">"c2667"</definedName>
    <definedName name="IQ_TIER_TWO_CAPITAL" hidden="1">"c2669"</definedName>
    <definedName name="IQ_TODAY" hidden="1">0</definedName>
    <definedName name="IQ_TOTAL_BANK_CAPITAL" hidden="1">"c2668"</definedName>
    <definedName name="IQ_TOTAL_CHURN" hidden="1">"c2122"</definedName>
    <definedName name="IQ_TOTAL_DEBT_EBITDA_CAPEX" hidden="1">"c2948"</definedName>
    <definedName name="IQ_TOTAL_DEBT_EXCL_FIN" hidden="1">"c2937"</definedName>
    <definedName name="IQ_TOTAL_EMPLOYEES" hidden="1">"c1522"</definedName>
    <definedName name="IQ_TOTAL_NON_REC" hidden="1">"c1444"</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UTSTANDING_BS_DATE" hidden="1">"c1022"</definedName>
    <definedName name="IQ_TOTAL_OUTSTANDING_FILING_DATE" hidden="1">"c2107"</definedName>
    <definedName name="IQ_TOTAL_PENSION_ASSETS_DOMESTIC" hidden="1">"c2658"</definedName>
    <definedName name="IQ_TOTAL_PENSION_ASSETS_FOREIGN" hidden="1">"c2666"</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V_SHARE" hidden="1">"c1912"</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ING_CURRENCY" hidden="1">"c2212"</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LEVERED_FCF" hidden="1">"c1908"</definedName>
    <definedName name="IQ_UNSECURED_DEBT" hidden="1">"c2548"</definedName>
    <definedName name="IQ_UNSECURED_DEBT_PCT" hidden="1">"c2549"</definedName>
    <definedName name="IQ_UNUSUAL_EXP" hidden="1">"c1456"</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REV" hidden="1">"c2091"</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XDIV_DATE" hidden="1">"c2203"</definedName>
    <definedName name="IQ_YEARHIGH_DATE" hidden="1">"c2250"</definedName>
    <definedName name="IQ_YEARLOW_DATE" hidden="1">"c2251"</definedName>
    <definedName name="IQ_YTDMONTH" hidden="1">130000</definedName>
    <definedName name="IQ_YTW" hidden="1">"c2163"</definedName>
    <definedName name="IQ_YTW_DATE" hidden="1">"c2164"</definedName>
    <definedName name="IQ_YTW_DATE_TYPE" hidden="1">"c2165"</definedName>
    <definedName name="iQShowHideColumns" hidden="1">"iQShowAnnual"</definedName>
    <definedName name="M_PlaceofPath" hidden="1">"H:\Tobacco General\Philip Morris\VDF\Mo_vdf.xls"</definedName>
    <definedName name="_xlnm.Print_Area" localSheetId="4">'Balance Sheet'!$A$1:$BL$58</definedName>
    <definedName name="_xlnm.Print_Area" localSheetId="5">'Cash Flow'!$A$1:$BJ$74</definedName>
    <definedName name="_xlnm.Print_Area" localSheetId="3">'Revenue Build'!$A$1:$BQ$675</definedName>
    <definedName name="Rating" localSheetId="4">#REF!</definedName>
    <definedName name="Rating" localSheetId="5">#REF!</definedName>
    <definedName name="Rating" localSheetId="2">#REF!</definedName>
    <definedName name="Rating" localSheetId="1">#REF!</definedName>
    <definedName name="Rating">#REF!</definedName>
    <definedName name="REV">'Revenue Build'!$A$1:$BL$677</definedName>
    <definedName name="REV_NOW">[1]Rev!$A$1:$EU$190</definedName>
    <definedName name="solver_adj" localSheetId="5" hidden="1">'Cash Flow'!#REF!,'Cash Flow'!#REF!,'Cash Flow'!#REF!,'Cash Flow'!#REF!</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2</definedName>
    <definedName name="solver_nod" localSheetId="5" hidden="1">2147483647</definedName>
    <definedName name="solver_num" localSheetId="5" hidden="1">0</definedName>
    <definedName name="solver_nwt" localSheetId="5" hidden="1">1</definedName>
    <definedName name="solver_opt" localSheetId="5" hidden="1">'Cash Flow'!$Y$31</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1458.7</definedName>
    <definedName name="solver_ver" localSheetId="5" hidden="1">3</definedName>
    <definedName name="SRU" localSheetId="4"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SRU" localSheetId="5"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SRU" localSheetId="3"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SRU" localSheetId="1"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SRU"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Target">#REF!</definedName>
    <definedName name="wrn.Print." localSheetId="4" hidden="1">{#N/A,#N/A,FALSE,"Balance Sheet_VDF";#N/A,#N/A,FALSE,"Income Statement_VDF";#N/A,#N/A,FALSE,"Forecasts_VDF";#N/A,#N/A,FALSE,"Summary Page_VDF";#N/A,#N/A,FALSE,"Invested capital_VDF";#N/A,#N/A,FALSE,"NOPAT_VDF";#N/A,#N/A,FALSE,"WACC_VDF";#N/A,#N/A,FALSE,"DCF_VDF";#N/A,#N/A,FALSE,"Charts_VDF"}</definedName>
    <definedName name="wrn.Print." localSheetId="5" hidden="1">{#N/A,#N/A,FALSE,"Balance Sheet_VDF";#N/A,#N/A,FALSE,"Income Statement_VDF";#N/A,#N/A,FALSE,"Forecasts_VDF";#N/A,#N/A,FALSE,"Summary Page_VDF";#N/A,#N/A,FALSE,"Invested capital_VDF";#N/A,#N/A,FALSE,"NOPAT_VDF";#N/A,#N/A,FALSE,"WACC_VDF";#N/A,#N/A,FALSE,"DCF_VDF";#N/A,#N/A,FALSE,"Charts_VDF"}</definedName>
    <definedName name="wrn.Print." localSheetId="3" hidden="1">{#N/A,#N/A,FALSE,"Balance Sheet_VDF";#N/A,#N/A,FALSE,"Income Statement_VDF";#N/A,#N/A,FALSE,"Forecasts_VDF";#N/A,#N/A,FALSE,"Summary Page_VDF";#N/A,#N/A,FALSE,"Invested capital_VDF";#N/A,#N/A,FALSE,"NOPAT_VDF";#N/A,#N/A,FALSE,"WACC_VDF";#N/A,#N/A,FALSE,"DCF_VDF";#N/A,#N/A,FALSE,"Charts_VDF"}</definedName>
    <definedName name="wrn.Print." localSheetId="1" hidden="1">{#N/A,#N/A,FALSE,"Balance Sheet_VDF";#N/A,#N/A,FALSE,"Income Statement_VDF";#N/A,#N/A,FALSE,"Forecasts_VDF";#N/A,#N/A,FALSE,"Summary Page_VDF";#N/A,#N/A,FALSE,"Invested capital_VDF";#N/A,#N/A,FALSE,"NOPAT_VDF";#N/A,#N/A,FALSE,"WACC_VDF";#N/A,#N/A,FALSE,"DCF_VDF";#N/A,#N/A,FALSE,"Charts_VDF"}</definedName>
    <definedName name="wrn.Print." hidden="1">{#N/A,#N/A,FALSE,"Balance Sheet_VDF";#N/A,#N/A,FALSE,"Income Statement_VDF";#N/A,#N/A,FALSE,"Forecasts_VDF";#N/A,#N/A,FALSE,"Summary Page_VDF";#N/A,#N/A,FALSE,"Invested capital_VDF";#N/A,#N/A,FALSE,"NOPAT_VDF";#N/A,#N/A,FALSE,"WACC_VDF";#N/A,#N/A,FALSE,"DCF_VDF";#N/A,#N/A,FALSE,"Charts_VDF"}</definedName>
    <definedName name="wrn.Print._.All." localSheetId="4" hidden="1">{#N/A,#N/A,FALSE,"Corp";#N/A,#N/A,FALSE,"D. Tobacco";#N/A,#N/A,FALSE,"Int'l Tobacco";#N/A,#N/A,FALSE,"Tobacco";#N/A,#N/A,FALSE,"D. Food";#N/A,#N/A,FALSE,"Intl Food";#N/A,#N/A,FALSE,"Food";#N/A,#N/A,FALSE,"Miller";#N/A,#N/A,FALSE,"Fin &amp; RE"}</definedName>
    <definedName name="wrn.Print._.All." localSheetId="5" hidden="1">{#N/A,#N/A,FALSE,"Corp";#N/A,#N/A,FALSE,"D. Tobacco";#N/A,#N/A,FALSE,"Int'l Tobacco";#N/A,#N/A,FALSE,"Tobacco";#N/A,#N/A,FALSE,"D. Food";#N/A,#N/A,FALSE,"Intl Food";#N/A,#N/A,FALSE,"Food";#N/A,#N/A,FALSE,"Miller";#N/A,#N/A,FALSE,"Fin &amp; RE"}</definedName>
    <definedName name="wrn.Print._.All." localSheetId="3" hidden="1">{#N/A,#N/A,FALSE,"Corp";#N/A,#N/A,FALSE,"D. Tobacco";#N/A,#N/A,FALSE,"Int'l Tobacco";#N/A,#N/A,FALSE,"Tobacco";#N/A,#N/A,FALSE,"D. Food";#N/A,#N/A,FALSE,"Intl Food";#N/A,#N/A,FALSE,"Food";#N/A,#N/A,FALSE,"Miller";#N/A,#N/A,FALSE,"Fin &amp; RE"}</definedName>
    <definedName name="wrn.Print._.All." localSheetId="1" hidden="1">{#N/A,#N/A,FALSE,"Corp";#N/A,#N/A,FALSE,"D. Tobacco";#N/A,#N/A,FALSE,"Int'l Tobacco";#N/A,#N/A,FALSE,"Tobacco";#N/A,#N/A,FALSE,"D. Food";#N/A,#N/A,FALSE,"Intl Food";#N/A,#N/A,FALSE,"Food";#N/A,#N/A,FALSE,"Miller";#N/A,#N/A,FALSE,"Fin &amp; RE"}</definedName>
    <definedName name="wrn.Print._.All." hidden="1">{#N/A,#N/A,FALSE,"Corp";#N/A,#N/A,FALSE,"D. Tobacco";#N/A,#N/A,FALSE,"Int'l Tobacco";#N/A,#N/A,FALSE,"Tobacco";#N/A,#N/A,FALSE,"D. Food";#N/A,#N/A,FALSE,"Intl Food";#N/A,#N/A,FALSE,"Food";#N/A,#N/A,FALSE,"Miller";#N/A,#N/A,FALSE,"Fin &amp; RE"}</definedName>
    <definedName name="wrn.print1" localSheetId="4" hidden="1">{#N/A,#N/A,FALSE,"Balance Sheet_VDF";#N/A,#N/A,FALSE,"Income Statement_VDF";#N/A,#N/A,FALSE,"Forecasts_VDF";#N/A,#N/A,FALSE,"Summary Page_VDF";#N/A,#N/A,FALSE,"Invested capital_VDF";#N/A,#N/A,FALSE,"NOPAT_VDF";#N/A,#N/A,FALSE,"WACC_VDF";#N/A,#N/A,FALSE,"DCF_VDF";#N/A,#N/A,FALSE,"Charts_VDF"}</definedName>
    <definedName name="wrn.print1" localSheetId="5" hidden="1">{#N/A,#N/A,FALSE,"Balance Sheet_VDF";#N/A,#N/A,FALSE,"Income Statement_VDF";#N/A,#N/A,FALSE,"Forecasts_VDF";#N/A,#N/A,FALSE,"Summary Page_VDF";#N/A,#N/A,FALSE,"Invested capital_VDF";#N/A,#N/A,FALSE,"NOPAT_VDF";#N/A,#N/A,FALSE,"WACC_VDF";#N/A,#N/A,FALSE,"DCF_VDF";#N/A,#N/A,FALSE,"Charts_VDF"}</definedName>
    <definedName name="wrn.print1" localSheetId="3" hidden="1">{#N/A,#N/A,FALSE,"Balance Sheet_VDF";#N/A,#N/A,FALSE,"Income Statement_VDF";#N/A,#N/A,FALSE,"Forecasts_VDF";#N/A,#N/A,FALSE,"Summary Page_VDF";#N/A,#N/A,FALSE,"Invested capital_VDF";#N/A,#N/A,FALSE,"NOPAT_VDF";#N/A,#N/A,FALSE,"WACC_VDF";#N/A,#N/A,FALSE,"DCF_VDF";#N/A,#N/A,FALSE,"Charts_VDF"}</definedName>
    <definedName name="wrn.print1" localSheetId="1" hidden="1">{#N/A,#N/A,FALSE,"Balance Sheet_VDF";#N/A,#N/A,FALSE,"Income Statement_VDF";#N/A,#N/A,FALSE,"Forecasts_VDF";#N/A,#N/A,FALSE,"Summary Page_VDF";#N/A,#N/A,FALSE,"Invested capital_VDF";#N/A,#N/A,FALSE,"NOPAT_VDF";#N/A,#N/A,FALSE,"WACC_VDF";#N/A,#N/A,FALSE,"DCF_VDF";#N/A,#N/A,FALSE,"Charts_VDF"}</definedName>
    <definedName name="wrn.print1" hidden="1">{#N/A,#N/A,FALSE,"Balance Sheet_VDF";#N/A,#N/A,FALSE,"Income Statement_VDF";#N/A,#N/A,FALSE,"Forecasts_VDF";#N/A,#N/A,FALSE,"Summary Page_VDF";#N/A,#N/A,FALSE,"Invested capital_VDF";#N/A,#N/A,FALSE,"NOPAT_VDF";#N/A,#N/A,FALSE,"WACC_VDF";#N/A,#N/A,FALSE,"DCF_VDF";#N/A,#N/A,FALSE,"Charts_VDF"}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3" i="131" l="1"/>
  <c r="AQ166" i="131"/>
  <c r="AQ185" i="131"/>
  <c r="DH40" i="130"/>
  <c r="AQ40" i="130" s="1"/>
  <c r="DH14" i="130"/>
  <c r="AQ14" i="130" s="1"/>
  <c r="AQ58" i="130"/>
  <c r="AQ55" i="130"/>
  <c r="AQ54" i="130"/>
  <c r="AQ53" i="130"/>
  <c r="AQ52" i="130"/>
  <c r="AQ51" i="130"/>
  <c r="AQ50" i="130"/>
  <c r="AQ49" i="130"/>
  <c r="AQ48" i="130"/>
  <c r="AQ47" i="130"/>
  <c r="AQ46" i="130"/>
  <c r="AQ45" i="130"/>
  <c r="AQ39" i="130"/>
  <c r="AQ38" i="130"/>
  <c r="AQ37" i="130"/>
  <c r="AQ36" i="130"/>
  <c r="AQ35" i="130"/>
  <c r="AQ34" i="130"/>
  <c r="AQ33" i="130"/>
  <c r="AQ32" i="130"/>
  <c r="AQ28" i="130"/>
  <c r="AQ27" i="130"/>
  <c r="AQ26" i="130"/>
  <c r="AQ25" i="130"/>
  <c r="AQ24" i="130"/>
  <c r="AQ23" i="130"/>
  <c r="AQ22" i="130"/>
  <c r="AQ21" i="130"/>
  <c r="AQ20" i="130"/>
  <c r="AQ18" i="130"/>
  <c r="AQ17" i="130"/>
  <c r="AQ16" i="130"/>
  <c r="AQ15" i="130"/>
  <c r="AQ13" i="130"/>
  <c r="AQ12" i="130"/>
  <c r="AQ11" i="130"/>
  <c r="AQ10" i="130"/>
  <c r="AQ9" i="130"/>
  <c r="AQ8" i="130"/>
  <c r="AQ7" i="130"/>
  <c r="DG19" i="130"/>
  <c r="DG29" i="130" s="1"/>
  <c r="DG42" i="130"/>
  <c r="DG56" i="130"/>
  <c r="AQ22" i="129"/>
  <c r="AQ9" i="129"/>
  <c r="AQ13" i="129" s="1"/>
  <c r="AQ15" i="129" s="1"/>
  <c r="AQ23" i="129" s="1"/>
  <c r="AQ53" i="129"/>
  <c r="AQ34" i="129"/>
  <c r="AQ4" i="129"/>
  <c r="AQ158" i="128"/>
  <c r="AQ159" i="128" s="1"/>
  <c r="AQ150" i="128"/>
  <c r="AQ151" i="128" s="1"/>
  <c r="AQ144" i="128"/>
  <c r="AQ124" i="128"/>
  <c r="AQ115" i="128"/>
  <c r="AQ79" i="128"/>
  <c r="AQ56" i="128"/>
  <c r="AQ55" i="128"/>
  <c r="AQ54" i="128"/>
  <c r="AQ53" i="128"/>
  <c r="AQ50" i="128"/>
  <c r="AQ48" i="128"/>
  <c r="AQ47" i="128"/>
  <c r="AQ44" i="128"/>
  <c r="AQ37" i="128"/>
  <c r="AQ31" i="128"/>
  <c r="AQ29" i="128"/>
  <c r="AQ28" i="128"/>
  <c r="AQ22" i="128"/>
  <c r="AQ21" i="128"/>
  <c r="AQ66" i="129" s="1"/>
  <c r="AQ82" i="130" s="1"/>
  <c r="AQ20" i="128"/>
  <c r="AQ14" i="128"/>
  <c r="AQ13" i="128"/>
  <c r="AQ222" i="131"/>
  <c r="AQ218" i="131" s="1"/>
  <c r="AQ212" i="131"/>
  <c r="AQ209" i="131"/>
  <c r="AQ208" i="131"/>
  <c r="AQ199" i="131"/>
  <c r="AQ198" i="131"/>
  <c r="AQ195" i="131"/>
  <c r="AQ173" i="131"/>
  <c r="AQ172" i="131"/>
  <c r="AQ150" i="131"/>
  <c r="AQ149" i="131"/>
  <c r="AQ144" i="131"/>
  <c r="AQ143" i="131"/>
  <c r="AQ135" i="131"/>
  <c r="AQ117" i="131"/>
  <c r="AQ91" i="131"/>
  <c r="AQ90" i="131"/>
  <c r="AQ89" i="131"/>
  <c r="AQ87" i="131"/>
  <c r="AQ79" i="131"/>
  <c r="AQ67" i="131"/>
  <c r="AQ66" i="131"/>
  <c r="AQ65" i="131"/>
  <c r="AQ64" i="131"/>
  <c r="AQ32" i="131"/>
  <c r="AQ4" i="131"/>
  <c r="AQ255" i="131" s="1"/>
  <c r="AQ227" i="131" s="1"/>
  <c r="AQ395" i="131"/>
  <c r="AQ382" i="131"/>
  <c r="AQ376" i="131"/>
  <c r="DH56" i="130"/>
  <c r="DH42" i="130"/>
  <c r="DH19" i="130"/>
  <c r="AQ10" i="128" a="1"/>
  <c r="AQ36" i="128" a="1"/>
  <c r="AQ39" i="131"/>
  <c r="AQ63" i="128" a="1"/>
  <c r="AQ69" i="131"/>
  <c r="AQ182" i="131"/>
  <c r="AQ93" i="131"/>
  <c r="AQ25" i="128" a="1"/>
  <c r="AQ29" i="131"/>
  <c r="AQ139" i="131"/>
  <c r="AQ69" i="130" a="1"/>
  <c r="BA63" i="128" a="1"/>
  <c r="AQ17" i="128" a="1"/>
  <c r="AQ24" i="131" l="1"/>
  <c r="AQ154" i="131" s="1"/>
  <c r="AQ13" i="131" s="1"/>
  <c r="AQ7" i="128" s="1"/>
  <c r="AQ107" i="128" s="1"/>
  <c r="DH29" i="130"/>
  <c r="AQ46" i="128"/>
  <c r="AQ56" i="129"/>
  <c r="AQ51" i="128"/>
  <c r="AQ49" i="128" s="1"/>
  <c r="AQ191" i="131"/>
  <c r="AQ56" i="130"/>
  <c r="AQ19" i="130"/>
  <c r="AQ69" i="130"/>
  <c r="AQ85" i="129" s="1"/>
  <c r="AQ45" i="128"/>
  <c r="AQ23" i="128"/>
  <c r="AQ15" i="128"/>
  <c r="AQ65" i="129" s="1"/>
  <c r="AQ81" i="130" s="1"/>
  <c r="AQ63" i="128"/>
  <c r="AQ36" i="128"/>
  <c r="AQ10" i="128"/>
  <c r="AQ25" i="128"/>
  <c r="AQ17" i="128"/>
  <c r="AQ555" i="131"/>
  <c r="AQ152" i="131"/>
  <c r="AQ146" i="131" s="1"/>
  <c r="AQ68" i="131"/>
  <c r="AQ92" i="131" s="1"/>
  <c r="AQ257" i="131"/>
  <c r="BA63" i="128"/>
  <c r="AZ63" i="128" a="1"/>
  <c r="AQ43" i="128" l="1"/>
  <c r="AQ155" i="131"/>
  <c r="AQ156" i="131"/>
  <c r="AQ94" i="128"/>
  <c r="AQ164" i="131"/>
  <c r="AQ160" i="131" s="1"/>
  <c r="AQ18" i="131" s="1"/>
  <c r="AQ8" i="128" s="1"/>
  <c r="AZ63" i="128"/>
  <c r="AY63" i="128" a="1"/>
  <c r="AQ108" i="128" l="1"/>
  <c r="AQ95" i="128"/>
  <c r="AY63" i="128"/>
  <c r="AX63" i="128" a="1"/>
  <c r="AQ6" i="131" l="1"/>
  <c r="AX63" i="128"/>
  <c r="AW63" i="128" a="1"/>
  <c r="AQ9" i="128" l="1"/>
  <c r="AQ194" i="131"/>
  <c r="AQ151" i="131"/>
  <c r="AQ174" i="131"/>
  <c r="AQ200" i="131"/>
  <c r="AQ145" i="131"/>
  <c r="AQ210" i="131"/>
  <c r="AQ16" i="131"/>
  <c r="AQ157" i="131"/>
  <c r="AQ188" i="131"/>
  <c r="AQ138" i="131"/>
  <c r="AQ221" i="131"/>
  <c r="AQ38" i="131"/>
  <c r="AQ215" i="131"/>
  <c r="AQ169" i="131"/>
  <c r="AQ28" i="131"/>
  <c r="AQ163" i="131"/>
  <c r="AQ21" i="131"/>
  <c r="AW63" i="128"/>
  <c r="AV63" i="128" a="1"/>
  <c r="AQ100" i="128" l="1"/>
  <c r="AQ99" i="128"/>
  <c r="AQ16" i="128"/>
  <c r="AQ58" i="128" s="1"/>
  <c r="AQ97" i="128"/>
  <c r="AU97" i="128" s="1"/>
  <c r="AQ98" i="128"/>
  <c r="AQ109" i="128"/>
  <c r="AQ116" i="128" s="1"/>
  <c r="AQ125" i="128" s="1"/>
  <c r="AQ129" i="128" s="1"/>
  <c r="AQ132" i="128" s="1"/>
  <c r="AQ135" i="128" s="1"/>
  <c r="AQ64" i="129"/>
  <c r="AV63" i="128"/>
  <c r="AU63" i="128" a="1"/>
  <c r="AQ131" i="128" l="1"/>
  <c r="AQ96" i="128"/>
  <c r="AQ24" i="128"/>
  <c r="AQ67" i="129" s="1"/>
  <c r="AQ83" i="130" s="1"/>
  <c r="AQ82" i="129"/>
  <c r="AQ80" i="130"/>
  <c r="AQ70" i="129"/>
  <c r="AQ79" i="129"/>
  <c r="AQ75" i="129"/>
  <c r="AQ78" i="129"/>
  <c r="AQ74" i="129"/>
  <c r="AQ81" i="129"/>
  <c r="AQ73" i="129"/>
  <c r="AQ76" i="129"/>
  <c r="AQ80" i="129"/>
  <c r="AQ138" i="128"/>
  <c r="AQ137" i="128"/>
  <c r="AU63" i="128"/>
  <c r="AT63" i="128" a="1"/>
  <c r="AQ101" i="128" l="1"/>
  <c r="AQ59" i="128"/>
  <c r="AQ30" i="128"/>
  <c r="AQ91" i="130" s="1"/>
  <c r="AQ87" i="130"/>
  <c r="AQ94" i="130"/>
  <c r="AQ90" i="130"/>
  <c r="AQ88" i="130"/>
  <c r="AT63" i="128"/>
  <c r="AS63" i="128" a="1"/>
  <c r="AQ32" i="128" l="1"/>
  <c r="AQ33" i="128"/>
  <c r="AQ68" i="129" s="1"/>
  <c r="AQ84" i="130" s="1"/>
  <c r="AS63" i="128"/>
  <c r="AR63" i="128" a="1"/>
  <c r="AQ35" i="128" l="1"/>
  <c r="AQ102" i="128"/>
  <c r="AQ61" i="128"/>
  <c r="AR63" i="128"/>
  <c r="AP63" i="128" a="1"/>
  <c r="AP63" i="128" l="1"/>
  <c r="AO63" i="128" a="1"/>
  <c r="AO63" i="128" l="1"/>
  <c r="AN63" i="128" a="1"/>
  <c r="AN63" i="128" l="1"/>
  <c r="AM63" i="128" a="1"/>
  <c r="AM63" i="128" l="1"/>
  <c r="AL63" i="128" a="1"/>
  <c r="AL63" i="128" l="1"/>
  <c r="AK63" i="128" a="1"/>
  <c r="AK63" i="128" l="1"/>
  <c r="AJ63" i="128" a="1"/>
  <c r="AJ63" i="128" l="1"/>
  <c r="AI63" i="128" a="1"/>
  <c r="AI63" i="128" l="1"/>
  <c r="AH63" i="128" a="1"/>
  <c r="AH63" i="128" l="1"/>
  <c r="AG63" i="128" a="1"/>
  <c r="AG63" i="128" l="1"/>
  <c r="AF63" i="128" a="1"/>
  <c r="AF63" i="128" l="1"/>
  <c r="AE63" i="128" a="1"/>
  <c r="AE63" i="128" l="1"/>
  <c r="AD63" i="128" a="1"/>
  <c r="AD63" i="128" l="1"/>
  <c r="AC63" i="128" a="1"/>
  <c r="AC63" i="128" l="1"/>
  <c r="AB63" i="128" a="1"/>
  <c r="AB63" i="128" l="1"/>
  <c r="AA63" i="128" a="1"/>
  <c r="AA63" i="128" l="1"/>
  <c r="Z63" i="128" a="1"/>
  <c r="Z63" i="128" l="1"/>
  <c r="Y63" i="128" a="1"/>
  <c r="Y63" i="128" l="1"/>
  <c r="X63" i="128" a="1"/>
  <c r="X63" i="128" l="1"/>
  <c r="W63" i="128" a="1"/>
  <c r="W63" i="128" l="1"/>
  <c r="V63" i="128" a="1"/>
  <c r="V63" i="128" l="1"/>
  <c r="U63" i="128" a="1"/>
  <c r="U63" i="128" l="1"/>
  <c r="T63" i="128" a="1"/>
  <c r="T63" i="128" l="1"/>
  <c r="S63" i="128" a="1"/>
  <c r="S63" i="128" l="1"/>
  <c r="R63" i="128" a="1"/>
  <c r="R63" i="128" l="1"/>
  <c r="Q63" i="128" a="1"/>
  <c r="Q63" i="128" l="1"/>
  <c r="P63" i="128" a="1"/>
  <c r="P63" i="128" l="1"/>
  <c r="O63" i="128" a="1"/>
  <c r="O63" i="128" l="1"/>
  <c r="N63" i="128" a="1"/>
  <c r="N63" i="128" l="1"/>
  <c r="BA36" i="128" a="1"/>
  <c r="BA36" i="128" l="1"/>
  <c r="AZ36" i="128" a="1"/>
  <c r="AZ36" i="128" l="1"/>
  <c r="AY36" i="128" a="1"/>
  <c r="AY36" i="128" l="1"/>
  <c r="AX36" i="128" a="1"/>
  <c r="AX36" i="128" l="1"/>
  <c r="AW36" i="128" a="1"/>
  <c r="AW36" i="128" l="1"/>
  <c r="AV36" i="128" a="1"/>
  <c r="AV36" i="128" l="1"/>
  <c r="AU36" i="128" a="1"/>
  <c r="AU36" i="128" l="1"/>
  <c r="AT36" i="128" a="1"/>
  <c r="AT36" i="128" l="1"/>
  <c r="AS36" i="128" a="1"/>
  <c r="AS36" i="128" l="1"/>
  <c r="AR36" i="128" a="1"/>
  <c r="AR36" i="128" l="1"/>
  <c r="AP36" i="128" a="1"/>
  <c r="AP36" i="128" l="1"/>
  <c r="AO36" i="128" a="1"/>
  <c r="AO36" i="128" l="1"/>
  <c r="AN36" i="128" a="1"/>
  <c r="AN36" i="128" l="1"/>
  <c r="AM36" i="128" a="1"/>
  <c r="AM36" i="128" l="1"/>
  <c r="AL36" i="128" a="1"/>
  <c r="AL36" i="128" l="1"/>
  <c r="AK36" i="128" a="1"/>
  <c r="AK36" i="128" l="1"/>
  <c r="AJ36" i="128" a="1"/>
  <c r="AJ36" i="128" l="1"/>
  <c r="AI36" i="128" a="1"/>
  <c r="AI36" i="128" l="1"/>
  <c r="AH36" i="128" a="1"/>
  <c r="AH36" i="128" l="1"/>
  <c r="AG36" i="128" a="1"/>
  <c r="AG36" i="128" l="1"/>
  <c r="AF36" i="128" a="1"/>
  <c r="AF36" i="128" l="1"/>
  <c r="AE36" i="128" a="1"/>
  <c r="AE36" i="128" l="1"/>
  <c r="AD36" i="128" a="1"/>
  <c r="AD36" i="128" l="1"/>
  <c r="AC36" i="128" a="1"/>
  <c r="AC36" i="128" l="1"/>
  <c r="AB36" i="128" a="1"/>
  <c r="AB36" i="128" l="1"/>
  <c r="AA36" i="128" a="1"/>
  <c r="AA36" i="128" l="1"/>
  <c r="Z36" i="128" a="1"/>
  <c r="Z36" i="128" l="1"/>
  <c r="Y36" i="128" a="1"/>
  <c r="Y36" i="128" l="1"/>
  <c r="X36" i="128" a="1"/>
  <c r="X36" i="128" l="1"/>
  <c r="W36" i="128" a="1"/>
  <c r="W36" i="128" l="1"/>
  <c r="V36" i="128" a="1"/>
  <c r="V36" i="128" l="1"/>
  <c r="U36" i="128" a="1"/>
  <c r="U36" i="128" l="1"/>
  <c r="T36" i="128" a="1"/>
  <c r="T36" i="128" l="1"/>
  <c r="S36" i="128" a="1"/>
  <c r="S36" i="128" l="1"/>
  <c r="R36" i="128" a="1"/>
  <c r="R36" i="128" l="1"/>
  <c r="Q36" i="128" a="1"/>
  <c r="Q36" i="128" l="1"/>
  <c r="P36" i="128" a="1"/>
  <c r="P36" i="128" l="1"/>
  <c r="O36" i="128" a="1"/>
  <c r="O36" i="128" l="1"/>
  <c r="N36" i="128" a="1"/>
  <c r="N36" i="128" l="1"/>
  <c r="BA25" i="128" a="1"/>
  <c r="BA25" i="128" l="1"/>
  <c r="AZ25" i="128" a="1"/>
  <c r="AZ25" i="128" l="1"/>
  <c r="AY25" i="128" a="1"/>
  <c r="AY25" i="128" l="1"/>
  <c r="AX25" i="128" a="1"/>
  <c r="AX25" i="128" l="1"/>
  <c r="AW25" i="128" a="1"/>
  <c r="AW25" i="128" l="1"/>
  <c r="AV25" i="128" a="1"/>
  <c r="AV25" i="128" l="1"/>
  <c r="AU25" i="128" a="1"/>
  <c r="AU25" i="128" l="1"/>
  <c r="AT25" i="128" a="1"/>
  <c r="AT25" i="128" l="1"/>
  <c r="AS25" i="128" a="1"/>
  <c r="AS25" i="128" l="1"/>
  <c r="AR25" i="128" a="1"/>
  <c r="AR25" i="128" l="1"/>
  <c r="AP25" i="128" a="1"/>
  <c r="AP25" i="128" l="1"/>
  <c r="AO25" i="128" a="1"/>
  <c r="AO25" i="128" l="1"/>
  <c r="AN25" i="128" a="1"/>
  <c r="AN25" i="128" l="1"/>
  <c r="AM25" i="128" a="1"/>
  <c r="AM25" i="128" l="1"/>
  <c r="AL25" i="128" a="1"/>
  <c r="AL25" i="128" l="1"/>
  <c r="AK25" i="128" a="1"/>
  <c r="AK25" i="128" l="1"/>
  <c r="AJ25" i="128" a="1"/>
  <c r="AJ25" i="128" l="1"/>
  <c r="AI25" i="128" a="1"/>
  <c r="AI25" i="128" l="1"/>
  <c r="AH25" i="128" a="1"/>
  <c r="AH25" i="128" l="1"/>
  <c r="AG25" i="128" a="1"/>
  <c r="AG25" i="128" l="1"/>
  <c r="AF25" i="128" a="1"/>
  <c r="AF25" i="128" l="1"/>
  <c r="AE25" i="128" a="1"/>
  <c r="AE25" i="128" l="1"/>
  <c r="AD25" i="128" a="1"/>
  <c r="AD25" i="128" l="1"/>
  <c r="AC25" i="128" a="1"/>
  <c r="AC25" i="128" l="1"/>
  <c r="AB25" i="128" a="1"/>
  <c r="AB25" i="128" l="1"/>
  <c r="AA25" i="128" a="1"/>
  <c r="AA25" i="128" l="1"/>
  <c r="Z25" i="128" a="1"/>
  <c r="Z25" i="128" l="1"/>
  <c r="Y25" i="128" a="1"/>
  <c r="Y25" i="128" l="1"/>
  <c r="X25" i="128" a="1"/>
  <c r="X25" i="128" l="1"/>
  <c r="W25" i="128" a="1"/>
  <c r="W25" i="128" l="1"/>
  <c r="V25" i="128" a="1"/>
  <c r="V25" i="128" l="1"/>
  <c r="U25" i="128" a="1"/>
  <c r="U25" i="128" l="1"/>
  <c r="T25" i="128" a="1"/>
  <c r="T25" i="128" l="1"/>
  <c r="S25" i="128" a="1"/>
  <c r="S25" i="128" l="1"/>
  <c r="R25" i="128" a="1"/>
  <c r="R25" i="128" l="1"/>
  <c r="Q25" i="128" a="1"/>
  <c r="Q25" i="128" l="1"/>
  <c r="P25" i="128" a="1"/>
  <c r="P25" i="128" l="1"/>
  <c r="O25" i="128" a="1"/>
  <c r="O25" i="128" l="1"/>
  <c r="N25" i="128" a="1"/>
  <c r="N25" i="128" l="1"/>
  <c r="BA17" i="128" a="1"/>
  <c r="BA17" i="128" l="1"/>
  <c r="AZ17" i="128" a="1"/>
  <c r="AZ17" i="128" l="1"/>
  <c r="AY17" i="128" a="1"/>
  <c r="AY17" i="128" l="1"/>
  <c r="AX17" i="128" a="1"/>
  <c r="AX17" i="128" l="1"/>
  <c r="AW17" i="128" a="1"/>
  <c r="AW17" i="128" l="1"/>
  <c r="AV17" i="128" a="1"/>
  <c r="AV17" i="128" l="1"/>
  <c r="AU17" i="128" a="1"/>
  <c r="AU17" i="128" l="1"/>
  <c r="AT17" i="128" a="1"/>
  <c r="AT17" i="128" l="1"/>
  <c r="AS17" i="128" a="1"/>
  <c r="AS17" i="128" l="1"/>
  <c r="AR17" i="128" a="1"/>
  <c r="AR17" i="128" l="1"/>
  <c r="AP17" i="128" a="1"/>
  <c r="AP17" i="128" l="1"/>
  <c r="AO17" i="128" a="1"/>
  <c r="AO17" i="128" l="1"/>
  <c r="AN17" i="128" a="1"/>
  <c r="AN17" i="128" l="1"/>
  <c r="AM17" i="128" a="1"/>
  <c r="AM17" i="128" l="1"/>
  <c r="AL17" i="128" a="1"/>
  <c r="AL17" i="128" l="1"/>
  <c r="AK17" i="128" a="1"/>
  <c r="AK17" i="128" l="1"/>
  <c r="AJ17" i="128" a="1"/>
  <c r="AJ17" i="128" l="1"/>
  <c r="AI17" i="128" a="1"/>
  <c r="AI17" i="128" l="1"/>
  <c r="AH17" i="128" a="1"/>
  <c r="AH17" i="128" l="1"/>
  <c r="AG17" i="128" a="1"/>
  <c r="AG17" i="128" l="1"/>
  <c r="AF17" i="128" a="1"/>
  <c r="AF17" i="128" l="1"/>
  <c r="AE17" i="128" a="1"/>
  <c r="AE17" i="128" l="1"/>
  <c r="AD17" i="128" a="1"/>
  <c r="AD17" i="128" l="1"/>
  <c r="AC17" i="128" a="1"/>
  <c r="AC17" i="128" l="1"/>
  <c r="AB17" i="128" a="1"/>
  <c r="AB17" i="128" l="1"/>
  <c r="AA17" i="128" a="1"/>
  <c r="AA17" i="128" l="1"/>
  <c r="Z17" i="128" a="1"/>
  <c r="Z17" i="128" l="1"/>
  <c r="Y17" i="128" a="1"/>
  <c r="Y17" i="128" l="1"/>
  <c r="X17" i="128" a="1"/>
  <c r="X17" i="128" l="1"/>
  <c r="W17" i="128" a="1"/>
  <c r="W17" i="128" l="1"/>
  <c r="V17" i="128" a="1"/>
  <c r="V17" i="128" l="1"/>
  <c r="U17" i="128" a="1"/>
  <c r="U17" i="128" l="1"/>
  <c r="T17" i="128" a="1"/>
  <c r="T17" i="128" l="1"/>
  <c r="S17" i="128" a="1"/>
  <c r="S17" i="128" l="1"/>
  <c r="R17" i="128" a="1"/>
  <c r="R17" i="128" l="1"/>
  <c r="Q17" i="128" a="1"/>
  <c r="Q17" i="128" l="1"/>
  <c r="P17" i="128" a="1"/>
  <c r="P17" i="128" l="1"/>
  <c r="O17" i="128" a="1"/>
  <c r="O17" i="128" l="1"/>
  <c r="N17" i="128" a="1"/>
  <c r="N17" i="128" l="1"/>
  <c r="BA10" i="128" a="1"/>
  <c r="BA10" i="128" l="1"/>
  <c r="AZ10" i="128" a="1"/>
  <c r="AZ10" i="128" l="1"/>
  <c r="AY10" i="128" a="1"/>
  <c r="AY10" i="128" l="1"/>
  <c r="AX10" i="128" a="1"/>
  <c r="AX10" i="128" l="1"/>
  <c r="AW10" i="128" a="1"/>
  <c r="AW10" i="128" l="1"/>
  <c r="AV10" i="128" a="1"/>
  <c r="AV10" i="128" l="1"/>
  <c r="AU10" i="128" a="1"/>
  <c r="AU10" i="128" l="1"/>
  <c r="AT10" i="128" a="1"/>
  <c r="AT10" i="128" l="1"/>
  <c r="AS10" i="128" a="1"/>
  <c r="AS10" i="128" l="1"/>
  <c r="AR10" i="128" a="1"/>
  <c r="AR10" i="128" l="1"/>
  <c r="AP10" i="128" a="1"/>
  <c r="AP10" i="128" l="1"/>
  <c r="AO10" i="128" a="1"/>
  <c r="AO10" i="128" l="1"/>
  <c r="AN10" i="128" a="1"/>
  <c r="AN10" i="128" l="1"/>
  <c r="AM10" i="128" a="1"/>
  <c r="AM10" i="128" l="1"/>
  <c r="AL10" i="128" a="1"/>
  <c r="AL10" i="128" l="1"/>
  <c r="AK10" i="128" a="1"/>
  <c r="AK10" i="128" l="1"/>
  <c r="AJ10" i="128" a="1"/>
  <c r="AJ10" i="128" l="1"/>
  <c r="AI10" i="128" a="1"/>
  <c r="AI10" i="128" l="1"/>
  <c r="AH10" i="128" a="1"/>
  <c r="AH10" i="128" l="1"/>
  <c r="AG10" i="128" a="1"/>
  <c r="AG10" i="128" l="1"/>
  <c r="AF10" i="128" a="1"/>
  <c r="AF10" i="128" l="1"/>
  <c r="AE10" i="128" a="1"/>
  <c r="AE10" i="128" l="1"/>
  <c r="AD10" i="128" a="1"/>
  <c r="AD10" i="128" l="1"/>
  <c r="AC10" i="128" a="1"/>
  <c r="AC10" i="128" l="1"/>
  <c r="AB10" i="128" a="1"/>
  <c r="AB10" i="128" l="1"/>
  <c r="AA10" i="128" a="1"/>
  <c r="AA10" i="128" l="1"/>
  <c r="Z10" i="128" a="1"/>
  <c r="Z10" i="128" l="1"/>
  <c r="Y10" i="128" a="1"/>
  <c r="Y10" i="128" l="1"/>
  <c r="X10" i="128" a="1"/>
  <c r="X10" i="128" l="1"/>
  <c r="W10" i="128" a="1"/>
  <c r="W10" i="128" l="1"/>
  <c r="V10" i="128" a="1"/>
  <c r="V10" i="128" l="1"/>
  <c r="U10" i="128" a="1"/>
  <c r="U10" i="128" l="1"/>
  <c r="T10" i="128" a="1"/>
  <c r="T10" i="128" l="1"/>
  <c r="S10" i="128" a="1"/>
  <c r="S10" i="128" l="1"/>
  <c r="R10" i="128" a="1"/>
  <c r="R10" i="128" l="1"/>
  <c r="Q10" i="128" a="1"/>
  <c r="Q10" i="128" l="1"/>
  <c r="P10" i="128" a="1"/>
  <c r="P10" i="128" l="1"/>
  <c r="O10" i="128" a="1"/>
  <c r="O10" i="128" l="1"/>
  <c r="N10" i="128" a="1"/>
  <c r="N10" i="128" l="1"/>
  <c r="AW33" i="131" l="1"/>
  <c r="BA33" i="131" s="1"/>
  <c r="AV33" i="131"/>
  <c r="AZ33" i="131" s="1"/>
  <c r="AO154" i="131" l="1"/>
  <c r="AM222" i="131"/>
  <c r="AI158" i="131"/>
  <c r="AI222" i="131"/>
  <c r="AO222" i="131"/>
  <c r="AN222" i="131"/>
  <c r="AL222" i="131"/>
  <c r="AP166" i="131"/>
  <c r="AQ168" i="131" s="1"/>
  <c r="AI135" i="131"/>
  <c r="AJ135" i="131"/>
  <c r="AK135" i="131"/>
  <c r="AL135" i="131"/>
  <c r="AM135" i="131"/>
  <c r="AQ136" i="131" s="1"/>
  <c r="AO135" i="131"/>
  <c r="AP135" i="131"/>
  <c r="AQ137" i="131" s="1"/>
  <c r="AP185" i="131"/>
  <c r="AQ187" i="131" s="1"/>
  <c r="AR202" i="131"/>
  <c r="AS202" i="131"/>
  <c r="AX111" i="131" l="1"/>
  <c r="AP41" i="130"/>
  <c r="AP21" i="129"/>
  <c r="AP22" i="129"/>
  <c r="AP9" i="129"/>
  <c r="AP13" i="129" s="1"/>
  <c r="AP15" i="129" s="1"/>
  <c r="AP56" i="130"/>
  <c r="AP19" i="130"/>
  <c r="AP53" i="129"/>
  <c r="AQ55" i="129" s="1"/>
  <c r="AP34" i="129"/>
  <c r="AP395" i="131"/>
  <c r="AP382" i="131"/>
  <c r="AP376" i="131"/>
  <c r="AP209" i="131"/>
  <c r="AP208" i="131"/>
  <c r="AP199" i="131"/>
  <c r="AP198" i="131"/>
  <c r="AP195" i="131"/>
  <c r="AP191" i="131" s="1"/>
  <c r="AQ193" i="131" s="1"/>
  <c r="AP173" i="131"/>
  <c r="AP172" i="131"/>
  <c r="AP152" i="131"/>
  <c r="AP146" i="131" s="1"/>
  <c r="AP150" i="131"/>
  <c r="AP149" i="131"/>
  <c r="AP144" i="131"/>
  <c r="AP143" i="131"/>
  <c r="AP137" i="131"/>
  <c r="AP136" i="131"/>
  <c r="AP117" i="131"/>
  <c r="AP91" i="131"/>
  <c r="AP90" i="131"/>
  <c r="AP89" i="131"/>
  <c r="AP87" i="131"/>
  <c r="AP79" i="131"/>
  <c r="AP67" i="131"/>
  <c r="AP66" i="131"/>
  <c r="AP65" i="131"/>
  <c r="AP64" i="131"/>
  <c r="AP32" i="131"/>
  <c r="AP158" i="128"/>
  <c r="AP159" i="128" s="1"/>
  <c r="AP150" i="128"/>
  <c r="AP151" i="128" s="1"/>
  <c r="AP124" i="128"/>
  <c r="AP115" i="128"/>
  <c r="AP67" i="128"/>
  <c r="AP144" i="128"/>
  <c r="AP66" i="128"/>
  <c r="AP56" i="128"/>
  <c r="AP55" i="128"/>
  <c r="AP54" i="128"/>
  <c r="AP53" i="128"/>
  <c r="AP50" i="128"/>
  <c r="AP48" i="128"/>
  <c r="AP47" i="128"/>
  <c r="AP44" i="128"/>
  <c r="AP37" i="128"/>
  <c r="AQ64" i="128" s="1"/>
  <c r="AQ62" i="128" s="1"/>
  <c r="AP31" i="128"/>
  <c r="AP29" i="128"/>
  <c r="AP28" i="128"/>
  <c r="AP22" i="128"/>
  <c r="AP21" i="128"/>
  <c r="AP20" i="128"/>
  <c r="AQ85" i="128" s="1"/>
  <c r="AP14" i="128"/>
  <c r="AP13" i="128"/>
  <c r="AP69" i="131"/>
  <c r="AP69" i="130" a="1"/>
  <c r="AP29" i="131"/>
  <c r="AP39" i="131"/>
  <c r="AP139" i="131"/>
  <c r="AP93" i="131"/>
  <c r="AP182" i="131"/>
  <c r="AP24" i="131" l="1"/>
  <c r="AQ27" i="131" s="1"/>
  <c r="AQ36" i="131"/>
  <c r="AQ37" i="131"/>
  <c r="AQ380" i="131"/>
  <c r="AQ379" i="131"/>
  <c r="AP42" i="130"/>
  <c r="AQ41" i="130"/>
  <c r="AQ42" i="130" s="1"/>
  <c r="AQ386" i="131"/>
  <c r="AQ385" i="131"/>
  <c r="AQ86" i="128"/>
  <c r="AQ87" i="128"/>
  <c r="AP158" i="131"/>
  <c r="AP46" i="128"/>
  <c r="AP23" i="129"/>
  <c r="AP45" i="128"/>
  <c r="AP56" i="129"/>
  <c r="AP66" i="129"/>
  <c r="AP82" i="130" s="1"/>
  <c r="AP69" i="130"/>
  <c r="AP85" i="129" s="1"/>
  <c r="AP257" i="131"/>
  <c r="AP68" i="131"/>
  <c r="AP92" i="131" s="1"/>
  <c r="AP51" i="128"/>
  <c r="AP49" i="128" s="1"/>
  <c r="AP23" i="128"/>
  <c r="AQ88" i="128" s="1"/>
  <c r="AP15" i="128"/>
  <c r="AQ83" i="128" s="1"/>
  <c r="AP43" i="128" l="1"/>
  <c r="AQ261" i="131"/>
  <c r="AQ260" i="131"/>
  <c r="AP65" i="129"/>
  <c r="AP81" i="130" s="1"/>
  <c r="AO568" i="131" l="1"/>
  <c r="BM50" i="131" l="1"/>
  <c r="AR53" i="131"/>
  <c r="AV53" i="131" s="1"/>
  <c r="AU53" i="131"/>
  <c r="AT53" i="131"/>
  <c r="BM52" i="131"/>
  <c r="AO52" i="131" s="1"/>
  <c r="AP72" i="131" s="1"/>
  <c r="AO588" i="131"/>
  <c r="AO590" i="131" s="1"/>
  <c r="AO578" i="131"/>
  <c r="AO576" i="131"/>
  <c r="AO573" i="131"/>
  <c r="AO575" i="131" s="1"/>
  <c r="AO582" i="131"/>
  <c r="BM368" i="131"/>
  <c r="BM367" i="131"/>
  <c r="AP52" i="131" l="1"/>
  <c r="AN32" i="131"/>
  <c r="AQ52" i="131" l="1"/>
  <c r="AQ72" i="131"/>
  <c r="AP76" i="131"/>
  <c r="AP84" i="131" s="1"/>
  <c r="AP81" i="131"/>
  <c r="BM335" i="131"/>
  <c r="E56" i="128"/>
  <c r="D56" i="128"/>
  <c r="C56" i="128"/>
  <c r="B56" i="128"/>
  <c r="E55" i="128"/>
  <c r="D55" i="128"/>
  <c r="C55" i="128"/>
  <c r="B55" i="128"/>
  <c r="E54" i="128"/>
  <c r="D54" i="128"/>
  <c r="C54" i="128"/>
  <c r="B54" i="128"/>
  <c r="E53" i="128"/>
  <c r="D53" i="128"/>
  <c r="C53" i="128"/>
  <c r="B53" i="128"/>
  <c r="E50" i="128"/>
  <c r="D50" i="128"/>
  <c r="C50" i="128"/>
  <c r="B50" i="128"/>
  <c r="I56" i="128"/>
  <c r="H56" i="128"/>
  <c r="G56" i="128"/>
  <c r="F56" i="128"/>
  <c r="I55" i="128"/>
  <c r="H55" i="128"/>
  <c r="G55" i="128"/>
  <c r="F55" i="128"/>
  <c r="I54" i="128"/>
  <c r="H54" i="128"/>
  <c r="G54" i="128"/>
  <c r="F54" i="128"/>
  <c r="I53" i="128"/>
  <c r="H53" i="128"/>
  <c r="G53" i="128"/>
  <c r="F53" i="128"/>
  <c r="I50" i="128"/>
  <c r="H50" i="128"/>
  <c r="G50" i="128"/>
  <c r="F50" i="128"/>
  <c r="E28" i="128"/>
  <c r="D28" i="128"/>
  <c r="C28" i="128"/>
  <c r="B28" i="128"/>
  <c r="I28" i="128"/>
  <c r="H28" i="128"/>
  <c r="G28" i="128"/>
  <c r="F28" i="128"/>
  <c r="E22" i="128"/>
  <c r="D22" i="128"/>
  <c r="C22" i="128"/>
  <c r="B22" i="128"/>
  <c r="I22" i="128"/>
  <c r="H22" i="128"/>
  <c r="G22" i="128"/>
  <c r="F22" i="128"/>
  <c r="L166" i="128"/>
  <c r="L56" i="128" s="1"/>
  <c r="K166" i="128"/>
  <c r="K56" i="128" s="1"/>
  <c r="J56" i="128"/>
  <c r="M55" i="128"/>
  <c r="L55" i="128"/>
  <c r="K55" i="128"/>
  <c r="J55" i="128"/>
  <c r="M54" i="128"/>
  <c r="L54" i="128"/>
  <c r="K54" i="128"/>
  <c r="J54" i="128"/>
  <c r="M53" i="128"/>
  <c r="L53" i="128"/>
  <c r="K53" i="128"/>
  <c r="J53" i="128"/>
  <c r="M50" i="128"/>
  <c r="L50" i="128"/>
  <c r="K50" i="128"/>
  <c r="J50" i="128"/>
  <c r="M28" i="128"/>
  <c r="L28" i="128"/>
  <c r="K28" i="128"/>
  <c r="J28" i="128"/>
  <c r="M22" i="128"/>
  <c r="L22" i="128"/>
  <c r="K22" i="128"/>
  <c r="J22" i="128"/>
  <c r="M166" i="128"/>
  <c r="M56" i="128" s="1"/>
  <c r="Q55" i="128"/>
  <c r="P55" i="128"/>
  <c r="O55" i="128"/>
  <c r="N55" i="128"/>
  <c r="Q54" i="128"/>
  <c r="P54" i="128"/>
  <c r="O54" i="128"/>
  <c r="N54" i="128"/>
  <c r="Q53" i="128"/>
  <c r="P53" i="128"/>
  <c r="O53" i="128"/>
  <c r="N53" i="128"/>
  <c r="Q50" i="128"/>
  <c r="P50" i="128"/>
  <c r="O50" i="128"/>
  <c r="N50" i="128"/>
  <c r="Q29" i="128"/>
  <c r="P29" i="128"/>
  <c r="O29" i="128"/>
  <c r="N29" i="128"/>
  <c r="Q28" i="128"/>
  <c r="P28" i="128"/>
  <c r="O28" i="128"/>
  <c r="N28" i="128"/>
  <c r="Q22" i="128"/>
  <c r="P22" i="128"/>
  <c r="O22" i="128"/>
  <c r="N22" i="128"/>
  <c r="AQ76" i="131" l="1"/>
  <c r="AQ84" i="131" s="1"/>
  <c r="AQ81" i="131"/>
  <c r="AC64" i="128"/>
  <c r="AB64" i="128"/>
  <c r="Z64" i="128"/>
  <c r="AA64" i="128"/>
  <c r="Y64" i="128"/>
  <c r="X64" i="128"/>
  <c r="W64" i="128"/>
  <c r="V64" i="128"/>
  <c r="AO37" i="128"/>
  <c r="AN37" i="128"/>
  <c r="AM37" i="128"/>
  <c r="AL37" i="128"/>
  <c r="AK37" i="128"/>
  <c r="AJ37" i="128"/>
  <c r="AI37" i="128"/>
  <c r="AH37" i="128"/>
  <c r="AG37" i="128"/>
  <c r="AF37" i="128"/>
  <c r="AE37" i="128"/>
  <c r="W164" i="128"/>
  <c r="W28" i="128" s="1"/>
  <c r="V22" i="128"/>
  <c r="U22" i="128"/>
  <c r="T22" i="128"/>
  <c r="S22" i="128"/>
  <c r="R22" i="128"/>
  <c r="U28" i="128"/>
  <c r="T28" i="128"/>
  <c r="S28" i="128"/>
  <c r="R28" i="128"/>
  <c r="U55" i="128"/>
  <c r="T55" i="128"/>
  <c r="S55" i="128"/>
  <c r="R55" i="128"/>
  <c r="U54" i="128"/>
  <c r="T54" i="128"/>
  <c r="S54" i="128"/>
  <c r="R54" i="128"/>
  <c r="U53" i="128"/>
  <c r="T53" i="128"/>
  <c r="S53" i="128"/>
  <c r="R53" i="128"/>
  <c r="U50" i="128"/>
  <c r="T50" i="128"/>
  <c r="S50" i="128"/>
  <c r="R50" i="128"/>
  <c r="Y22" i="128"/>
  <c r="X22" i="128"/>
  <c r="W22" i="128"/>
  <c r="Y28" i="128"/>
  <c r="X28" i="128"/>
  <c r="V28" i="128"/>
  <c r="Y55" i="128"/>
  <c r="X55" i="128"/>
  <c r="W55" i="128"/>
  <c r="V55" i="128"/>
  <c r="Y54" i="128"/>
  <c r="X54" i="128"/>
  <c r="V54" i="128"/>
  <c r="Y53" i="128"/>
  <c r="X53" i="128"/>
  <c r="W53" i="128"/>
  <c r="V53" i="128"/>
  <c r="AC53" i="128"/>
  <c r="AC29" i="128"/>
  <c r="AB29" i="128"/>
  <c r="AA29" i="128"/>
  <c r="Z29" i="128"/>
  <c r="AC28" i="128"/>
  <c r="AB28" i="128"/>
  <c r="AA28" i="128"/>
  <c r="Z28" i="128"/>
  <c r="AG29" i="128"/>
  <c r="AF29" i="128"/>
  <c r="AE29" i="128"/>
  <c r="AD29" i="128"/>
  <c r="AF28" i="128"/>
  <c r="AE28" i="128"/>
  <c r="AD28" i="128"/>
  <c r="AC22" i="128"/>
  <c r="AB22" i="128"/>
  <c r="AA22" i="128"/>
  <c r="Z22" i="128"/>
  <c r="AG22" i="128"/>
  <c r="AF22" i="128"/>
  <c r="AE22" i="128"/>
  <c r="AD22" i="128"/>
  <c r="AC56" i="128"/>
  <c r="AB56" i="128"/>
  <c r="AA56" i="128"/>
  <c r="Z56" i="128"/>
  <c r="AC55" i="128"/>
  <c r="AB55" i="128"/>
  <c r="AA55" i="128"/>
  <c r="Z55" i="128"/>
  <c r="AC54" i="128"/>
  <c r="AB54" i="128"/>
  <c r="AA54" i="128"/>
  <c r="Z54" i="128"/>
  <c r="AB53" i="128"/>
  <c r="AA53" i="128"/>
  <c r="Z53" i="128"/>
  <c r="AC50" i="128"/>
  <c r="AB50" i="128"/>
  <c r="AA50" i="128"/>
  <c r="Z50" i="128"/>
  <c r="AG56" i="128"/>
  <c r="AF56" i="128"/>
  <c r="AE56" i="128"/>
  <c r="AD56" i="128"/>
  <c r="AG55" i="128"/>
  <c r="AF55" i="128"/>
  <c r="AE55" i="128"/>
  <c r="AD55" i="128"/>
  <c r="AF54" i="128"/>
  <c r="AE54" i="128"/>
  <c r="AD54" i="128"/>
  <c r="AG53" i="128"/>
  <c r="AF53" i="128"/>
  <c r="AE53" i="128"/>
  <c r="AD53" i="128"/>
  <c r="AG50" i="128"/>
  <c r="AF50" i="128"/>
  <c r="AE50" i="128"/>
  <c r="AD50" i="128"/>
  <c r="AG164" i="128"/>
  <c r="AG28" i="128" s="1"/>
  <c r="AK50" i="128"/>
  <c r="AK149" i="128"/>
  <c r="AK22" i="128" s="1"/>
  <c r="AH20" i="128"/>
  <c r="AI20" i="128"/>
  <c r="AJ20" i="128"/>
  <c r="AK20" i="128"/>
  <c r="AH21" i="128"/>
  <c r="AI21" i="128"/>
  <c r="AJ21" i="128"/>
  <c r="AK21" i="128"/>
  <c r="AH22" i="128"/>
  <c r="AI22" i="128"/>
  <c r="AJ22" i="128"/>
  <c r="AK56" i="128"/>
  <c r="AJ56" i="128"/>
  <c r="AI56" i="128"/>
  <c r="AH56" i="128"/>
  <c r="AK55" i="128"/>
  <c r="AJ55" i="128"/>
  <c r="AI55" i="128"/>
  <c r="AH55" i="128"/>
  <c r="AI54" i="128"/>
  <c r="AK53" i="128"/>
  <c r="AJ53" i="128"/>
  <c r="AI53" i="128"/>
  <c r="AH53" i="128"/>
  <c r="AJ50" i="128"/>
  <c r="AI50" i="128"/>
  <c r="AH50" i="128"/>
  <c r="AK29" i="128"/>
  <c r="AJ29" i="128"/>
  <c r="AI29" i="128"/>
  <c r="AH29" i="128"/>
  <c r="AI28" i="128"/>
  <c r="AK164" i="128"/>
  <c r="AK28" i="128" s="1"/>
  <c r="AJ164" i="128"/>
  <c r="AJ28" i="128" s="1"/>
  <c r="AH164" i="128"/>
  <c r="AH28" i="128" s="1"/>
  <c r="AM50" i="128"/>
  <c r="AN50" i="128"/>
  <c r="AO50" i="128"/>
  <c r="AM54" i="128"/>
  <c r="AN54" i="128"/>
  <c r="AO54" i="128"/>
  <c r="AM55" i="128"/>
  <c r="AN55" i="128"/>
  <c r="AO55" i="128"/>
  <c r="AL55" i="128"/>
  <c r="AL54" i="128"/>
  <c r="AM53" i="128"/>
  <c r="AN53" i="128"/>
  <c r="AO53" i="128"/>
  <c r="AL53" i="128"/>
  <c r="AL50" i="128"/>
  <c r="AM28" i="128"/>
  <c r="AN28" i="128"/>
  <c r="AR28" i="128" s="1"/>
  <c r="AO28" i="128"/>
  <c r="AL28" i="128"/>
  <c r="AO22" i="128"/>
  <c r="AN22" i="128"/>
  <c r="AL22" i="128"/>
  <c r="BM275" i="131"/>
  <c r="BM273" i="131"/>
  <c r="AP74" i="128" l="1"/>
  <c r="AP87" i="128"/>
  <c r="AS28" i="128"/>
  <c r="AM64" i="128"/>
  <c r="AN64" i="128" s="1"/>
  <c r="AO64" i="128" s="1"/>
  <c r="W54" i="128"/>
  <c r="AG54" i="128"/>
  <c r="AJ54" i="128"/>
  <c r="AH54" i="128"/>
  <c r="AK54" i="128"/>
  <c r="AH23" i="128"/>
  <c r="AI23" i="128"/>
  <c r="AJ23" i="128"/>
  <c r="AK23" i="128"/>
  <c r="AO382" i="131"/>
  <c r="AO121" i="131"/>
  <c r="AO125" i="131"/>
  <c r="AO120" i="131"/>
  <c r="AZ80" i="129"/>
  <c r="AO32" i="131"/>
  <c r="AI26" i="131"/>
  <c r="AH26" i="131"/>
  <c r="DF40" i="130"/>
  <c r="AO58" i="130"/>
  <c r="AO55" i="130"/>
  <c r="AO54" i="130"/>
  <c r="AO53" i="130"/>
  <c r="AO52" i="130"/>
  <c r="AO51" i="130"/>
  <c r="AO50" i="130"/>
  <c r="AO49" i="130"/>
  <c r="AO48" i="130"/>
  <c r="AO47" i="130"/>
  <c r="AO46" i="130"/>
  <c r="AO45" i="130"/>
  <c r="AO41" i="130"/>
  <c r="AO39" i="130"/>
  <c r="AO38" i="130"/>
  <c r="AO37" i="130"/>
  <c r="AO36" i="130"/>
  <c r="AO35" i="130"/>
  <c r="AO34" i="130"/>
  <c r="AO33" i="130"/>
  <c r="AO32" i="130"/>
  <c r="AO28" i="130"/>
  <c r="AO27" i="130"/>
  <c r="AO26" i="130"/>
  <c r="AO25" i="130"/>
  <c r="AO24" i="130"/>
  <c r="AO23" i="130"/>
  <c r="AO22" i="130"/>
  <c r="AO21" i="130"/>
  <c r="AO20" i="130"/>
  <c r="AO18" i="130"/>
  <c r="AO17" i="130"/>
  <c r="AO16" i="130"/>
  <c r="AO15" i="130"/>
  <c r="AO14" i="130"/>
  <c r="AO13" i="130"/>
  <c r="AO12" i="130"/>
  <c r="AO11" i="130"/>
  <c r="AO10" i="130"/>
  <c r="AO9" i="130"/>
  <c r="AO8" i="130"/>
  <c r="AO7" i="130"/>
  <c r="AO6" i="130"/>
  <c r="AO45" i="129"/>
  <c r="AP45" i="129" s="1"/>
  <c r="AQ45" i="129" s="1"/>
  <c r="AO46" i="129"/>
  <c r="AP46" i="129" s="1"/>
  <c r="AQ46" i="129" s="1"/>
  <c r="AO47" i="129"/>
  <c r="AP47" i="129" s="1"/>
  <c r="AQ47" i="129" s="1"/>
  <c r="AO48" i="129"/>
  <c r="AP48" i="129" s="1"/>
  <c r="AQ48" i="129" s="1"/>
  <c r="AO22" i="129"/>
  <c r="AO9" i="129"/>
  <c r="AO166" i="131"/>
  <c r="AP168" i="131" s="1"/>
  <c r="AN166" i="131"/>
  <c r="AM166" i="131"/>
  <c r="AQ167" i="131" s="1"/>
  <c r="AL166" i="131"/>
  <c r="AP167" i="131" s="1"/>
  <c r="AK166" i="131"/>
  <c r="AJ166" i="131"/>
  <c r="AI166" i="131"/>
  <c r="AH166" i="131"/>
  <c r="AG166" i="131"/>
  <c r="AF166" i="131"/>
  <c r="AE166" i="131"/>
  <c r="AD166" i="131"/>
  <c r="AO199" i="131"/>
  <c r="AN199" i="131"/>
  <c r="AM199" i="131"/>
  <c r="AL199" i="131"/>
  <c r="AK199" i="131"/>
  <c r="AJ199" i="131"/>
  <c r="AI199" i="131"/>
  <c r="AH199" i="131"/>
  <c r="AG199" i="131"/>
  <c r="AF199" i="131"/>
  <c r="AE199" i="131"/>
  <c r="AD199" i="131"/>
  <c r="AO198" i="131"/>
  <c r="AN198" i="131"/>
  <c r="AM198" i="131"/>
  <c r="AL198" i="131"/>
  <c r="AK198" i="131"/>
  <c r="AJ198" i="131"/>
  <c r="AI198" i="131"/>
  <c r="AH198" i="131"/>
  <c r="AG198" i="131"/>
  <c r="AF198" i="131"/>
  <c r="AE198" i="131"/>
  <c r="AD198" i="131"/>
  <c r="BM197" i="131"/>
  <c r="BL197" i="131"/>
  <c r="BK197" i="131"/>
  <c r="BJ197" i="131"/>
  <c r="BI197" i="131"/>
  <c r="BI198" i="131" s="1"/>
  <c r="AO176" i="131"/>
  <c r="AS176" i="131" s="1"/>
  <c r="AN176" i="131"/>
  <c r="AR176" i="131" s="1"/>
  <c r="AV176" i="131" s="1"/>
  <c r="AZ176" i="131" s="1"/>
  <c r="AM176" i="131"/>
  <c r="AL176" i="131"/>
  <c r="AP176" i="131" s="1"/>
  <c r="AK176" i="131"/>
  <c r="AJ176" i="131"/>
  <c r="AI176" i="131"/>
  <c r="AH176" i="131"/>
  <c r="AG176" i="131"/>
  <c r="AF176" i="131"/>
  <c r="AE176" i="131"/>
  <c r="AD176" i="131"/>
  <c r="AO173" i="131"/>
  <c r="AN173" i="131"/>
  <c r="AM173" i="131"/>
  <c r="AL173" i="131"/>
  <c r="AK173" i="131"/>
  <c r="AJ173" i="131"/>
  <c r="AI173" i="131"/>
  <c r="AH173" i="131"/>
  <c r="AG173" i="131"/>
  <c r="AF173" i="131"/>
  <c r="AE173" i="131"/>
  <c r="AD173" i="131"/>
  <c r="AO172" i="131"/>
  <c r="AN172" i="131"/>
  <c r="AM172" i="131"/>
  <c r="AL172" i="131"/>
  <c r="AK172" i="131"/>
  <c r="AJ172" i="131"/>
  <c r="AI172" i="131"/>
  <c r="AH172" i="131"/>
  <c r="AG172" i="131"/>
  <c r="AF172" i="131"/>
  <c r="AE172" i="131"/>
  <c r="BM171" i="131"/>
  <c r="BL171" i="131"/>
  <c r="BK171" i="131"/>
  <c r="BD171" i="131"/>
  <c r="AC166" i="131"/>
  <c r="AB166" i="131"/>
  <c r="AA166" i="131"/>
  <c r="E166" i="131"/>
  <c r="D166" i="131"/>
  <c r="C166" i="131"/>
  <c r="C167" i="131" s="1"/>
  <c r="B166" i="131"/>
  <c r="AO209" i="131"/>
  <c r="AO208" i="131"/>
  <c r="AO204" i="131"/>
  <c r="AO203" i="131"/>
  <c r="AO180" i="131"/>
  <c r="AO179" i="131"/>
  <c r="AO152" i="131"/>
  <c r="AO146" i="131" s="1"/>
  <c r="AO150" i="131"/>
  <c r="AO149" i="131"/>
  <c r="AO144" i="131"/>
  <c r="AO143" i="131"/>
  <c r="AO136" i="131"/>
  <c r="AI88" i="131"/>
  <c r="AH88" i="131"/>
  <c r="AO91" i="131"/>
  <c r="AO90" i="131"/>
  <c r="AO89" i="131"/>
  <c r="AO87" i="131"/>
  <c r="AO67" i="131"/>
  <c r="AO66" i="131"/>
  <c r="AO65" i="131"/>
  <c r="AO64" i="131"/>
  <c r="AO31" i="128"/>
  <c r="AO29" i="128"/>
  <c r="AS29" i="128" s="1"/>
  <c r="AO21" i="128"/>
  <c r="AO20" i="128"/>
  <c r="AO124" i="128"/>
  <c r="AO115" i="128"/>
  <c r="AO56" i="128"/>
  <c r="AO48" i="128"/>
  <c r="AO47" i="128"/>
  <c r="AO44" i="128"/>
  <c r="AO14" i="128"/>
  <c r="AO13" i="128"/>
  <c r="BJ183" i="131"/>
  <c r="BI183" i="131"/>
  <c r="BH183" i="131"/>
  <c r="BG183" i="131"/>
  <c r="BF183" i="131"/>
  <c r="BE183" i="131"/>
  <c r="BD183" i="131"/>
  <c r="AV182" i="131"/>
  <c r="AN182" i="131"/>
  <c r="AL182" i="131"/>
  <c r="AI182" i="131"/>
  <c r="AH182" i="131"/>
  <c r="AJ182" i="131"/>
  <c r="AR182" i="131"/>
  <c r="AO69" i="130" a="1"/>
  <c r="AT182" i="131"/>
  <c r="AW182" i="131"/>
  <c r="AU182" i="131"/>
  <c r="AS182" i="131"/>
  <c r="AY182" i="131"/>
  <c r="AZ182" i="131"/>
  <c r="AM182" i="131"/>
  <c r="BA182" i="131"/>
  <c r="AX182" i="131"/>
  <c r="AK182" i="131"/>
  <c r="AO182" i="131"/>
  <c r="AW176" i="131" l="1"/>
  <c r="BA176" i="131" s="1"/>
  <c r="AS197" i="131"/>
  <c r="AQ183" i="131"/>
  <c r="AQ176" i="131"/>
  <c r="AQ178" i="131" s="1"/>
  <c r="AQ49" i="129"/>
  <c r="AQ50" i="129" s="1"/>
  <c r="AP178" i="131"/>
  <c r="AP202" i="131"/>
  <c r="AT176" i="131"/>
  <c r="AX176" i="131" s="1"/>
  <c r="AP183" i="131"/>
  <c r="AP49" i="129"/>
  <c r="AP50" i="129" s="1"/>
  <c r="AP85" i="128"/>
  <c r="AP386" i="131"/>
  <c r="AP385" i="131"/>
  <c r="AP86" i="128"/>
  <c r="AP36" i="131"/>
  <c r="AP37" i="131"/>
  <c r="AO46" i="128"/>
  <c r="AO49" i="129"/>
  <c r="BK176" i="131"/>
  <c r="BM176" i="131"/>
  <c r="AO56" i="130"/>
  <c r="BL176" i="131"/>
  <c r="AO19" i="130"/>
  <c r="AO29" i="130" s="1"/>
  <c r="AO68" i="130" s="1"/>
  <c r="AO69" i="130"/>
  <c r="AO85" i="129" s="1"/>
  <c r="BK198" i="131"/>
  <c r="AB168" i="131"/>
  <c r="BJ198" i="131"/>
  <c r="BM198" i="131"/>
  <c r="BL198" i="131"/>
  <c r="AC168" i="131"/>
  <c r="AF167" i="131"/>
  <c r="C168" i="131"/>
  <c r="AI168" i="131"/>
  <c r="D168" i="131"/>
  <c r="AE168" i="131"/>
  <c r="BM172" i="131"/>
  <c r="BL172" i="131"/>
  <c r="B167" i="131"/>
  <c r="BD166" i="131"/>
  <c r="BD167" i="131" s="1"/>
  <c r="D167" i="131"/>
  <c r="E168" i="131"/>
  <c r="AG168" i="131"/>
  <c r="E167" i="131"/>
  <c r="AH168" i="131"/>
  <c r="BD172" i="131"/>
  <c r="AG167" i="131"/>
  <c r="AE167" i="131"/>
  <c r="AH167" i="131"/>
  <c r="BK166" i="131"/>
  <c r="AI167" i="131"/>
  <c r="AD168" i="131"/>
  <c r="AF168" i="131"/>
  <c r="B168" i="131"/>
  <c r="AO23" i="128"/>
  <c r="AP88" i="128" s="1"/>
  <c r="AO15" i="128"/>
  <c r="BO182" i="131"/>
  <c r="AT183" i="131"/>
  <c r="AU183" i="131"/>
  <c r="AV183" i="131"/>
  <c r="AW183" i="131"/>
  <c r="AL183" i="131"/>
  <c r="BM182" i="131"/>
  <c r="AX183" i="131"/>
  <c r="BP182" i="131"/>
  <c r="AM183" i="131"/>
  <c r="AY183" i="131"/>
  <c r="AN183" i="131"/>
  <c r="AZ183" i="131"/>
  <c r="AO183" i="131"/>
  <c r="BA183" i="131"/>
  <c r="BN182" i="131"/>
  <c r="AR183" i="131"/>
  <c r="BL182" i="131"/>
  <c r="AS183" i="131"/>
  <c r="AQ202" i="131" l="1"/>
  <c r="AU176" i="131"/>
  <c r="AY176" i="131" s="1"/>
  <c r="AP204" i="131"/>
  <c r="AP203" i="131"/>
  <c r="AP179" i="131"/>
  <c r="AP568" i="131"/>
  <c r="AP180" i="131"/>
  <c r="AP83" i="128"/>
  <c r="BN176" i="131"/>
  <c r="AO72" i="130"/>
  <c r="BP183" i="131"/>
  <c r="BM183" i="131"/>
  <c r="BN183" i="131"/>
  <c r="BO183" i="131"/>
  <c r="AQ204" i="131" l="1"/>
  <c r="AQ203" i="131"/>
  <c r="AQ205" i="131"/>
  <c r="BP176" i="131"/>
  <c r="BO176" i="131"/>
  <c r="BJ140" i="131" l="1"/>
  <c r="BI140" i="131"/>
  <c r="BH140" i="131"/>
  <c r="BG140" i="131"/>
  <c r="BF140" i="131"/>
  <c r="BE140" i="131"/>
  <c r="BD140" i="131"/>
  <c r="AG140" i="131"/>
  <c r="AF140" i="131"/>
  <c r="AE140" i="131"/>
  <c r="AD140" i="131"/>
  <c r="AC140" i="131"/>
  <c r="AB140" i="131"/>
  <c r="AA140" i="131"/>
  <c r="Z140" i="131"/>
  <c r="Y140" i="131"/>
  <c r="X140" i="131"/>
  <c r="W140" i="131"/>
  <c r="V140" i="131"/>
  <c r="U140" i="131"/>
  <c r="T140" i="131"/>
  <c r="S140" i="131"/>
  <c r="R140" i="131"/>
  <c r="Q140" i="131"/>
  <c r="P140" i="131"/>
  <c r="O140" i="131"/>
  <c r="N140" i="131"/>
  <c r="M140" i="131"/>
  <c r="L140" i="131"/>
  <c r="K140" i="131"/>
  <c r="J140" i="131"/>
  <c r="I140" i="131"/>
  <c r="H140" i="131"/>
  <c r="G140" i="131"/>
  <c r="F140" i="131"/>
  <c r="E140" i="131"/>
  <c r="D140" i="131"/>
  <c r="C140" i="131"/>
  <c r="B140" i="131"/>
  <c r="BJ30" i="131"/>
  <c r="BI30" i="131"/>
  <c r="BH30" i="131"/>
  <c r="BG30" i="131"/>
  <c r="BF30" i="131"/>
  <c r="BE30" i="131"/>
  <c r="BD30" i="131"/>
  <c r="AG30" i="131"/>
  <c r="AF30" i="131"/>
  <c r="AE30" i="131"/>
  <c r="AD30" i="131"/>
  <c r="AC30" i="131"/>
  <c r="AB30" i="131"/>
  <c r="AA30" i="131"/>
  <c r="Z30" i="131"/>
  <c r="Y30" i="131"/>
  <c r="X30" i="131"/>
  <c r="W30" i="131"/>
  <c r="V30" i="131"/>
  <c r="U30" i="131"/>
  <c r="T30" i="131"/>
  <c r="S30" i="131"/>
  <c r="R30" i="131"/>
  <c r="Q30" i="131"/>
  <c r="P30" i="131"/>
  <c r="O30" i="131"/>
  <c r="N30" i="131"/>
  <c r="M30" i="131"/>
  <c r="L30" i="131"/>
  <c r="K30" i="131"/>
  <c r="J30" i="131"/>
  <c r="I30" i="131"/>
  <c r="H30" i="131"/>
  <c r="G30" i="131"/>
  <c r="F30" i="131"/>
  <c r="E30" i="131"/>
  <c r="D30" i="131"/>
  <c r="C30" i="131"/>
  <c r="B30" i="131"/>
  <c r="BJ94" i="131"/>
  <c r="BI94" i="131"/>
  <c r="BH94" i="131"/>
  <c r="BG94" i="131"/>
  <c r="BF94" i="131"/>
  <c r="BE94" i="131"/>
  <c r="BD94" i="131"/>
  <c r="AG94" i="131"/>
  <c r="AF94" i="131"/>
  <c r="AE94" i="131"/>
  <c r="AD94" i="131"/>
  <c r="AC94" i="131"/>
  <c r="AB94" i="131"/>
  <c r="AA94" i="131"/>
  <c r="Z94" i="131"/>
  <c r="Y94" i="131"/>
  <c r="X94" i="131"/>
  <c r="W94" i="131"/>
  <c r="V94" i="131"/>
  <c r="U94" i="131"/>
  <c r="T94" i="131"/>
  <c r="S94" i="131"/>
  <c r="R94" i="131"/>
  <c r="Q94" i="131"/>
  <c r="P94" i="131"/>
  <c r="O94" i="131"/>
  <c r="N94" i="131"/>
  <c r="M94" i="131"/>
  <c r="L94" i="131"/>
  <c r="K94" i="131"/>
  <c r="J94" i="131"/>
  <c r="I94" i="131"/>
  <c r="H94" i="131"/>
  <c r="G94" i="131"/>
  <c r="F94" i="131"/>
  <c r="E94" i="131"/>
  <c r="D94" i="131"/>
  <c r="C94" i="131"/>
  <c r="B94" i="131"/>
  <c r="AN66" i="131"/>
  <c r="AM66" i="131"/>
  <c r="AL66" i="131"/>
  <c r="AK66" i="131"/>
  <c r="AJ66" i="131"/>
  <c r="AI66" i="131"/>
  <c r="AH66" i="131"/>
  <c r="AG66" i="131"/>
  <c r="AF66" i="131"/>
  <c r="AE66" i="131"/>
  <c r="AD66" i="131"/>
  <c r="AC66" i="131"/>
  <c r="AB66" i="131"/>
  <c r="AA66" i="131"/>
  <c r="Z66" i="131"/>
  <c r="Y66" i="131"/>
  <c r="X66" i="131"/>
  <c r="W66" i="131"/>
  <c r="V66" i="131"/>
  <c r="U66" i="131"/>
  <c r="T66" i="131"/>
  <c r="S66" i="131"/>
  <c r="R66" i="131"/>
  <c r="Q66" i="131"/>
  <c r="P66" i="131"/>
  <c r="O66" i="131"/>
  <c r="N66" i="131"/>
  <c r="M66" i="131"/>
  <c r="L66" i="131"/>
  <c r="K66" i="131"/>
  <c r="J66" i="131"/>
  <c r="I66" i="131"/>
  <c r="H66" i="131"/>
  <c r="G66" i="131"/>
  <c r="F66" i="131"/>
  <c r="E66" i="131"/>
  <c r="D66" i="131"/>
  <c r="C66" i="131"/>
  <c r="B66" i="131"/>
  <c r="AN64" i="131"/>
  <c r="AM64" i="131"/>
  <c r="AL64" i="131"/>
  <c r="AK64" i="131"/>
  <c r="AJ64" i="131"/>
  <c r="AI64" i="131"/>
  <c r="AH64" i="131"/>
  <c r="AG64" i="131"/>
  <c r="AF64" i="131"/>
  <c r="AE64" i="131"/>
  <c r="AD64" i="131"/>
  <c r="AC64" i="131"/>
  <c r="AB64" i="131"/>
  <c r="AA64" i="131"/>
  <c r="Z64" i="131"/>
  <c r="Y64" i="131"/>
  <c r="X64" i="131"/>
  <c r="W64" i="131"/>
  <c r="V64" i="131"/>
  <c r="U64" i="131"/>
  <c r="T64" i="131"/>
  <c r="S64" i="131"/>
  <c r="R64" i="131"/>
  <c r="Q64" i="131"/>
  <c r="P64" i="131"/>
  <c r="O64" i="131"/>
  <c r="N64" i="131"/>
  <c r="M64" i="131"/>
  <c r="L64" i="131"/>
  <c r="K64" i="131"/>
  <c r="J64" i="131"/>
  <c r="I64" i="131"/>
  <c r="H64" i="131"/>
  <c r="G64" i="131"/>
  <c r="F64" i="131"/>
  <c r="E64" i="131"/>
  <c r="D64" i="131"/>
  <c r="C64" i="131"/>
  <c r="B64" i="131"/>
  <c r="AN195" i="131"/>
  <c r="AM195" i="131"/>
  <c r="AM191" i="131" s="1"/>
  <c r="AQ192" i="131" s="1"/>
  <c r="AL195" i="131"/>
  <c r="AK195" i="131"/>
  <c r="AJ195" i="131"/>
  <c r="AI195" i="131"/>
  <c r="AH195" i="131"/>
  <c r="AN67" i="131"/>
  <c r="AM67" i="131"/>
  <c r="AL67" i="131"/>
  <c r="AK67" i="131"/>
  <c r="AJ67" i="131"/>
  <c r="AI67" i="131"/>
  <c r="AH67" i="131"/>
  <c r="AG67" i="131"/>
  <c r="AF67" i="131"/>
  <c r="AE67" i="131"/>
  <c r="AD67" i="131"/>
  <c r="AC67" i="131"/>
  <c r="AB67" i="131"/>
  <c r="AA67" i="131"/>
  <c r="Z67" i="131"/>
  <c r="Y67" i="131"/>
  <c r="X67" i="131"/>
  <c r="W67" i="131"/>
  <c r="V67" i="131"/>
  <c r="AN65" i="131"/>
  <c r="AM65" i="131"/>
  <c r="AL65" i="131"/>
  <c r="AK65" i="131"/>
  <c r="AJ65" i="131"/>
  <c r="AI65" i="131"/>
  <c r="AH65" i="131"/>
  <c r="AG65" i="131"/>
  <c r="AF65" i="131"/>
  <c r="AE65" i="131"/>
  <c r="AD65" i="131"/>
  <c r="AC65" i="131"/>
  <c r="AB65" i="131"/>
  <c r="AA65" i="131"/>
  <c r="Z65" i="131"/>
  <c r="BJ70" i="131"/>
  <c r="BI70" i="131"/>
  <c r="BH70" i="131"/>
  <c r="BG70" i="131"/>
  <c r="BF70" i="131"/>
  <c r="BE70" i="131"/>
  <c r="BD70" i="131"/>
  <c r="AG70" i="131"/>
  <c r="AF70" i="131"/>
  <c r="AE70" i="131"/>
  <c r="AD70" i="131"/>
  <c r="AC70" i="131"/>
  <c r="AB70" i="131"/>
  <c r="AA70" i="131"/>
  <c r="Z70" i="131"/>
  <c r="Y70" i="131"/>
  <c r="X70" i="131"/>
  <c r="W70" i="131"/>
  <c r="V70" i="131"/>
  <c r="U70" i="131"/>
  <c r="T70" i="131"/>
  <c r="S70" i="131"/>
  <c r="R70" i="131"/>
  <c r="Q70" i="131"/>
  <c r="P70" i="131"/>
  <c r="O70" i="131"/>
  <c r="N70" i="131"/>
  <c r="M70" i="131"/>
  <c r="L70" i="131"/>
  <c r="K70" i="131"/>
  <c r="J70" i="131"/>
  <c r="I70" i="131"/>
  <c r="H70" i="131"/>
  <c r="G70" i="131"/>
  <c r="F70" i="131"/>
  <c r="E70" i="131"/>
  <c r="D70" i="131"/>
  <c r="C70" i="131"/>
  <c r="B70" i="131"/>
  <c r="BJ40" i="131"/>
  <c r="BI40" i="131"/>
  <c r="BH40" i="131"/>
  <c r="BG40" i="131"/>
  <c r="BF40" i="131"/>
  <c r="BE40" i="131"/>
  <c r="BD40" i="131"/>
  <c r="AG40" i="131"/>
  <c r="AF40" i="131"/>
  <c r="AE40" i="131"/>
  <c r="AD40" i="131"/>
  <c r="AC40" i="131"/>
  <c r="AB40" i="131"/>
  <c r="AA40" i="131"/>
  <c r="Z40" i="131"/>
  <c r="Y40" i="131"/>
  <c r="X40" i="131"/>
  <c r="W40" i="131"/>
  <c r="V40" i="131"/>
  <c r="U40" i="131"/>
  <c r="T40" i="131"/>
  <c r="S40" i="131"/>
  <c r="R40" i="131"/>
  <c r="Q40" i="131"/>
  <c r="P40" i="131"/>
  <c r="O40" i="131"/>
  <c r="N40" i="131"/>
  <c r="M40" i="131"/>
  <c r="L40" i="131"/>
  <c r="K40" i="131"/>
  <c r="J40" i="131"/>
  <c r="I40" i="131"/>
  <c r="H40" i="131"/>
  <c r="G40" i="131"/>
  <c r="F40" i="131"/>
  <c r="E40" i="131"/>
  <c r="D40" i="131"/>
  <c r="C40" i="131"/>
  <c r="B40" i="131"/>
  <c r="BA111" i="131"/>
  <c r="AZ111" i="131"/>
  <c r="AY111" i="131"/>
  <c r="BA127" i="131"/>
  <c r="AZ127" i="131"/>
  <c r="AY127" i="131"/>
  <c r="AX127" i="131"/>
  <c r="BA133" i="131"/>
  <c r="AZ133" i="131"/>
  <c r="AY133" i="131"/>
  <c r="AX133" i="131"/>
  <c r="BA132" i="131"/>
  <c r="AZ132" i="131"/>
  <c r="AY132" i="131"/>
  <c r="AX132" i="131"/>
  <c r="BA131" i="131"/>
  <c r="BA130" i="131" s="1"/>
  <c r="AZ131" i="131"/>
  <c r="AZ130" i="131" s="1"/>
  <c r="AY131" i="131"/>
  <c r="AY130" i="131" s="1"/>
  <c r="AX131" i="131"/>
  <c r="AX130" i="131" s="1"/>
  <c r="AI113" i="131"/>
  <c r="AH113" i="131"/>
  <c r="AJ112" i="131"/>
  <c r="AI112" i="131"/>
  <c r="AH112" i="131"/>
  <c r="AC89" i="131"/>
  <c r="AB89" i="131"/>
  <c r="AA89" i="131"/>
  <c r="Z89" i="131"/>
  <c r="Y91" i="131"/>
  <c r="X91" i="131"/>
  <c r="W91" i="131"/>
  <c r="V91" i="131"/>
  <c r="AC91" i="131"/>
  <c r="AB91" i="131"/>
  <c r="AA91" i="131"/>
  <c r="Z91" i="131"/>
  <c r="AG91" i="131"/>
  <c r="AF91" i="131"/>
  <c r="AE91" i="131"/>
  <c r="AD91" i="131"/>
  <c r="AN91" i="131"/>
  <c r="AM91" i="131"/>
  <c r="AL91" i="131"/>
  <c r="AK91" i="131"/>
  <c r="AJ91" i="131"/>
  <c r="AH91" i="131"/>
  <c r="AI91" i="131"/>
  <c r="AN89" i="131"/>
  <c r="AM89" i="131"/>
  <c r="AL89" i="131"/>
  <c r="AK89" i="131"/>
  <c r="AJ89" i="131"/>
  <c r="AI89" i="131"/>
  <c r="AH89" i="131"/>
  <c r="AG89" i="131"/>
  <c r="AF89" i="131"/>
  <c r="AE89" i="131"/>
  <c r="AD89" i="131"/>
  <c r="AI29" i="131"/>
  <c r="AR139" i="131"/>
  <c r="AT29" i="131"/>
  <c r="AJ69" i="131"/>
  <c r="AI69" i="131"/>
  <c r="AN93" i="131"/>
  <c r="AK93" i="131"/>
  <c r="AL39" i="131"/>
  <c r="AS69" i="131"/>
  <c r="AT69" i="131"/>
  <c r="AJ93" i="131"/>
  <c r="AK69" i="131"/>
  <c r="AK39" i="131"/>
  <c r="AT139" i="131"/>
  <c r="AW29" i="131"/>
  <c r="AZ139" i="131"/>
  <c r="AL69" i="131"/>
  <c r="AR93" i="131"/>
  <c r="AY69" i="131"/>
  <c r="AS29" i="131"/>
  <c r="AM93" i="131"/>
  <c r="AW139" i="131"/>
  <c r="AH139" i="131"/>
  <c r="AI93" i="131"/>
  <c r="AK29" i="131"/>
  <c r="AO93" i="131"/>
  <c r="AR29" i="131"/>
  <c r="AN39" i="131"/>
  <c r="AX93" i="131"/>
  <c r="AL29" i="131"/>
  <c r="AN69" i="131"/>
  <c r="AU139" i="131"/>
  <c r="AT93" i="131"/>
  <c r="AR69" i="131"/>
  <c r="AY39" i="131"/>
  <c r="AX69" i="131"/>
  <c r="AZ39" i="131"/>
  <c r="AY139" i="131"/>
  <c r="AV39" i="131"/>
  <c r="AU39" i="131"/>
  <c r="AL93" i="131"/>
  <c r="AM29" i="131"/>
  <c r="AZ69" i="131"/>
  <c r="AO139" i="131"/>
  <c r="AJ39" i="131"/>
  <c r="AH39" i="131"/>
  <c r="AR39" i="131"/>
  <c r="AW69" i="131"/>
  <c r="AX29" i="131"/>
  <c r="AI39" i="131"/>
  <c r="AO69" i="131"/>
  <c r="AV29" i="131"/>
  <c r="AZ29" i="131"/>
  <c r="AY29" i="131"/>
  <c r="AS39" i="131"/>
  <c r="AI139" i="131"/>
  <c r="AV93" i="131"/>
  <c r="AW93" i="131"/>
  <c r="AJ139" i="131"/>
  <c r="AV139" i="131"/>
  <c r="AV69" i="131"/>
  <c r="AX139" i="131"/>
  <c r="AJ29" i="131"/>
  <c r="AY93" i="131"/>
  <c r="AS93" i="131"/>
  <c r="AU29" i="131"/>
  <c r="AH29" i="131"/>
  <c r="AK139" i="131"/>
  <c r="AM39" i="131"/>
  <c r="AM139" i="131"/>
  <c r="AU93" i="131"/>
  <c r="AX39" i="131"/>
  <c r="AN29" i="131"/>
  <c r="AO29" i="131"/>
  <c r="AW39" i="131"/>
  <c r="AS139" i="131"/>
  <c r="AH69" i="131"/>
  <c r="AZ93" i="131"/>
  <c r="AN139" i="131"/>
  <c r="AH93" i="131"/>
  <c r="AT39" i="131"/>
  <c r="AL139" i="131"/>
  <c r="AO39" i="131"/>
  <c r="AU69" i="131"/>
  <c r="AM69" i="131"/>
  <c r="AQ30" i="131" l="1"/>
  <c r="AQ70" i="131"/>
  <c r="AQ94" i="131"/>
  <c r="AQ140" i="131"/>
  <c r="AQ40" i="131"/>
  <c r="AP40" i="131"/>
  <c r="AP140" i="131"/>
  <c r="AP30" i="131"/>
  <c r="AP70" i="131"/>
  <c r="AP94" i="131"/>
  <c r="AR40" i="131"/>
  <c r="AT40" i="131"/>
  <c r="AS40" i="131"/>
  <c r="AU40" i="131"/>
  <c r="AV40" i="131"/>
  <c r="AW40" i="131"/>
  <c r="AL40" i="131"/>
  <c r="AX40" i="131"/>
  <c r="AM40" i="131"/>
  <c r="AY40" i="131"/>
  <c r="AN40" i="131"/>
  <c r="AZ40" i="131"/>
  <c r="AO40" i="131"/>
  <c r="AR70" i="131"/>
  <c r="AS70" i="131"/>
  <c r="AT70" i="131"/>
  <c r="AU70" i="131"/>
  <c r="AV70" i="131"/>
  <c r="AW70" i="131"/>
  <c r="AL70" i="131"/>
  <c r="AX70" i="131"/>
  <c r="AM70" i="131"/>
  <c r="AY70" i="131"/>
  <c r="AN70" i="131"/>
  <c r="AZ70" i="131"/>
  <c r="AO70" i="131"/>
  <c r="AR30" i="131"/>
  <c r="AS30" i="131"/>
  <c r="AT30" i="131"/>
  <c r="AU30" i="131"/>
  <c r="AV30" i="131"/>
  <c r="AW30" i="131"/>
  <c r="AX30" i="131"/>
  <c r="AM30" i="131"/>
  <c r="AY30" i="131"/>
  <c r="AN30" i="131"/>
  <c r="AZ30" i="131"/>
  <c r="AO30" i="131"/>
  <c r="BL139" i="131"/>
  <c r="BO139" i="131"/>
  <c r="AT140" i="131"/>
  <c r="AZ140" i="131"/>
  <c r="AU140" i="131"/>
  <c r="AW140" i="131"/>
  <c r="AL140" i="131"/>
  <c r="BM139" i="131"/>
  <c r="AX140" i="131"/>
  <c r="AV140" i="131"/>
  <c r="AM140" i="131"/>
  <c r="AY140" i="131"/>
  <c r="AO140" i="131"/>
  <c r="BN139" i="131"/>
  <c r="AR140" i="131"/>
  <c r="AN140" i="131"/>
  <c r="AS140" i="131"/>
  <c r="BL29" i="131"/>
  <c r="BO29" i="131"/>
  <c r="AL30" i="131"/>
  <c r="BM29" i="131"/>
  <c r="BN29" i="131"/>
  <c r="AL94" i="131"/>
  <c r="BM93" i="131"/>
  <c r="AM94" i="131"/>
  <c r="AN94" i="131"/>
  <c r="BN93" i="131"/>
  <c r="BO93" i="131"/>
  <c r="BL93" i="131"/>
  <c r="BL39" i="131"/>
  <c r="BM39" i="131"/>
  <c r="BN39" i="131"/>
  <c r="BO39" i="131"/>
  <c r="BM30" i="131" l="1"/>
  <c r="BM140" i="131"/>
  <c r="BN140" i="131"/>
  <c r="BO140" i="131"/>
  <c r="BN30" i="131"/>
  <c r="BN94" i="131"/>
  <c r="BO30" i="131"/>
  <c r="BO94" i="131"/>
  <c r="BM94" i="131"/>
  <c r="BO40" i="131"/>
  <c r="BN40" i="131"/>
  <c r="BM40" i="131"/>
  <c r="BI105" i="131" l="1"/>
  <c r="BI102" i="131"/>
  <c r="U555" i="131"/>
  <c r="T555" i="131"/>
  <c r="S555" i="131"/>
  <c r="R555" i="131"/>
  <c r="Q555" i="131"/>
  <c r="P555" i="131"/>
  <c r="O555" i="131"/>
  <c r="N555" i="131"/>
  <c r="M555" i="131"/>
  <c r="L555" i="131"/>
  <c r="K555" i="131"/>
  <c r="J555" i="131"/>
  <c r="I555" i="131"/>
  <c r="H555" i="131"/>
  <c r="G555" i="131"/>
  <c r="F555" i="131"/>
  <c r="E555" i="131"/>
  <c r="D555" i="131"/>
  <c r="C555" i="131"/>
  <c r="B555" i="131"/>
  <c r="R554" i="131"/>
  <c r="N554" i="131"/>
  <c r="J554" i="131"/>
  <c r="F554" i="131"/>
  <c r="B554" i="131"/>
  <c r="AA42" i="131"/>
  <c r="BM78" i="131"/>
  <c r="BI78" i="131"/>
  <c r="BN78" i="131"/>
  <c r="BK50" i="131"/>
  <c r="BJ50" i="131"/>
  <c r="AW78" i="131"/>
  <c r="BA78" i="131" s="1"/>
  <c r="BP78" i="131" s="1"/>
  <c r="AV78" i="131"/>
  <c r="AZ78" i="131" s="1"/>
  <c r="AU78" i="131"/>
  <c r="AY78" i="131" s="1"/>
  <c r="AT78" i="131"/>
  <c r="AX78" i="131" s="1"/>
  <c r="Y79" i="131"/>
  <c r="X79" i="131"/>
  <c r="W79" i="131"/>
  <c r="V79" i="131"/>
  <c r="AZ53" i="131"/>
  <c r="AY53" i="131"/>
  <c r="AX53" i="131"/>
  <c r="AS79" i="131"/>
  <c r="AR79" i="131"/>
  <c r="AL79" i="131"/>
  <c r="AD78" i="131"/>
  <c r="Z78" i="131" s="1"/>
  <c r="Z79" i="131" s="1"/>
  <c r="AI78" i="131"/>
  <c r="AM79" i="131" s="1"/>
  <c r="BL53" i="131"/>
  <c r="BK53" i="131"/>
  <c r="AK52" i="131"/>
  <c r="AL52" i="131" s="1"/>
  <c r="AG52" i="131"/>
  <c r="AH52" i="131" s="1"/>
  <c r="AI52" i="131" s="1"/>
  <c r="AJ52" i="131" s="1"/>
  <c r="AC52" i="131"/>
  <c r="AD52" i="131" s="1"/>
  <c r="AE52" i="131" s="1"/>
  <c r="AF52" i="131" s="1"/>
  <c r="BI52" i="131"/>
  <c r="Y52" i="131" s="1"/>
  <c r="Z52" i="131" s="1"/>
  <c r="AA52" i="131" s="1"/>
  <c r="AB52" i="131" s="1"/>
  <c r="BL277" i="131"/>
  <c r="BL276" i="131"/>
  <c r="BL273" i="131"/>
  <c r="AW119" i="131"/>
  <c r="BA119" i="131" s="1"/>
  <c r="AV119" i="131"/>
  <c r="AZ119" i="131" s="1"/>
  <c r="AC578" i="131"/>
  <c r="AC576" i="131"/>
  <c r="AG578" i="131"/>
  <c r="AG576" i="131"/>
  <c r="AK578" i="131"/>
  <c r="AO579" i="131" s="1"/>
  <c r="AK576" i="131"/>
  <c r="AO577" i="131" s="1"/>
  <c r="AK127" i="131"/>
  <c r="AJ127" i="131"/>
  <c r="AI127" i="131"/>
  <c r="AK126" i="131"/>
  <c r="AJ126" i="131"/>
  <c r="AI126" i="131"/>
  <c r="BI364" i="131"/>
  <c r="BH364" i="131"/>
  <c r="BG364" i="131"/>
  <c r="BG368" i="131" s="1"/>
  <c r="BG366" i="131" s="1"/>
  <c r="BG367" i="131" s="1"/>
  <c r="BF364" i="131"/>
  <c r="BE364" i="131"/>
  <c r="BK355" i="131"/>
  <c r="BF272" i="131"/>
  <c r="BJ329" i="131"/>
  <c r="BJ336" i="131"/>
  <c r="BJ323" i="131"/>
  <c r="BJ276" i="131"/>
  <c r="BJ272" i="131"/>
  <c r="BJ617" i="131"/>
  <c r="BI617" i="131"/>
  <c r="AH394" i="131"/>
  <c r="AI394" i="131" s="1"/>
  <c r="AJ394" i="131" s="1"/>
  <c r="AN395" i="131" s="1"/>
  <c r="AD394" i="131"/>
  <c r="AE394" i="131" s="1"/>
  <c r="AF394" i="131" s="1"/>
  <c r="AF397" i="131" s="1"/>
  <c r="V394" i="131"/>
  <c r="W394" i="131" s="1"/>
  <c r="X394" i="131" s="1"/>
  <c r="Z394" i="131"/>
  <c r="AA394" i="131" s="1"/>
  <c r="AB394" i="131" s="1"/>
  <c r="AB396" i="131" s="1"/>
  <c r="R394" i="131"/>
  <c r="S394" i="131" s="1"/>
  <c r="T394" i="131" s="1"/>
  <c r="U396" i="131" s="1"/>
  <c r="N394" i="131"/>
  <c r="O394" i="131" s="1"/>
  <c r="P394" i="131" s="1"/>
  <c r="P397" i="131" s="1"/>
  <c r="BK620" i="131"/>
  <c r="BJ620" i="131" s="1"/>
  <c r="BE579" i="131"/>
  <c r="BD579" i="131"/>
  <c r="BC579" i="131"/>
  <c r="BE577" i="131"/>
  <c r="BD577" i="131"/>
  <c r="BC577" i="131"/>
  <c r="BM616" i="131"/>
  <c r="BL616" i="131"/>
  <c r="BK616" i="131"/>
  <c r="BJ616" i="131"/>
  <c r="BI616" i="131"/>
  <c r="BD574" i="131"/>
  <c r="BE583" i="131"/>
  <c r="BC583" i="131"/>
  <c r="BD583" i="131"/>
  <c r="BE582" i="131"/>
  <c r="BD582" i="131"/>
  <c r="BE573" i="131"/>
  <c r="BD573" i="131"/>
  <c r="BP573" i="131"/>
  <c r="BP574" i="131"/>
  <c r="BP582" i="131"/>
  <c r="BP584" i="131"/>
  <c r="BP588" i="131"/>
  <c r="BP589" i="131"/>
  <c r="BP593" i="131"/>
  <c r="BN573" i="131"/>
  <c r="BO573" i="131"/>
  <c r="BN574" i="131"/>
  <c r="BO574" i="131"/>
  <c r="BN582" i="131"/>
  <c r="BO582" i="131"/>
  <c r="BN584" i="131"/>
  <c r="BO584" i="131"/>
  <c r="BN588" i="131"/>
  <c r="BO588" i="131"/>
  <c r="BN589" i="131"/>
  <c r="BO589" i="131"/>
  <c r="BN593" i="131"/>
  <c r="BO593" i="131"/>
  <c r="BM573" i="131"/>
  <c r="BM574" i="131"/>
  <c r="BM582" i="131"/>
  <c r="BM584" i="131"/>
  <c r="BM588" i="131"/>
  <c r="BM589" i="131"/>
  <c r="BM593" i="131"/>
  <c r="BK572" i="131"/>
  <c r="BK579" i="131" s="1"/>
  <c r="BL572" i="131"/>
  <c r="BL579" i="131" s="1"/>
  <c r="BK581" i="131"/>
  <c r="BL581" i="131"/>
  <c r="BK587" i="131"/>
  <c r="BL587" i="131"/>
  <c r="BK589" i="131"/>
  <c r="BL589" i="131"/>
  <c r="BK592" i="131"/>
  <c r="BL592" i="131"/>
  <c r="BJ572" i="131"/>
  <c r="BJ577" i="131" s="1"/>
  <c r="BJ581" i="131"/>
  <c r="BJ587" i="131"/>
  <c r="BJ589" i="131"/>
  <c r="BJ592" i="131"/>
  <c r="BH572" i="131"/>
  <c r="BH577" i="131" s="1"/>
  <c r="BI572" i="131"/>
  <c r="BI577" i="131" s="1"/>
  <c r="BH581" i="131"/>
  <c r="BI581" i="131"/>
  <c r="BH587" i="131"/>
  <c r="BI587" i="131"/>
  <c r="BH589" i="131"/>
  <c r="BI589" i="131"/>
  <c r="BH592" i="131"/>
  <c r="BI592" i="131"/>
  <c r="BG592" i="131"/>
  <c r="BG589" i="131"/>
  <c r="BG587" i="131"/>
  <c r="BG581" i="131"/>
  <c r="BG572" i="131"/>
  <c r="BF595" i="131"/>
  <c r="BF594" i="131"/>
  <c r="BF593" i="131"/>
  <c r="BF592" i="131"/>
  <c r="BF590" i="131"/>
  <c r="BF589" i="131"/>
  <c r="BF588" i="131"/>
  <c r="BF587" i="131"/>
  <c r="BF581" i="131"/>
  <c r="BF572" i="131"/>
  <c r="BF573" i="131" s="1"/>
  <c r="BL292" i="131"/>
  <c r="BL340" i="131"/>
  <c r="BK338" i="131"/>
  <c r="BK331" i="131"/>
  <c r="BK42" i="131"/>
  <c r="BL368" i="131"/>
  <c r="BL366" i="131" s="1"/>
  <c r="BL367" i="131" s="1"/>
  <c r="BK284" i="131"/>
  <c r="AC611" i="131"/>
  <c r="BA69" i="130" a="1"/>
  <c r="AM52" i="131" l="1"/>
  <c r="AP54" i="131"/>
  <c r="AH72" i="131"/>
  <c r="AI72" i="131"/>
  <c r="AL72" i="131"/>
  <c r="AA49" i="131"/>
  <c r="AM72" i="131"/>
  <c r="AD72" i="131"/>
  <c r="Z49" i="131"/>
  <c r="Z72" i="131"/>
  <c r="AB42" i="131"/>
  <c r="BN79" i="131"/>
  <c r="BO78" i="131"/>
  <c r="AC53" i="131"/>
  <c r="AK54" i="131"/>
  <c r="AF54" i="131"/>
  <c r="AL54" i="131"/>
  <c r="AJ54" i="131"/>
  <c r="AC54" i="131"/>
  <c r="AD54" i="131"/>
  <c r="AE54" i="131"/>
  <c r="AG54" i="131"/>
  <c r="AH54" i="131"/>
  <c r="AI54" i="131"/>
  <c r="AG579" i="131"/>
  <c r="AJ78" i="131"/>
  <c r="AE78" i="131"/>
  <c r="AA78" i="131" s="1"/>
  <c r="AA72" i="131" s="1"/>
  <c r="AA81" i="131" s="1"/>
  <c r="AG53" i="131"/>
  <c r="AD79" i="131"/>
  <c r="AH79" i="131"/>
  <c r="AK579" i="131"/>
  <c r="AK53" i="131"/>
  <c r="BJ53" i="131"/>
  <c r="BH52" i="131"/>
  <c r="BI53" i="131" s="1"/>
  <c r="AG577" i="131"/>
  <c r="BJ42" i="131"/>
  <c r="AK577" i="131"/>
  <c r="T395" i="131"/>
  <c r="V396" i="131"/>
  <c r="X395" i="131"/>
  <c r="X396" i="131"/>
  <c r="Y396" i="131"/>
  <c r="U397" i="131"/>
  <c r="AC396" i="131"/>
  <c r="N395" i="131"/>
  <c r="Z397" i="131"/>
  <c r="O395" i="131"/>
  <c r="AB397" i="131"/>
  <c r="Q396" i="131"/>
  <c r="AC397" i="131"/>
  <c r="Q397" i="131"/>
  <c r="AH396" i="131"/>
  <c r="R395" i="131"/>
  <c r="AJ396" i="131"/>
  <c r="S395" i="131"/>
  <c r="AA395" i="131"/>
  <c r="AD395" i="131"/>
  <c r="AG397" i="131"/>
  <c r="Z395" i="131"/>
  <c r="W396" i="131"/>
  <c r="AA397" i="131"/>
  <c r="AI396" i="131"/>
  <c r="AB395" i="131"/>
  <c r="P395" i="131"/>
  <c r="R396" i="131"/>
  <c r="V397" i="131"/>
  <c r="AD396" i="131"/>
  <c r="AH397" i="131"/>
  <c r="AF395" i="131"/>
  <c r="N396" i="131"/>
  <c r="S396" i="131"/>
  <c r="W397" i="131"/>
  <c r="AE396" i="131"/>
  <c r="AI397" i="131"/>
  <c r="AH395" i="131"/>
  <c r="O396" i="131"/>
  <c r="T396" i="131"/>
  <c r="X397" i="131"/>
  <c r="AF396" i="131"/>
  <c r="AJ397" i="131"/>
  <c r="AI395" i="131"/>
  <c r="P396" i="131"/>
  <c r="R397" i="131"/>
  <c r="Y397" i="131"/>
  <c r="AG396" i="131"/>
  <c r="AJ395" i="131"/>
  <c r="N397" i="131"/>
  <c r="S397" i="131"/>
  <c r="Z396" i="131"/>
  <c r="AD397" i="131"/>
  <c r="V395" i="131"/>
  <c r="AL395" i="131"/>
  <c r="O397" i="131"/>
  <c r="T397" i="131"/>
  <c r="AA396" i="131"/>
  <c r="AE397" i="131"/>
  <c r="W395" i="131"/>
  <c r="AM395" i="131"/>
  <c r="AE395" i="131"/>
  <c r="BH583" i="131"/>
  <c r="BK577" i="131"/>
  <c r="BL577" i="131"/>
  <c r="BG573" i="131"/>
  <c r="BF579" i="131"/>
  <c r="BG579" i="131"/>
  <c r="BF577" i="131"/>
  <c r="BH579" i="131"/>
  <c r="BK582" i="131"/>
  <c r="BG577" i="131"/>
  <c r="BI579" i="131"/>
  <c r="BJ579" i="131"/>
  <c r="BI583" i="131"/>
  <c r="BN575" i="131"/>
  <c r="BD585" i="131"/>
  <c r="BD575" i="131"/>
  <c r="BP575" i="131"/>
  <c r="BK573" i="131"/>
  <c r="BM575" i="131"/>
  <c r="BH573" i="131"/>
  <c r="BF583" i="131"/>
  <c r="BF585" i="131" s="1"/>
  <c r="BL573" i="131"/>
  <c r="BJ582" i="131"/>
  <c r="BF582" i="131"/>
  <c r="BJ573" i="131"/>
  <c r="BE585" i="131"/>
  <c r="BO575" i="131"/>
  <c r="BG583" i="131"/>
  <c r="BI573" i="131"/>
  <c r="BL582" i="131"/>
  <c r="BE574" i="131"/>
  <c r="BE575" i="131" s="1"/>
  <c r="BG582" i="131"/>
  <c r="BK583" i="131"/>
  <c r="BH582" i="131"/>
  <c r="BJ583" i="131"/>
  <c r="BI582" i="131"/>
  <c r="BL583" i="131"/>
  <c r="BK340" i="131"/>
  <c r="BL341" i="131" s="1"/>
  <c r="BA69" i="130"/>
  <c r="AZ69" i="130" a="1"/>
  <c r="AQ73" i="131" l="1"/>
  <c r="AQ74" i="131"/>
  <c r="AN52" i="131"/>
  <c r="AO53" i="131" s="1"/>
  <c r="AS53" i="131" s="1"/>
  <c r="AW53" i="131" s="1"/>
  <c r="AQ54" i="131"/>
  <c r="AD81" i="131"/>
  <c r="AN72" i="131"/>
  <c r="AN76" i="131" s="1"/>
  <c r="AN84" i="131" s="1"/>
  <c r="AN54" i="131"/>
  <c r="AM54" i="131"/>
  <c r="AO72" i="131"/>
  <c r="AP73" i="131"/>
  <c r="AP74" i="131"/>
  <c r="BI585" i="131"/>
  <c r="BM69" i="131"/>
  <c r="BL69" i="131"/>
  <c r="AM76" i="131"/>
  <c r="AM84" i="131" s="1"/>
  <c r="AM81" i="131"/>
  <c r="Z96" i="131"/>
  <c r="Z81" i="131"/>
  <c r="AL76" i="131"/>
  <c r="AL84" i="131" s="1"/>
  <c r="AL81" i="131"/>
  <c r="AI76" i="131"/>
  <c r="AI84" i="131" s="1"/>
  <c r="AI81" i="131"/>
  <c r="AH76" i="131"/>
  <c r="AH84" i="131" s="1"/>
  <c r="AH81" i="131"/>
  <c r="AE72" i="131"/>
  <c r="AB49" i="131"/>
  <c r="AD76" i="131"/>
  <c r="AD84" i="131" s="1"/>
  <c r="AN79" i="131"/>
  <c r="AJ72" i="131"/>
  <c r="AJ81" i="131" s="1"/>
  <c r="AC42" i="131"/>
  <c r="AC49" i="131" s="1"/>
  <c r="Z75" i="131"/>
  <c r="Z76" i="131"/>
  <c r="Z84" i="131" s="1"/>
  <c r="AA75" i="131"/>
  <c r="AA76" i="131"/>
  <c r="AA84" i="131" s="1"/>
  <c r="BO79" i="131"/>
  <c r="BP79" i="131"/>
  <c r="BM53" i="131"/>
  <c r="AE79" i="131"/>
  <c r="AI79" i="131"/>
  <c r="AH73" i="131"/>
  <c r="AH74" i="131"/>
  <c r="AL73" i="131"/>
  <c r="AD73" i="131"/>
  <c r="AD74" i="131"/>
  <c r="AF78" i="131"/>
  <c r="AF72" i="131" s="1"/>
  <c r="AF81" i="131" s="1"/>
  <c r="AL74" i="131"/>
  <c r="AM74" i="131"/>
  <c r="AM73" i="131"/>
  <c r="AA79" i="131"/>
  <c r="AK78" i="131"/>
  <c r="BI42" i="131"/>
  <c r="U52" i="131"/>
  <c r="V72" i="131" s="1"/>
  <c r="V81" i="131" s="1"/>
  <c r="BK44" i="131"/>
  <c r="BK43" i="131"/>
  <c r="BH585" i="131"/>
  <c r="BJ585" i="131"/>
  <c r="BG585" i="131"/>
  <c r="BL585" i="131"/>
  <c r="BF574" i="131"/>
  <c r="BF575" i="131" s="1"/>
  <c r="BK585" i="131"/>
  <c r="AZ69" i="130"/>
  <c r="AY69" i="130" a="1"/>
  <c r="AQ83" i="131" l="1"/>
  <c r="AQ82" i="131"/>
  <c r="AN81" i="131"/>
  <c r="BM72" i="131"/>
  <c r="AP83" i="131"/>
  <c r="AP82" i="131"/>
  <c r="BM70" i="131"/>
  <c r="Z102" i="131"/>
  <c r="Z99" i="131"/>
  <c r="Z100" i="131"/>
  <c r="Z105" i="131" s="1"/>
  <c r="AI74" i="131"/>
  <c r="AE81" i="131"/>
  <c r="Z82" i="131"/>
  <c r="Z83" i="131"/>
  <c r="AE76" i="131"/>
  <c r="AE84" i="131" s="1"/>
  <c r="AC46" i="131"/>
  <c r="AF76" i="131"/>
  <c r="AF84" i="131" s="1"/>
  <c r="AJ76" i="131"/>
  <c r="AJ84" i="131" s="1"/>
  <c r="BL78" i="131"/>
  <c r="AK72" i="131"/>
  <c r="AD42" i="131"/>
  <c r="AD45" i="131" s="1"/>
  <c r="AE73" i="131"/>
  <c r="AA96" i="131"/>
  <c r="AA102" i="131" s="1"/>
  <c r="AI73" i="131"/>
  <c r="BJ43" i="131"/>
  <c r="AB78" i="131"/>
  <c r="AB72" i="131" s="1"/>
  <c r="AB81" i="131" s="1"/>
  <c r="AE74" i="131"/>
  <c r="AJ79" i="131"/>
  <c r="AN74" i="131"/>
  <c r="AN73" i="131"/>
  <c r="AJ74" i="131"/>
  <c r="AJ73" i="131"/>
  <c r="AO79" i="131"/>
  <c r="AG78" i="131"/>
  <c r="V52" i="131"/>
  <c r="BJ44" i="131"/>
  <c r="BG574" i="131"/>
  <c r="BG575" i="131" s="1"/>
  <c r="AY69" i="130"/>
  <c r="AX69" i="130" a="1"/>
  <c r="BM79" i="131" l="1"/>
  <c r="Z104" i="131"/>
  <c r="AK76" i="131"/>
  <c r="AK84" i="131" s="1"/>
  <c r="AK81" i="131"/>
  <c r="Z54" i="131"/>
  <c r="W72" i="131"/>
  <c r="W81" i="131" s="1"/>
  <c r="AB75" i="131"/>
  <c r="AB76" i="131"/>
  <c r="AB84" i="131" s="1"/>
  <c r="AD43" i="131"/>
  <c r="AD44" i="131"/>
  <c r="AD49" i="131"/>
  <c r="AD75" i="131"/>
  <c r="BK78" i="131"/>
  <c r="BL79" i="131" s="1"/>
  <c r="AG72" i="131"/>
  <c r="BK72" i="131" s="1"/>
  <c r="AD96" i="131"/>
  <c r="AD99" i="131" s="1"/>
  <c r="AE42" i="131"/>
  <c r="AF42" i="131" s="1"/>
  <c r="AA99" i="131"/>
  <c r="AA100" i="131"/>
  <c r="AA105" i="131" s="1"/>
  <c r="AB79" i="131"/>
  <c r="AF73" i="131"/>
  <c r="AB96" i="131"/>
  <c r="AB102" i="131" s="1"/>
  <c r="AF79" i="131"/>
  <c r="AF74" i="131"/>
  <c r="Z74" i="131"/>
  <c r="Z73" i="131"/>
  <c r="BL72" i="131"/>
  <c r="AO74" i="131"/>
  <c r="AO73" i="131"/>
  <c r="AC78" i="131"/>
  <c r="AK79" i="131"/>
  <c r="W52" i="131"/>
  <c r="BH574" i="131"/>
  <c r="BH575" i="131" s="1"/>
  <c r="AX69" i="130"/>
  <c r="AW69" i="130" a="1"/>
  <c r="AD98" i="131" l="1"/>
  <c r="AD102" i="131"/>
  <c r="AA73" i="131"/>
  <c r="AD100" i="131"/>
  <c r="AD105" i="131" s="1"/>
  <c r="AD97" i="131"/>
  <c r="AK73" i="131"/>
  <c r="AG81" i="131"/>
  <c r="AE43" i="131"/>
  <c r="AE44" i="131"/>
  <c r="AE96" i="131"/>
  <c r="AE45" i="131"/>
  <c r="BJ78" i="131"/>
  <c r="BJ79" i="131" s="1"/>
  <c r="AC72" i="131"/>
  <c r="AF49" i="131"/>
  <c r="AF50" i="131" s="1"/>
  <c r="AF75" i="131"/>
  <c r="AE49" i="131"/>
  <c r="AE50" i="131" s="1"/>
  <c r="AE75" i="131"/>
  <c r="AD50" i="131"/>
  <c r="AA54" i="131"/>
  <c r="X72" i="131"/>
  <c r="AG76" i="131"/>
  <c r="AG84" i="131" s="1"/>
  <c r="AF45" i="131"/>
  <c r="AF44" i="131"/>
  <c r="AB99" i="131"/>
  <c r="AB100" i="131"/>
  <c r="AB105" i="131" s="1"/>
  <c r="AF96" i="131"/>
  <c r="AF102" i="131" s="1"/>
  <c r="AF43" i="131"/>
  <c r="AG42" i="131"/>
  <c r="AG49" i="131" s="1"/>
  <c r="AG50" i="131" s="1"/>
  <c r="AA74" i="131"/>
  <c r="BM73" i="131"/>
  <c r="BM74" i="131"/>
  <c r="AK74" i="131"/>
  <c r="AG79" i="131"/>
  <c r="AC79" i="131"/>
  <c r="X52" i="131"/>
  <c r="BI574" i="131"/>
  <c r="BJ574" i="131" s="1"/>
  <c r="AW69" i="130"/>
  <c r="AV69" i="130" a="1"/>
  <c r="BN69" i="131" l="1"/>
  <c r="BN70" i="131" s="1"/>
  <c r="AE97" i="131"/>
  <c r="AE102" i="131"/>
  <c r="AE100" i="131"/>
  <c r="AE105" i="131" s="1"/>
  <c r="AE99" i="131"/>
  <c r="AE98" i="131"/>
  <c r="AC96" i="131"/>
  <c r="AC102" i="131" s="1"/>
  <c r="AC81" i="131"/>
  <c r="AB73" i="131"/>
  <c r="X81" i="131"/>
  <c r="BK79" i="131"/>
  <c r="AG75" i="131"/>
  <c r="AB54" i="131"/>
  <c r="Y72" i="131"/>
  <c r="Y81" i="131" s="1"/>
  <c r="AC76" i="131"/>
  <c r="AC84" i="131" s="1"/>
  <c r="AC75" i="131"/>
  <c r="AH42" i="131"/>
  <c r="AG45" i="131"/>
  <c r="AG44" i="131"/>
  <c r="AG46" i="131"/>
  <c r="AF99" i="131"/>
  <c r="AF100" i="131"/>
  <c r="AF105" i="131" s="1"/>
  <c r="AG43" i="131"/>
  <c r="AG96" i="131"/>
  <c r="AG102" i="131" s="1"/>
  <c r="AF98" i="131"/>
  <c r="AF97" i="131"/>
  <c r="AB74" i="131"/>
  <c r="BK75" i="131"/>
  <c r="BK96" i="131"/>
  <c r="BL73" i="131"/>
  <c r="BL74" i="131"/>
  <c r="BJ72" i="131"/>
  <c r="AG73" i="131"/>
  <c r="AG74" i="131"/>
  <c r="Y53" i="131"/>
  <c r="BI575" i="131"/>
  <c r="BK574" i="131"/>
  <c r="BJ575" i="131"/>
  <c r="AV69" i="130"/>
  <c r="AU69" i="130" a="1"/>
  <c r="AC99" i="131" l="1"/>
  <c r="BI72" i="131"/>
  <c r="BJ73" i="131" s="1"/>
  <c r="AC100" i="131"/>
  <c r="AC105" i="131" s="1"/>
  <c r="BI81" i="131"/>
  <c r="AH49" i="131"/>
  <c r="AH50" i="131" s="1"/>
  <c r="AH75" i="131"/>
  <c r="AI42" i="131"/>
  <c r="AH44" i="131"/>
  <c r="AH45" i="131"/>
  <c r="BK99" i="131"/>
  <c r="AG99" i="131"/>
  <c r="AG100" i="131"/>
  <c r="AG105" i="131" s="1"/>
  <c r="AG97" i="131"/>
  <c r="AG98" i="131"/>
  <c r="AH96" i="131"/>
  <c r="AH102" i="131" s="1"/>
  <c r="AH43" i="131"/>
  <c r="BJ75" i="131"/>
  <c r="BJ96" i="131"/>
  <c r="AC73" i="131"/>
  <c r="AC74" i="131"/>
  <c r="BK73" i="131"/>
  <c r="BK74" i="131"/>
  <c r="BL574" i="131"/>
  <c r="BL575" i="131" s="1"/>
  <c r="BK575" i="131"/>
  <c r="AU69" i="130"/>
  <c r="AT69" i="130" a="1"/>
  <c r="BI96" i="131" l="1"/>
  <c r="BJ97" i="131" s="1"/>
  <c r="BJ105" i="131" s="1"/>
  <c r="BI75" i="131"/>
  <c r="BJ74" i="131"/>
  <c r="AI49" i="131"/>
  <c r="AI50" i="131" s="1"/>
  <c r="AI75" i="131"/>
  <c r="AJ42" i="131"/>
  <c r="AI45" i="131"/>
  <c r="AI44" i="131"/>
  <c r="AH99" i="131"/>
  <c r="AH100" i="131"/>
  <c r="AH105" i="131" s="1"/>
  <c r="AH97" i="131"/>
  <c r="AH98" i="131"/>
  <c r="AI43" i="131"/>
  <c r="AI96" i="131"/>
  <c r="AI102" i="131" s="1"/>
  <c r="BK97" i="131"/>
  <c r="BK105" i="131" s="1"/>
  <c r="BJ99" i="131"/>
  <c r="BK98" i="131"/>
  <c r="AT69" i="130"/>
  <c r="AS69" i="130" a="1"/>
  <c r="BJ98" i="131" l="1"/>
  <c r="BI99" i="131"/>
  <c r="AJ49" i="131"/>
  <c r="AJ50" i="131" s="1"/>
  <c r="AJ75" i="131"/>
  <c r="AJ45" i="131"/>
  <c r="AJ44" i="131"/>
  <c r="AI99" i="131"/>
  <c r="AI100" i="131"/>
  <c r="AI105" i="131" s="1"/>
  <c r="AJ43" i="131"/>
  <c r="AJ96" i="131"/>
  <c r="AJ102" i="131" s="1"/>
  <c r="AI98" i="131"/>
  <c r="AI97" i="131"/>
  <c r="AS69" i="130"/>
  <c r="AR69" i="130" a="1"/>
  <c r="BO69" i="131" l="1"/>
  <c r="BO70" i="131" s="1"/>
  <c r="AJ99" i="131"/>
  <c r="AJ100" i="131"/>
  <c r="AJ105" i="131" s="1"/>
  <c r="AJ97" i="131"/>
  <c r="AJ98" i="131"/>
  <c r="AR69" i="130"/>
  <c r="AN69" i="130" a="1"/>
  <c r="AN69" i="130" l="1"/>
  <c r="AM69" i="130" a="1"/>
  <c r="AM69" i="130" l="1"/>
  <c r="AL69" i="130" a="1"/>
  <c r="AL69" i="130" l="1"/>
  <c r="AK69" i="130" a="1"/>
  <c r="AK69" i="130" l="1"/>
  <c r="AJ69" i="130" a="1"/>
  <c r="AJ69" i="130" l="1"/>
  <c r="AI69" i="130" a="1"/>
  <c r="AI69" i="130" l="1"/>
  <c r="AH69" i="130" a="1"/>
  <c r="AH69" i="130" l="1"/>
  <c r="AG69" i="130" a="1"/>
  <c r="AG69" i="130" l="1"/>
  <c r="AF69" i="130" a="1"/>
  <c r="AF69" i="130" l="1"/>
  <c r="AE69" i="130" a="1"/>
  <c r="AE69" i="130" l="1"/>
  <c r="AD69" i="130" a="1"/>
  <c r="AD69" i="130" l="1"/>
  <c r="AC69" i="130" a="1"/>
  <c r="AC69" i="130" l="1"/>
  <c r="AB69" i="130" a="1"/>
  <c r="AB69" i="130" l="1"/>
  <c r="AA69" i="130" a="1"/>
  <c r="AA69" i="130" l="1"/>
  <c r="Z69" i="130" a="1"/>
  <c r="Z69" i="130" l="1"/>
  <c r="Y69" i="130" a="1"/>
  <c r="Y69" i="130" l="1"/>
  <c r="X69" i="130" a="1"/>
  <c r="X69" i="130" l="1"/>
  <c r="W69" i="130" a="1"/>
  <c r="W69" i="130" l="1"/>
  <c r="V69" i="130" a="1"/>
  <c r="V69" i="130" l="1"/>
  <c r="U69" i="130" a="1"/>
  <c r="U69" i="130" l="1"/>
  <c r="T69" i="130" a="1"/>
  <c r="T69" i="130" l="1"/>
  <c r="S69" i="130" a="1"/>
  <c r="S69" i="130" l="1"/>
  <c r="R69" i="130" a="1"/>
  <c r="R69" i="130" l="1"/>
  <c r="Q69" i="130" a="1"/>
  <c r="Q69" i="130" l="1"/>
  <c r="P69" i="130" a="1"/>
  <c r="P69" i="130" l="1"/>
  <c r="O69" i="130" a="1"/>
  <c r="O69" i="130" l="1"/>
  <c r="N69" i="130" a="1"/>
  <c r="N69" i="130" l="1"/>
  <c r="BL121" i="131"/>
  <c r="AO124" i="131"/>
  <c r="AO123" i="131"/>
  <c r="AM107" i="131"/>
  <c r="AQ107" i="131" s="1"/>
  <c r="AL107" i="131"/>
  <c r="AF107" i="131"/>
  <c r="AJ117" i="131"/>
  <c r="AF115" i="131" s="1"/>
  <c r="AJ116" i="131" s="1"/>
  <c r="AI117" i="131"/>
  <c r="AE115" i="131" s="1"/>
  <c r="AI116" i="131" s="1"/>
  <c r="AH117" i="131"/>
  <c r="AD115" i="131" s="1"/>
  <c r="AK120" i="131"/>
  <c r="AK117" i="131" s="1"/>
  <c r="AG115" i="131" s="1"/>
  <c r="AH118" i="131" s="1"/>
  <c r="BP129" i="131"/>
  <c r="AK125" i="131"/>
  <c r="AG123" i="131" s="1"/>
  <c r="AN124" i="131"/>
  <c r="AM124" i="131"/>
  <c r="AL124" i="131"/>
  <c r="BL123" i="131"/>
  <c r="AN123" i="131"/>
  <c r="AM123" i="131"/>
  <c r="AL123" i="131"/>
  <c r="AF123" i="131"/>
  <c r="AE123" i="131"/>
  <c r="AD123" i="131"/>
  <c r="AC123" i="131"/>
  <c r="AB123" i="131"/>
  <c r="AA123" i="131"/>
  <c r="AK119" i="131"/>
  <c r="AJ119" i="131"/>
  <c r="AI119" i="131"/>
  <c r="AK118" i="131"/>
  <c r="AJ118" i="131"/>
  <c r="AI118" i="131"/>
  <c r="AM117" i="131"/>
  <c r="AM115" i="131" s="1"/>
  <c r="AL117" i="131"/>
  <c r="AL115" i="131" s="1"/>
  <c r="BL115" i="131"/>
  <c r="BJ115" i="131"/>
  <c r="AN115" i="131"/>
  <c r="AN116" i="131" s="1"/>
  <c r="AE110" i="131"/>
  <c r="AN109" i="131"/>
  <c r="AO109" i="131" s="1"/>
  <c r="AD109" i="131"/>
  <c r="AD108" i="131"/>
  <c r="AC107" i="131"/>
  <c r="AB107" i="131"/>
  <c r="AA107" i="131"/>
  <c r="BP382" i="131"/>
  <c r="BO382" i="131"/>
  <c r="BN382" i="131"/>
  <c r="AN382" i="131"/>
  <c r="AM382" i="131"/>
  <c r="AL382" i="131"/>
  <c r="AK382" i="131"/>
  <c r="AJ382" i="131"/>
  <c r="AJ129" i="131" s="1"/>
  <c r="AI382" i="131"/>
  <c r="AI129" i="131" s="1"/>
  <c r="AH382" i="131"/>
  <c r="AH129" i="131" s="1"/>
  <c r="AG382" i="131"/>
  <c r="AF382" i="131"/>
  <c r="AE382" i="131"/>
  <c r="AD382" i="131"/>
  <c r="AC382" i="131"/>
  <c r="AB382" i="131"/>
  <c r="AA382" i="131"/>
  <c r="Z382" i="131"/>
  <c r="Y382" i="131"/>
  <c r="X382" i="131"/>
  <c r="W382" i="131"/>
  <c r="V382" i="131"/>
  <c r="U382" i="131"/>
  <c r="T382" i="131"/>
  <c r="S382" i="131"/>
  <c r="R382" i="131"/>
  <c r="Q382" i="131"/>
  <c r="P382" i="131"/>
  <c r="O382" i="131"/>
  <c r="N382" i="131"/>
  <c r="BP376" i="131"/>
  <c r="BO376" i="131"/>
  <c r="BN376" i="131"/>
  <c r="AN376" i="131"/>
  <c r="AM376" i="131"/>
  <c r="AL376" i="131"/>
  <c r="AK376" i="131"/>
  <c r="AJ376" i="131"/>
  <c r="AI376" i="131"/>
  <c r="AH376" i="131"/>
  <c r="AG376" i="131"/>
  <c r="AF376" i="131"/>
  <c r="AE376" i="131"/>
  <c r="AD376" i="131"/>
  <c r="AC376" i="131"/>
  <c r="AB376" i="131"/>
  <c r="AA376" i="131"/>
  <c r="Z376" i="131"/>
  <c r="Y376" i="131"/>
  <c r="X376" i="131"/>
  <c r="W376" i="131"/>
  <c r="V376" i="131"/>
  <c r="U376" i="131"/>
  <c r="T376" i="131"/>
  <c r="S376" i="131"/>
  <c r="R376" i="131"/>
  <c r="Q376" i="131"/>
  <c r="P376" i="131"/>
  <c r="O376" i="131"/>
  <c r="N376" i="131"/>
  <c r="BP261" i="131"/>
  <c r="BO261" i="131"/>
  <c r="BP257" i="131"/>
  <c r="AK394" i="131"/>
  <c r="AO394" i="131" s="1"/>
  <c r="BM394" i="131" s="1"/>
  <c r="BI394" i="131"/>
  <c r="BI395" i="131" s="1"/>
  <c r="BJ394" i="131"/>
  <c r="BK394" i="131"/>
  <c r="BN394" i="131"/>
  <c r="BO394" i="131"/>
  <c r="BP394" i="131"/>
  <c r="F395" i="131"/>
  <c r="G395" i="131"/>
  <c r="H395" i="131"/>
  <c r="I395" i="131"/>
  <c r="J395" i="131"/>
  <c r="K395" i="131"/>
  <c r="L395" i="131"/>
  <c r="M395" i="131"/>
  <c r="Q395" i="131"/>
  <c r="U395" i="131"/>
  <c r="Y395" i="131"/>
  <c r="AC395" i="131"/>
  <c r="AG395" i="131"/>
  <c r="BC395" i="131"/>
  <c r="BD395" i="131"/>
  <c r="BE395" i="131"/>
  <c r="BF395" i="131"/>
  <c r="BG395" i="131"/>
  <c r="BH395" i="131"/>
  <c r="C396" i="131"/>
  <c r="D396" i="131"/>
  <c r="E396" i="131"/>
  <c r="F396" i="131"/>
  <c r="G396" i="131"/>
  <c r="H396" i="131"/>
  <c r="I396" i="131"/>
  <c r="J396" i="131"/>
  <c r="K396" i="131"/>
  <c r="L396" i="131"/>
  <c r="M396" i="131"/>
  <c r="F397" i="131"/>
  <c r="G397" i="131"/>
  <c r="H397" i="131"/>
  <c r="I397" i="131"/>
  <c r="J397" i="131"/>
  <c r="K397" i="131"/>
  <c r="L397" i="131"/>
  <c r="M397" i="131"/>
  <c r="BM400" i="131"/>
  <c r="BN400" i="131"/>
  <c r="BO400" i="131"/>
  <c r="BP400" i="131"/>
  <c r="AW81" i="129"/>
  <c r="BA81" i="129" s="1"/>
  <c r="AW80" i="129"/>
  <c r="BA80" i="129" s="1"/>
  <c r="AQ123" i="131" l="1"/>
  <c r="AQ124" i="131"/>
  <c r="AQ108" i="131"/>
  <c r="AQ112" i="131"/>
  <c r="AQ88" i="131"/>
  <c r="AQ113" i="131"/>
  <c r="AQ377" i="131"/>
  <c r="AQ378" i="131"/>
  <c r="AM116" i="131"/>
  <c r="AQ115" i="131"/>
  <c r="AQ129" i="131" s="1"/>
  <c r="AQ384" i="131"/>
  <c r="AQ131" i="131" s="1"/>
  <c r="AQ383" i="131"/>
  <c r="AM88" i="131"/>
  <c r="AP377" i="131"/>
  <c r="AP378" i="131"/>
  <c r="AP383" i="131"/>
  <c r="AP384" i="131"/>
  <c r="AP131" i="131" s="1"/>
  <c r="AL116" i="131"/>
  <c r="AP115" i="131"/>
  <c r="AP124" i="131"/>
  <c r="AP123" i="131"/>
  <c r="AL88" i="131"/>
  <c r="AP107" i="131"/>
  <c r="BM382" i="131"/>
  <c r="AA111" i="131"/>
  <c r="AE26" i="131"/>
  <c r="AJ88" i="131"/>
  <c r="AF26" i="131"/>
  <c r="AL112" i="131"/>
  <c r="AM112" i="131"/>
  <c r="R257" i="131"/>
  <c r="AI133" i="131"/>
  <c r="AI132" i="131"/>
  <c r="AJ133" i="131"/>
  <c r="AJ132" i="131"/>
  <c r="AD126" i="131"/>
  <c r="AD127" i="131"/>
  <c r="AI124" i="131"/>
  <c r="AE126" i="131"/>
  <c r="AE127" i="131"/>
  <c r="AG126" i="131"/>
  <c r="AH127" i="131"/>
  <c r="AH126" i="131"/>
  <c r="AG127" i="131"/>
  <c r="AO127" i="131"/>
  <c r="AO126" i="131"/>
  <c r="AJ124" i="131"/>
  <c r="AF126" i="131"/>
  <c r="AF127" i="131"/>
  <c r="AL126" i="131"/>
  <c r="AL127" i="131"/>
  <c r="AM127" i="131"/>
  <c r="AM126" i="131"/>
  <c r="AN126" i="131"/>
  <c r="AN127" i="131"/>
  <c r="AK396" i="131"/>
  <c r="AK397" i="131"/>
  <c r="BJ395" i="131"/>
  <c r="Q385" i="131"/>
  <c r="X385" i="131"/>
  <c r="AK383" i="131"/>
  <c r="O385" i="131"/>
  <c r="AA386" i="131"/>
  <c r="V385" i="131"/>
  <c r="N257" i="131"/>
  <c r="AM385" i="131"/>
  <c r="Y386" i="131"/>
  <c r="AE379" i="131"/>
  <c r="V378" i="131"/>
  <c r="AH377" i="131"/>
  <c r="X257" i="131"/>
  <c r="AJ257" i="131"/>
  <c r="AD257" i="131"/>
  <c r="BJ123" i="131"/>
  <c r="Y379" i="131"/>
  <c r="AK379" i="131"/>
  <c r="Z378" i="131"/>
  <c r="AL377" i="131"/>
  <c r="P380" i="131"/>
  <c r="T383" i="131"/>
  <c r="AF383" i="131"/>
  <c r="AB377" i="131"/>
  <c r="Q380" i="131"/>
  <c r="AC380" i="131"/>
  <c r="Y257" i="131"/>
  <c r="R380" i="131"/>
  <c r="W385" i="131"/>
  <c r="AC111" i="131"/>
  <c r="S257" i="131"/>
  <c r="AE109" i="131"/>
  <c r="T257" i="131"/>
  <c r="AF377" i="131"/>
  <c r="S377" i="131"/>
  <c r="BL382" i="131"/>
  <c r="AL257" i="131"/>
  <c r="U377" i="131"/>
  <c r="AG378" i="131"/>
  <c r="AL386" i="131"/>
  <c r="AN107" i="131"/>
  <c r="R379" i="131"/>
  <c r="Z257" i="131"/>
  <c r="V386" i="131"/>
  <c r="AH386" i="131"/>
  <c r="T384" i="131"/>
  <c r="AO117" i="131"/>
  <c r="BN395" i="131"/>
  <c r="AB380" i="131"/>
  <c r="X386" i="131"/>
  <c r="AJ386" i="131"/>
  <c r="AD380" i="131"/>
  <c r="BK395" i="131"/>
  <c r="Z386" i="131"/>
  <c r="AE377" i="131"/>
  <c r="AK386" i="131"/>
  <c r="AB384" i="131"/>
  <c r="AA129" i="131"/>
  <c r="AC383" i="131"/>
  <c r="AB129" i="131"/>
  <c r="BO257" i="131"/>
  <c r="AD379" i="131"/>
  <c r="R383" i="131"/>
  <c r="AD383" i="131"/>
  <c r="AC129" i="131"/>
  <c r="AH116" i="131"/>
  <c r="AD129" i="131"/>
  <c r="BL117" i="131"/>
  <c r="AD119" i="131"/>
  <c r="AD118" i="131"/>
  <c r="AK116" i="131"/>
  <c r="AG119" i="131"/>
  <c r="AH119" i="131"/>
  <c r="AE119" i="131"/>
  <c r="AE118" i="131"/>
  <c r="AM129" i="131"/>
  <c r="AF119" i="131"/>
  <c r="AF118" i="131"/>
  <c r="AL129" i="131"/>
  <c r="AP130" i="131" s="1"/>
  <c r="AE129" i="131"/>
  <c r="AF129" i="131"/>
  <c r="BK123" i="131"/>
  <c r="BL124" i="131" s="1"/>
  <c r="AF257" i="131"/>
  <c r="W379" i="131"/>
  <c r="AI379" i="131"/>
  <c r="V377" i="131"/>
  <c r="W380" i="131"/>
  <c r="V384" i="131"/>
  <c r="AA385" i="131"/>
  <c r="AH378" i="131"/>
  <c r="U384" i="131"/>
  <c r="AG257" i="131"/>
  <c r="X377" i="131"/>
  <c r="AJ377" i="131"/>
  <c r="AG377" i="131"/>
  <c r="S379" i="131"/>
  <c r="X380" i="131"/>
  <c r="AE257" i="131"/>
  <c r="Z384" i="131"/>
  <c r="AC385" i="131"/>
  <c r="AM386" i="131"/>
  <c r="AE111" i="131"/>
  <c r="U380" i="131"/>
  <c r="T379" i="131"/>
  <c r="AF384" i="131"/>
  <c r="AI257" i="131"/>
  <c r="X379" i="131"/>
  <c r="U386" i="131"/>
  <c r="AG386" i="131"/>
  <c r="AG384" i="131"/>
  <c r="AG385" i="131"/>
  <c r="AB111" i="131"/>
  <c r="T378" i="131"/>
  <c r="U383" i="131"/>
  <c r="AH384" i="131"/>
  <c r="AH385" i="131"/>
  <c r="P386" i="131"/>
  <c r="V380" i="131"/>
  <c r="AH257" i="131"/>
  <c r="U257" i="131"/>
  <c r="AN257" i="131"/>
  <c r="U378" i="131"/>
  <c r="AH380" i="131"/>
  <c r="W386" i="131"/>
  <c r="AI386" i="131"/>
  <c r="V383" i="131"/>
  <c r="P385" i="131"/>
  <c r="AI385" i="131"/>
  <c r="AE108" i="131"/>
  <c r="AF378" i="131"/>
  <c r="O386" i="131"/>
  <c r="V257" i="131"/>
  <c r="Q379" i="131"/>
  <c r="AC379" i="131"/>
  <c r="AI380" i="131"/>
  <c r="AJ385" i="131"/>
  <c r="AG380" i="131"/>
  <c r="W257" i="131"/>
  <c r="BN257" i="131"/>
  <c r="AF379" i="131"/>
  <c r="AJ380" i="131"/>
  <c r="AG383" i="131"/>
  <c r="R385" i="131"/>
  <c r="AK124" i="131"/>
  <c r="T377" i="131"/>
  <c r="Q386" i="131"/>
  <c r="Y377" i="131"/>
  <c r="AD385" i="131"/>
  <c r="BO395" i="131"/>
  <c r="AA378" i="131"/>
  <c r="AJ379" i="131"/>
  <c r="AH383" i="131"/>
  <c r="U385" i="131"/>
  <c r="AN385" i="131"/>
  <c r="AA110" i="131"/>
  <c r="BM123" i="131"/>
  <c r="BM124" i="131" s="1"/>
  <c r="AL118" i="131"/>
  <c r="S384" i="131"/>
  <c r="S385" i="131"/>
  <c r="W383" i="131"/>
  <c r="W384" i="131"/>
  <c r="BJ107" i="131"/>
  <c r="AM380" i="131"/>
  <c r="AM377" i="131"/>
  <c r="AM257" i="131"/>
  <c r="AM379" i="131"/>
  <c r="AD111" i="131"/>
  <c r="AD110" i="131"/>
  <c r="AA380" i="131"/>
  <c r="AA379" i="131"/>
  <c r="AA257" i="131"/>
  <c r="AA377" i="131"/>
  <c r="BJ376" i="131"/>
  <c r="BL376" i="131"/>
  <c r="AB385" i="131"/>
  <c r="AH124" i="131"/>
  <c r="Y380" i="131"/>
  <c r="Y378" i="131"/>
  <c r="AF386" i="131"/>
  <c r="AC109" i="131"/>
  <c r="AC110" i="131"/>
  <c r="AL379" i="131"/>
  <c r="AL380" i="131"/>
  <c r="S386" i="131"/>
  <c r="P379" i="131"/>
  <c r="R377" i="131"/>
  <c r="AD377" i="131"/>
  <c r="AL378" i="131"/>
  <c r="AN380" i="131"/>
  <c r="Y385" i="131"/>
  <c r="Y384" i="131"/>
  <c r="AK385" i="131"/>
  <c r="AK384" i="131"/>
  <c r="Y383" i="131"/>
  <c r="AM119" i="131"/>
  <c r="AM118" i="131"/>
  <c r="AE384" i="131"/>
  <c r="AE385" i="131"/>
  <c r="AI383" i="131"/>
  <c r="AI384" i="131"/>
  <c r="AK380" i="131"/>
  <c r="AK378" i="131"/>
  <c r="Z379" i="131"/>
  <c r="Z380" i="131"/>
  <c r="S383" i="131"/>
  <c r="O380" i="131"/>
  <c r="O379" i="131"/>
  <c r="O257" i="131"/>
  <c r="S378" i="131"/>
  <c r="W377" i="131"/>
  <c r="S380" i="131"/>
  <c r="W378" i="131"/>
  <c r="AE378" i="131"/>
  <c r="AI377" i="131"/>
  <c r="AE380" i="131"/>
  <c r="AI378" i="131"/>
  <c r="AM378" i="131"/>
  <c r="Z385" i="131"/>
  <c r="Z383" i="131"/>
  <c r="AL385" i="131"/>
  <c r="AL383" i="131"/>
  <c r="AE383" i="131"/>
  <c r="AL384" i="131"/>
  <c r="AL131" i="131" s="1"/>
  <c r="AL130" i="131" s="1"/>
  <c r="AE386" i="131"/>
  <c r="AN119" i="131"/>
  <c r="T386" i="131"/>
  <c r="AC108" i="131"/>
  <c r="Z377" i="131"/>
  <c r="AK257" i="131"/>
  <c r="T380" i="131"/>
  <c r="X378" i="131"/>
  <c r="U379" i="131"/>
  <c r="AF380" i="131"/>
  <c r="AJ378" i="131"/>
  <c r="AG379" i="131"/>
  <c r="AK377" i="131"/>
  <c r="AA383" i="131"/>
  <c r="AA384" i="131"/>
  <c r="BJ382" i="131"/>
  <c r="AM383" i="131"/>
  <c r="AM384" i="131"/>
  <c r="AM131" i="131" s="1"/>
  <c r="AM130" i="131" s="1"/>
  <c r="AG118" i="131"/>
  <c r="BK115" i="131"/>
  <c r="BL116" i="131" s="1"/>
  <c r="AN118" i="131"/>
  <c r="AL119" i="131"/>
  <c r="AB386" i="131"/>
  <c r="AN386" i="131"/>
  <c r="V379" i="131"/>
  <c r="AH379" i="131"/>
  <c r="X384" i="131"/>
  <c r="AJ384" i="131"/>
  <c r="AJ131" i="131" s="1"/>
  <c r="AC386" i="131"/>
  <c r="BK376" i="131"/>
  <c r="BK382" i="131"/>
  <c r="X383" i="131"/>
  <c r="AJ383" i="131"/>
  <c r="T385" i="131"/>
  <c r="AF385" i="131"/>
  <c r="R386" i="131"/>
  <c r="AD386" i="131"/>
  <c r="AN378" i="131"/>
  <c r="P257" i="131"/>
  <c r="AN377" i="131"/>
  <c r="AB383" i="131"/>
  <c r="AC384" i="131"/>
  <c r="AA109" i="131"/>
  <c r="AB110" i="131"/>
  <c r="Q257" i="131"/>
  <c r="AC257" i="131"/>
  <c r="AC377" i="131"/>
  <c r="R378" i="131"/>
  <c r="AD378" i="131"/>
  <c r="AB379" i="131"/>
  <c r="AN379" i="131"/>
  <c r="R384" i="131"/>
  <c r="AD384" i="131"/>
  <c r="AA108" i="131"/>
  <c r="AB109" i="131"/>
  <c r="AB378" i="131"/>
  <c r="AN384" i="131"/>
  <c r="AN131" i="131" s="1"/>
  <c r="AN130" i="131" s="1"/>
  <c r="AB257" i="131"/>
  <c r="AC378" i="131"/>
  <c r="AN383" i="131"/>
  <c r="AB108" i="131"/>
  <c r="BP395" i="131"/>
  <c r="BL394" i="131"/>
  <c r="AQ258" i="131" l="1"/>
  <c r="AQ259" i="131"/>
  <c r="AQ110" i="131"/>
  <c r="AQ130" i="131"/>
  <c r="AQ111" i="131"/>
  <c r="AQ119" i="131"/>
  <c r="AU119" i="131" s="1"/>
  <c r="AY119" i="131" s="1"/>
  <c r="AQ116" i="131"/>
  <c r="AQ118" i="131"/>
  <c r="AQ127" i="131"/>
  <c r="AQ126" i="131"/>
  <c r="AN88" i="131"/>
  <c r="AP259" i="131"/>
  <c r="AP258" i="131"/>
  <c r="AP88" i="131"/>
  <c r="AP129" i="131"/>
  <c r="AP108" i="131"/>
  <c r="AP112" i="131"/>
  <c r="AP113" i="131"/>
  <c r="AP127" i="131"/>
  <c r="AP126" i="131"/>
  <c r="AP116" i="131"/>
  <c r="AO115" i="131"/>
  <c r="AO116" i="131" s="1"/>
  <c r="BM117" i="131"/>
  <c r="AN112" i="131"/>
  <c r="V260" i="131"/>
  <c r="AJ130" i="131"/>
  <c r="S261" i="131"/>
  <c r="R259" i="131"/>
  <c r="AJ258" i="131"/>
  <c r="AM133" i="131"/>
  <c r="AM132" i="131"/>
  <c r="AF133" i="131"/>
  <c r="AF132" i="131"/>
  <c r="AE133" i="131"/>
  <c r="AE132" i="131"/>
  <c r="AD133" i="131"/>
  <c r="AD132" i="131"/>
  <c r="W258" i="131"/>
  <c r="V259" i="131"/>
  <c r="AN259" i="131"/>
  <c r="AJ259" i="131"/>
  <c r="Y260" i="131"/>
  <c r="S260" i="131"/>
  <c r="AE261" i="131"/>
  <c r="AD258" i="131"/>
  <c r="T260" i="131"/>
  <c r="R258" i="131"/>
  <c r="AD259" i="131"/>
  <c r="S258" i="131"/>
  <c r="Y259" i="131"/>
  <c r="Z261" i="131"/>
  <c r="AE260" i="131"/>
  <c r="T258" i="131"/>
  <c r="Y261" i="131"/>
  <c r="AL260" i="131"/>
  <c r="AF260" i="131"/>
  <c r="T261" i="131"/>
  <c r="X259" i="131"/>
  <c r="AF261" i="131"/>
  <c r="X258" i="131"/>
  <c r="AF259" i="131"/>
  <c r="U261" i="131"/>
  <c r="AI259" i="131"/>
  <c r="AN258" i="131"/>
  <c r="Z260" i="131"/>
  <c r="AI258" i="131"/>
  <c r="AE258" i="131"/>
  <c r="AG261" i="131"/>
  <c r="W259" i="131"/>
  <c r="AH261" i="131"/>
  <c r="Z258" i="131"/>
  <c r="AH258" i="131"/>
  <c r="AL259" i="131"/>
  <c r="AI260" i="131"/>
  <c r="AH259" i="131"/>
  <c r="AG260" i="131"/>
  <c r="Z259" i="131"/>
  <c r="BK257" i="131"/>
  <c r="AH260" i="131"/>
  <c r="Y258" i="131"/>
  <c r="U260" i="131"/>
  <c r="AL261" i="131"/>
  <c r="V261" i="131"/>
  <c r="V258" i="131"/>
  <c r="AL258" i="131"/>
  <c r="AJ261" i="131"/>
  <c r="AI261" i="131"/>
  <c r="AG259" i="131"/>
  <c r="AJ260" i="131"/>
  <c r="U258" i="131"/>
  <c r="W260" i="131"/>
  <c r="W261" i="131"/>
  <c r="X261" i="131"/>
  <c r="X260" i="131"/>
  <c r="AM258" i="131"/>
  <c r="AM259" i="131"/>
  <c r="AM261" i="131"/>
  <c r="AM260" i="131"/>
  <c r="AN261" i="131"/>
  <c r="AK258" i="131"/>
  <c r="AK259" i="131"/>
  <c r="AK261" i="131"/>
  <c r="AK260" i="131"/>
  <c r="S259" i="131"/>
  <c r="AN260" i="131"/>
  <c r="AA258" i="131"/>
  <c r="AA259" i="131"/>
  <c r="AA261" i="131"/>
  <c r="BJ257" i="131"/>
  <c r="AA260" i="131"/>
  <c r="U259" i="131"/>
  <c r="AE259" i="131"/>
  <c r="BK384" i="131"/>
  <c r="AD261" i="131"/>
  <c r="AC260" i="131"/>
  <c r="AC259" i="131"/>
  <c r="AD260" i="131"/>
  <c r="AC261" i="131"/>
  <c r="AC258" i="131"/>
  <c r="R261" i="131"/>
  <c r="Q260" i="131"/>
  <c r="R260" i="131"/>
  <c r="Q261" i="131"/>
  <c r="O261" i="131"/>
  <c r="O260" i="131"/>
  <c r="AB259" i="131"/>
  <c r="AB260" i="131"/>
  <c r="AB261" i="131"/>
  <c r="AB258" i="131"/>
  <c r="P260" i="131"/>
  <c r="P261" i="131"/>
  <c r="AF258" i="131"/>
  <c r="BL257" i="131"/>
  <c r="BL384" i="131"/>
  <c r="AG258" i="131"/>
  <c r="T259" i="131"/>
  <c r="BM395" i="131"/>
  <c r="BL395" i="131"/>
  <c r="AQ132" i="131" l="1"/>
  <c r="AQ133" i="131"/>
  <c r="BM115" i="131"/>
  <c r="BM116" i="131" s="1"/>
  <c r="AO118" i="131"/>
  <c r="AR123" i="131"/>
  <c r="AS123" i="131" s="1"/>
  <c r="AO119" i="131"/>
  <c r="AP118" i="131"/>
  <c r="AP119" i="131"/>
  <c r="AT119" i="131" s="1"/>
  <c r="AX119" i="131" s="1"/>
  <c r="BK261" i="131"/>
  <c r="BL259" i="131"/>
  <c r="BK259" i="131"/>
  <c r="BL261" i="131"/>
  <c r="AR125" i="131" l="1"/>
  <c r="AR124" i="131"/>
  <c r="AR126" i="131"/>
  <c r="AS126" i="131"/>
  <c r="AS124" i="131"/>
  <c r="AT123" i="131"/>
  <c r="AS125" i="131"/>
  <c r="BN123" i="131"/>
  <c r="BN124" i="131" s="1"/>
  <c r="AR115" i="131" l="1"/>
  <c r="AU123" i="131"/>
  <c r="AT126" i="131"/>
  <c r="AT125" i="131"/>
  <c r="AT124" i="131"/>
  <c r="AR116" i="131" l="1"/>
  <c r="AS115" i="131"/>
  <c r="AS116" i="131" s="1"/>
  <c r="AR117" i="131"/>
  <c r="AR118" i="131"/>
  <c r="AU125" i="131"/>
  <c r="AU126" i="131"/>
  <c r="AU124" i="131"/>
  <c r="AV123" i="131"/>
  <c r="AS117" i="131" l="1"/>
  <c r="AT115" i="131"/>
  <c r="AT117" i="131" s="1"/>
  <c r="BN115" i="131"/>
  <c r="BN116" i="131" s="1"/>
  <c r="AS118" i="131"/>
  <c r="AW123" i="131"/>
  <c r="AV124" i="131"/>
  <c r="AV125" i="131"/>
  <c r="AV126" i="131"/>
  <c r="AT116" i="131" l="1"/>
  <c r="AT118" i="131"/>
  <c r="AU115" i="131"/>
  <c r="AV115" i="131" s="1"/>
  <c r="BO123" i="131"/>
  <c r="BO124" i="131" s="1"/>
  <c r="AX123" i="131"/>
  <c r="AW125" i="131"/>
  <c r="AW126" i="131"/>
  <c r="AW124" i="131"/>
  <c r="AU116" i="131" l="1"/>
  <c r="AU118" i="131"/>
  <c r="AU117" i="131"/>
  <c r="AY123" i="131"/>
  <c r="AX124" i="131"/>
  <c r="AX125" i="131"/>
  <c r="AX126" i="131"/>
  <c r="AV118" i="131"/>
  <c r="AV116" i="131"/>
  <c r="AW115" i="131"/>
  <c r="AV117" i="131"/>
  <c r="BO115" i="131" l="1"/>
  <c r="BO116" i="131" s="1"/>
  <c r="AX115" i="131"/>
  <c r="AY124" i="131"/>
  <c r="AY125" i="131"/>
  <c r="AZ123" i="131"/>
  <c r="AY126" i="131"/>
  <c r="AW118" i="131"/>
  <c r="AW117" i="131"/>
  <c r="AW116" i="131"/>
  <c r="BA123" i="131" l="1"/>
  <c r="BP123" i="131" s="1"/>
  <c r="BP124" i="131" s="1"/>
  <c r="AZ126" i="131"/>
  <c r="AZ124" i="131"/>
  <c r="AZ125" i="131"/>
  <c r="AX116" i="131"/>
  <c r="AX118" i="131"/>
  <c r="AX117" i="131"/>
  <c r="AY115" i="131"/>
  <c r="AZ115" i="131" l="1"/>
  <c r="AY118" i="131"/>
  <c r="AY116" i="131"/>
  <c r="AY117" i="131"/>
  <c r="BA126" i="131"/>
  <c r="BA124" i="131"/>
  <c r="BA125" i="131"/>
  <c r="AZ118" i="131" l="1"/>
  <c r="AZ117" i="131"/>
  <c r="AZ116" i="131"/>
  <c r="BA115" i="131"/>
  <c r="BP115" i="131" s="1"/>
  <c r="BP116" i="131" s="1"/>
  <c r="BA118" i="131" l="1"/>
  <c r="BA117" i="131"/>
  <c r="BA116" i="131"/>
  <c r="AR85" i="129" l="1"/>
  <c r="AS85" i="129"/>
  <c r="AT85" i="129"/>
  <c r="AU85" i="129"/>
  <c r="AV85" i="129"/>
  <c r="AW85" i="129"/>
  <c r="AW29" i="128"/>
  <c r="BA29" i="128" s="1"/>
  <c r="AW28" i="128"/>
  <c r="BA28" i="128" s="1"/>
  <c r="AN135" i="131"/>
  <c r="AO137" i="131" s="1"/>
  <c r="DE40" i="130" l="1"/>
  <c r="AO40" i="130" s="1"/>
  <c r="AO42" i="130" s="1"/>
  <c r="AO59" i="130" s="1"/>
  <c r="AN14" i="130"/>
  <c r="AN28" i="130"/>
  <c r="AN58" i="130"/>
  <c r="AN55" i="130"/>
  <c r="AN54" i="130"/>
  <c r="AN53" i="130"/>
  <c r="AN52" i="130"/>
  <c r="AN51" i="130"/>
  <c r="AN50" i="130"/>
  <c r="AN49" i="130"/>
  <c r="AN48" i="130"/>
  <c r="AN47" i="130"/>
  <c r="AN46" i="130"/>
  <c r="AN45" i="130"/>
  <c r="AN41" i="130"/>
  <c r="AN39" i="130"/>
  <c r="AN38" i="130"/>
  <c r="AN37" i="130"/>
  <c r="AN36" i="130"/>
  <c r="AN35" i="130"/>
  <c r="AN34" i="130"/>
  <c r="AN33" i="130"/>
  <c r="AN32" i="130"/>
  <c r="AN27" i="130"/>
  <c r="AN26" i="130"/>
  <c r="AN25" i="130"/>
  <c r="AN24" i="130"/>
  <c r="AN23" i="130"/>
  <c r="AN22" i="130"/>
  <c r="AN21" i="130"/>
  <c r="AN20" i="130"/>
  <c r="AN18" i="130"/>
  <c r="AN17" i="130"/>
  <c r="AN16" i="130"/>
  <c r="AN15" i="130"/>
  <c r="AN13" i="130"/>
  <c r="AN12" i="130"/>
  <c r="AN11" i="130"/>
  <c r="AN10" i="130"/>
  <c r="AN9" i="130"/>
  <c r="AN8" i="130"/>
  <c r="AN7" i="130"/>
  <c r="AN6" i="130"/>
  <c r="AN22" i="129"/>
  <c r="AN9" i="129"/>
  <c r="AN13" i="129" s="1"/>
  <c r="AN15" i="129" s="1"/>
  <c r="AN53" i="129"/>
  <c r="AN34" i="129"/>
  <c r="AN33" i="129"/>
  <c r="AN568" i="131"/>
  <c r="AO592" i="131"/>
  <c r="BM592" i="131" s="1"/>
  <c r="AN158" i="128"/>
  <c r="AN431" i="131"/>
  <c r="AN437" i="131"/>
  <c r="AN204" i="131"/>
  <c r="AN203" i="131"/>
  <c r="AN136" i="131"/>
  <c r="AN137" i="131"/>
  <c r="AN149" i="131"/>
  <c r="AN87" i="131"/>
  <c r="AN90" i="131"/>
  <c r="AN209" i="131"/>
  <c r="AN208" i="131"/>
  <c r="AN23" i="129" l="1"/>
  <c r="AN56" i="130"/>
  <c r="AN19" i="130"/>
  <c r="AN29" i="130" s="1"/>
  <c r="AN68" i="130" s="1"/>
  <c r="AN35" i="129"/>
  <c r="AN42" i="129" s="1"/>
  <c r="AN50" i="129"/>
  <c r="AO71" i="130" l="1"/>
  <c r="AN51" i="129"/>
  <c r="BA85" i="129"/>
  <c r="AZ85" i="129" l="1"/>
  <c r="AY85" i="129" l="1"/>
  <c r="AX85" i="129" l="1"/>
  <c r="AN159" i="128" l="1"/>
  <c r="AN150" i="128"/>
  <c r="AN151" i="128" s="1"/>
  <c r="AN144" i="128"/>
  <c r="AN124" i="128"/>
  <c r="AN115" i="128"/>
  <c r="AN56" i="128"/>
  <c r="AN48" i="128"/>
  <c r="AN47" i="128"/>
  <c r="AN44" i="128"/>
  <c r="BM37" i="128"/>
  <c r="AN31" i="128"/>
  <c r="AN29" i="128"/>
  <c r="AN21" i="128"/>
  <c r="AN20" i="128"/>
  <c r="AN14" i="128"/>
  <c r="AN13" i="128"/>
  <c r="AR29" i="128" l="1"/>
  <c r="AV29" i="128" s="1"/>
  <c r="AZ29" i="128" s="1"/>
  <c r="AO85" i="128"/>
  <c r="AO86" i="128"/>
  <c r="AO87" i="128"/>
  <c r="AN46" i="128"/>
  <c r="AN56" i="129"/>
  <c r="AN72" i="130"/>
  <c r="AV28" i="128"/>
  <c r="AZ28" i="128" s="1"/>
  <c r="AN45" i="128"/>
  <c r="AN23" i="128"/>
  <c r="AO88" i="128" s="1"/>
  <c r="AN51" i="128"/>
  <c r="AN49" i="128" s="1"/>
  <c r="AN15" i="128"/>
  <c r="BP568" i="131"/>
  <c r="BO568" i="131"/>
  <c r="AO83" i="128" l="1"/>
  <c r="AN43" i="128"/>
  <c r="BP453" i="131"/>
  <c r="BO453" i="131"/>
  <c r="BN453" i="131"/>
  <c r="BM453" i="131"/>
  <c r="BL453" i="131"/>
  <c r="BK453" i="131"/>
  <c r="BJ453" i="131"/>
  <c r="BI453" i="131"/>
  <c r="BH453" i="131"/>
  <c r="BG453" i="131"/>
  <c r="BF453" i="131"/>
  <c r="BE453" i="131"/>
  <c r="BD453" i="131"/>
  <c r="BC453" i="131"/>
  <c r="M453" i="131"/>
  <c r="L453" i="131"/>
  <c r="K453" i="131"/>
  <c r="J453" i="131"/>
  <c r="I453" i="131"/>
  <c r="H453" i="131"/>
  <c r="G453" i="131"/>
  <c r="F453" i="131"/>
  <c r="BP451" i="131"/>
  <c r="BO451" i="131"/>
  <c r="BN451" i="131"/>
  <c r="BM451" i="131"/>
  <c r="BL451" i="131"/>
  <c r="BK451" i="131"/>
  <c r="BJ451" i="131"/>
  <c r="BI451" i="131"/>
  <c r="BH451" i="131"/>
  <c r="BG451" i="131"/>
  <c r="BF451" i="131"/>
  <c r="BE451" i="131"/>
  <c r="BD451" i="131"/>
  <c r="BC451" i="131"/>
  <c r="M451" i="131"/>
  <c r="L451" i="131"/>
  <c r="K451" i="131"/>
  <c r="J451" i="131"/>
  <c r="I451" i="131"/>
  <c r="H451" i="131"/>
  <c r="G451" i="131"/>
  <c r="F451" i="131"/>
  <c r="BP449" i="131"/>
  <c r="BO449" i="131"/>
  <c r="BN449" i="131"/>
  <c r="BM449" i="131"/>
  <c r="BL449" i="131"/>
  <c r="BK449" i="131"/>
  <c r="BJ449" i="131"/>
  <c r="BI449" i="131"/>
  <c r="BH449" i="131"/>
  <c r="BG449" i="131"/>
  <c r="BF449" i="131"/>
  <c r="BE449" i="131"/>
  <c r="BD449" i="131"/>
  <c r="BC449" i="131"/>
  <c r="M449" i="131"/>
  <c r="L449" i="131"/>
  <c r="K449" i="131"/>
  <c r="J449" i="131"/>
  <c r="I449" i="131"/>
  <c r="H449" i="131"/>
  <c r="G449" i="131"/>
  <c r="F449" i="131"/>
  <c r="M447" i="131"/>
  <c r="L447" i="131"/>
  <c r="K447" i="131"/>
  <c r="J447" i="131"/>
  <c r="I447" i="131"/>
  <c r="H447" i="131"/>
  <c r="G447" i="131"/>
  <c r="F447" i="131"/>
  <c r="AG446" i="131"/>
  <c r="AC446" i="131"/>
  <c r="Y446" i="131"/>
  <c r="U446" i="131"/>
  <c r="M446" i="131"/>
  <c r="L446" i="131"/>
  <c r="K446" i="131"/>
  <c r="J446" i="131"/>
  <c r="I446" i="131"/>
  <c r="H446" i="131"/>
  <c r="G446" i="131"/>
  <c r="F446" i="131"/>
  <c r="E446" i="131"/>
  <c r="D446" i="131"/>
  <c r="C446" i="131"/>
  <c r="BH445" i="131"/>
  <c r="BG445" i="131"/>
  <c r="BF445" i="131"/>
  <c r="BE445" i="131"/>
  <c r="BD445" i="131"/>
  <c r="BC445" i="131"/>
  <c r="AG445" i="131"/>
  <c r="AC445" i="131"/>
  <c r="Y445" i="131"/>
  <c r="U445" i="131"/>
  <c r="Q445" i="131"/>
  <c r="M445" i="131"/>
  <c r="L445" i="131"/>
  <c r="K445" i="131"/>
  <c r="J445" i="131"/>
  <c r="I445" i="131"/>
  <c r="H445" i="131"/>
  <c r="G445" i="131"/>
  <c r="F445" i="131"/>
  <c r="BP444" i="131"/>
  <c r="BO444" i="131"/>
  <c r="BN444" i="131"/>
  <c r="BM444" i="131"/>
  <c r="BK444" i="131"/>
  <c r="BJ444" i="131"/>
  <c r="BI444" i="131"/>
  <c r="BI445" i="131" s="1"/>
  <c r="AK444" i="131"/>
  <c r="BL444" i="131" s="1"/>
  <c r="AM437" i="131"/>
  <c r="AL437" i="131"/>
  <c r="AK437" i="131"/>
  <c r="AJ437" i="131"/>
  <c r="AI437" i="131"/>
  <c r="AH437" i="131"/>
  <c r="AG437" i="131"/>
  <c r="AF437" i="131"/>
  <c r="AE437" i="131"/>
  <c r="AD437" i="131"/>
  <c r="AC437" i="131"/>
  <c r="AB437" i="131"/>
  <c r="AA437" i="131"/>
  <c r="Z437" i="131"/>
  <c r="Y437" i="131"/>
  <c r="X437" i="131"/>
  <c r="W437" i="131"/>
  <c r="V437" i="131"/>
  <c r="U437" i="131"/>
  <c r="T437" i="131"/>
  <c r="S437" i="131"/>
  <c r="R437" i="131"/>
  <c r="Q437" i="131"/>
  <c r="P437" i="131"/>
  <c r="O437" i="131"/>
  <c r="N437" i="131"/>
  <c r="AM431" i="131"/>
  <c r="AL431" i="131"/>
  <c r="AK431" i="131"/>
  <c r="AJ431" i="131"/>
  <c r="AI431" i="131"/>
  <c r="AH431" i="131"/>
  <c r="AG431" i="131"/>
  <c r="AF431" i="131"/>
  <c r="AE431" i="131"/>
  <c r="AD431" i="131"/>
  <c r="AC431" i="131"/>
  <c r="AB431" i="131"/>
  <c r="AA431" i="131"/>
  <c r="Z431" i="131"/>
  <c r="Y431" i="131"/>
  <c r="X431" i="131"/>
  <c r="W431" i="131"/>
  <c r="V431" i="131"/>
  <c r="U431" i="131"/>
  <c r="T431" i="131"/>
  <c r="S431" i="131"/>
  <c r="R431" i="131"/>
  <c r="Q431" i="131"/>
  <c r="P431" i="131"/>
  <c r="O431" i="131"/>
  <c r="N431" i="131"/>
  <c r="U448" i="131" l="1"/>
  <c r="BM445" i="131"/>
  <c r="U450" i="131"/>
  <c r="BO445" i="131"/>
  <c r="AG450" i="131"/>
  <c r="BN445" i="131"/>
  <c r="AN438" i="131"/>
  <c r="AN439" i="131"/>
  <c r="AK446" i="131"/>
  <c r="AN441" i="131"/>
  <c r="AN440" i="131"/>
  <c r="AN432" i="131"/>
  <c r="AN433" i="131"/>
  <c r="AN434" i="131"/>
  <c r="AN435" i="131"/>
  <c r="BP445" i="131"/>
  <c r="Q450" i="131"/>
  <c r="AC450" i="131"/>
  <c r="AG448" i="131"/>
  <c r="AK448" i="131"/>
  <c r="Y448" i="131"/>
  <c r="AK450" i="131"/>
  <c r="Y450" i="131"/>
  <c r="Q448" i="131"/>
  <c r="AC448" i="131"/>
  <c r="BK445" i="131"/>
  <c r="BJ445" i="131"/>
  <c r="BL445" i="131"/>
  <c r="AS592" i="131" l="1"/>
  <c r="AK593" i="131"/>
  <c r="BL593" i="131" s="1"/>
  <c r="AG593" i="131"/>
  <c r="AC593" i="131"/>
  <c r="BJ593" i="131" s="1"/>
  <c r="Y593" i="131"/>
  <c r="BI593" i="131" s="1"/>
  <c r="U593" i="131"/>
  <c r="BH593" i="131" s="1"/>
  <c r="Q593" i="131"/>
  <c r="BG593" i="131" s="1"/>
  <c r="AH568" i="131"/>
  <c r="AM568" i="131"/>
  <c r="AL568" i="131"/>
  <c r="AP569" i="131" s="1"/>
  <c r="AK568" i="131"/>
  <c r="AJ568" i="131"/>
  <c r="AN569" i="131" s="1"/>
  <c r="AI568" i="131"/>
  <c r="AG422" i="131"/>
  <c r="AC422" i="131"/>
  <c r="Y422" i="131"/>
  <c r="U422" i="131"/>
  <c r="AK420" i="131"/>
  <c r="AG420" i="131"/>
  <c r="AC420" i="131"/>
  <c r="Y420" i="131"/>
  <c r="U420" i="131"/>
  <c r="AK405" i="131"/>
  <c r="AK413" i="131" s="1"/>
  <c r="BP404" i="131"/>
  <c r="BO404" i="131"/>
  <c r="BN404" i="131"/>
  <c r="BM404" i="131"/>
  <c r="BP402" i="131"/>
  <c r="BO402" i="131"/>
  <c r="BN402" i="131"/>
  <c r="BM402" i="131"/>
  <c r="AK419" i="131"/>
  <c r="AG419" i="131"/>
  <c r="AC419" i="131"/>
  <c r="Y419" i="131"/>
  <c r="AK417" i="131"/>
  <c r="AG417" i="131"/>
  <c r="AC417" i="131"/>
  <c r="Y417" i="131"/>
  <c r="U417" i="131"/>
  <c r="AK415" i="131"/>
  <c r="AG415" i="131"/>
  <c r="AC415" i="131"/>
  <c r="Y415" i="131"/>
  <c r="U415" i="131"/>
  <c r="AG405" i="131"/>
  <c r="AG413" i="131" s="1"/>
  <c r="AC405" i="131"/>
  <c r="AC413" i="131" s="1"/>
  <c r="Y405" i="131"/>
  <c r="Y413" i="131" s="1"/>
  <c r="U405" i="131"/>
  <c r="U413" i="131" s="1"/>
  <c r="AS587" i="131" l="1"/>
  <c r="BM587" i="131"/>
  <c r="AW592" i="131"/>
  <c r="BN592" i="131"/>
  <c r="AK594" i="131" a="1"/>
  <c r="AK594" i="131" s="1"/>
  <c r="AK422" i="131"/>
  <c r="AK408" i="131"/>
  <c r="AK406" i="131"/>
  <c r="AG406" i="131"/>
  <c r="AG408" i="131"/>
  <c r="AC408" i="131"/>
  <c r="AC406" i="131"/>
  <c r="Y408" i="131"/>
  <c r="Y406" i="131"/>
  <c r="AK595" i="131" l="1"/>
  <c r="BL595" i="131" s="1"/>
  <c r="BL594" i="131"/>
  <c r="BA592" i="131"/>
  <c r="BP592" i="131" s="1"/>
  <c r="BO592" i="131"/>
  <c r="AW587" i="131"/>
  <c r="BN587" i="131"/>
  <c r="Q405" i="131"/>
  <c r="BG407" i="131"/>
  <c r="BF407" i="131"/>
  <c r="BE407" i="131"/>
  <c r="BD407" i="131"/>
  <c r="BC407" i="131"/>
  <c r="BA587" i="131" l="1"/>
  <c r="BP587" i="131" s="1"/>
  <c r="BO587" i="131"/>
  <c r="U408" i="131"/>
  <c r="U406" i="131"/>
  <c r="BG443" i="131"/>
  <c r="BF443" i="131"/>
  <c r="BE443" i="131"/>
  <c r="BD443" i="131"/>
  <c r="BC443" i="131"/>
  <c r="BG416" i="131"/>
  <c r="BF416" i="131"/>
  <c r="BE416" i="131"/>
  <c r="BD416" i="131"/>
  <c r="BC416" i="131"/>
  <c r="AK411" i="131" l="1"/>
  <c r="AK412" i="131" s="1"/>
  <c r="Y421" i="131"/>
  <c r="Y411" i="131"/>
  <c r="Y412" i="131" s="1"/>
  <c r="AG421" i="131"/>
  <c r="AG411" i="131"/>
  <c r="AG412" i="131" s="1"/>
  <c r="U421" i="131"/>
  <c r="U411" i="131"/>
  <c r="U412" i="131" s="1"/>
  <c r="AC421" i="131"/>
  <c r="AC411" i="131"/>
  <c r="AC412" i="131" s="1"/>
  <c r="AK409" i="131"/>
  <c r="AK421" i="131"/>
  <c r="Y409" i="131"/>
  <c r="AG409" i="131"/>
  <c r="U409" i="131"/>
  <c r="AC409" i="131"/>
  <c r="AG410" i="131" l="1"/>
  <c r="AC410" i="131"/>
  <c r="Y410" i="131"/>
  <c r="AK410" i="131"/>
  <c r="BA590" i="131" l="1"/>
  <c r="BP590" i="131" s="1"/>
  <c r="BA575" i="131"/>
  <c r="AW590" i="131"/>
  <c r="BO590" i="131" s="1"/>
  <c r="AW575" i="131"/>
  <c r="AS590" i="131"/>
  <c r="BN590" i="131" s="1"/>
  <c r="AS575" i="131"/>
  <c r="Y605" i="131"/>
  <c r="Y615" i="131"/>
  <c r="AC613" i="131"/>
  <c r="AG613" i="131" s="1"/>
  <c r="AK613" i="131" s="1"/>
  <c r="AK605" i="131" s="1"/>
  <c r="AG610" i="131"/>
  <c r="AK610" i="131" s="1"/>
  <c r="AO610" i="131" s="1"/>
  <c r="AS610" i="131" s="1"/>
  <c r="AK600" i="131"/>
  <c r="AJ600" i="131"/>
  <c r="AI600" i="131"/>
  <c r="AH600" i="131"/>
  <c r="AG600" i="131"/>
  <c r="AF600" i="131"/>
  <c r="AE600" i="131"/>
  <c r="AD600" i="131"/>
  <c r="BM590" i="131"/>
  <c r="AK588" i="131"/>
  <c r="AG588" i="131"/>
  <c r="AC588" i="131"/>
  <c r="Y588" i="131"/>
  <c r="U588" i="131"/>
  <c r="Q588" i="131"/>
  <c r="AK597" i="131"/>
  <c r="AG597" i="131"/>
  <c r="AK582" i="131"/>
  <c r="AG582" i="131"/>
  <c r="AC582" i="131"/>
  <c r="Y582" i="131"/>
  <c r="U582" i="131"/>
  <c r="Q582" i="131"/>
  <c r="AK573" i="131"/>
  <c r="AK575" i="131" s="1"/>
  <c r="AG573" i="131"/>
  <c r="AG575" i="131" s="1"/>
  <c r="AC573" i="131"/>
  <c r="AC575" i="131" s="1"/>
  <c r="Y573" i="131"/>
  <c r="Y575" i="131" s="1"/>
  <c r="U573" i="131"/>
  <c r="U575" i="131" s="1"/>
  <c r="Q573" i="131"/>
  <c r="Q575" i="131" s="1"/>
  <c r="AK583" i="131"/>
  <c r="AG583" i="131"/>
  <c r="AC583" i="131"/>
  <c r="Y583" i="131"/>
  <c r="U583" i="131"/>
  <c r="Q583" i="131"/>
  <c r="M583" i="131"/>
  <c r="AC590" i="131" l="1"/>
  <c r="BJ590" i="131" s="1"/>
  <c r="BJ588" i="131"/>
  <c r="AS572" i="131"/>
  <c r="BN572" i="131" s="1"/>
  <c r="BM572" i="131"/>
  <c r="AG590" i="131"/>
  <c r="BK590" i="131" s="1"/>
  <c r="BK588" i="131"/>
  <c r="Q590" i="131"/>
  <c r="BG590" i="131" s="1"/>
  <c r="BG588" i="131"/>
  <c r="U590" i="131"/>
  <c r="BH590" i="131" s="1"/>
  <c r="BH588" i="131"/>
  <c r="AK590" i="131"/>
  <c r="BL590" i="131" s="1"/>
  <c r="BL588" i="131"/>
  <c r="Y590" i="131"/>
  <c r="BI590" i="131" s="1"/>
  <c r="BI588" i="131"/>
  <c r="AK607" i="131"/>
  <c r="Y607" i="131"/>
  <c r="AK616" i="131"/>
  <c r="AG616" i="131"/>
  <c r="AC615" i="131"/>
  <c r="AG615" i="131"/>
  <c r="AK615" i="131"/>
  <c r="AC605" i="131"/>
  <c r="AG605" i="131"/>
  <c r="AO613" i="131"/>
  <c r="AC616" i="131"/>
  <c r="AW610" i="131"/>
  <c r="AG602" i="131"/>
  <c r="AK612" i="131"/>
  <c r="AG612" i="131"/>
  <c r="Y585" i="131"/>
  <c r="AC585" i="131"/>
  <c r="AK602" i="131"/>
  <c r="AK608" i="131" s="1"/>
  <c r="AG585" i="131"/>
  <c r="AK585" i="131"/>
  <c r="AK598" i="131"/>
  <c r="U585" i="131"/>
  <c r="Q585" i="131"/>
  <c r="BM579" i="131" l="1"/>
  <c r="BM577" i="131"/>
  <c r="AG599" i="131"/>
  <c r="Y599" i="131"/>
  <c r="AC599" i="131"/>
  <c r="AK599" i="131"/>
  <c r="AW572" i="131"/>
  <c r="BA572" i="131" s="1"/>
  <c r="BP572" i="131" s="1"/>
  <c r="Q599" i="131"/>
  <c r="U599" i="131"/>
  <c r="AG607" i="131"/>
  <c r="AG606" i="131"/>
  <c r="AK606" i="131"/>
  <c r="AC607" i="131"/>
  <c r="AC606" i="131"/>
  <c r="AS613" i="131"/>
  <c r="AO616" i="131"/>
  <c r="AG604" i="131"/>
  <c r="AG608" i="131"/>
  <c r="BA610" i="131"/>
  <c r="AK604" i="131"/>
  <c r="AK603" i="131"/>
  <c r="BO572" i="131" l="1"/>
  <c r="AS616" i="131"/>
  <c r="AW613" i="131"/>
  <c r="BL641" i="131"/>
  <c r="BL640" i="131"/>
  <c r="BA613" i="131" l="1"/>
  <c r="AW616" i="131"/>
  <c r="BA616" i="131" l="1"/>
  <c r="AT389" i="131"/>
  <c r="AU389" i="131" s="1"/>
  <c r="AV389" i="131" s="1"/>
  <c r="AW389" i="131" s="1"/>
  <c r="AX389" i="131" s="1"/>
  <c r="AY389" i="131" s="1"/>
  <c r="AZ389" i="131" s="1"/>
  <c r="BA389" i="131" s="1"/>
  <c r="AM58" i="130"/>
  <c r="AM55" i="130"/>
  <c r="AM54" i="130"/>
  <c r="AM53" i="130"/>
  <c r="AM52" i="130"/>
  <c r="AM51" i="130"/>
  <c r="AM49" i="130"/>
  <c r="AM48" i="130"/>
  <c r="AM47" i="130"/>
  <c r="AM46" i="130"/>
  <c r="AM45" i="130"/>
  <c r="AM39" i="130"/>
  <c r="AM38" i="130"/>
  <c r="AM37" i="130"/>
  <c r="AM36" i="130"/>
  <c r="AM35" i="130"/>
  <c r="AM34" i="130"/>
  <c r="AM33" i="130"/>
  <c r="AM32" i="130"/>
  <c r="DD40" i="130"/>
  <c r="AN40" i="130" s="1"/>
  <c r="AN42" i="130" s="1"/>
  <c r="AN59" i="130" s="1"/>
  <c r="AM28" i="130"/>
  <c r="AM27" i="130"/>
  <c r="AM26" i="130"/>
  <c r="AM25" i="130"/>
  <c r="AM24" i="130"/>
  <c r="AM23" i="130"/>
  <c r="AM22" i="130"/>
  <c r="AM21" i="130"/>
  <c r="AM20" i="130"/>
  <c r="AM18" i="130"/>
  <c r="AM17" i="130"/>
  <c r="AM16" i="130"/>
  <c r="AM15" i="130"/>
  <c r="AM14" i="130"/>
  <c r="AM13" i="130"/>
  <c r="AM12" i="130"/>
  <c r="AM11" i="130"/>
  <c r="AM10" i="130"/>
  <c r="AM9" i="130"/>
  <c r="AM8" i="130"/>
  <c r="AM7" i="130"/>
  <c r="AM56" i="128"/>
  <c r="AM48" i="128"/>
  <c r="AM47" i="128"/>
  <c r="AM44" i="128"/>
  <c r="AM31" i="128"/>
  <c r="AM29" i="128"/>
  <c r="AM21" i="128"/>
  <c r="AM20" i="128"/>
  <c r="AQ72" i="128" s="1"/>
  <c r="AM14" i="128"/>
  <c r="AM13" i="128"/>
  <c r="AM209" i="131"/>
  <c r="AM208" i="131"/>
  <c r="AM152" i="131"/>
  <c r="AM150" i="131"/>
  <c r="AM149" i="131"/>
  <c r="AM144" i="131"/>
  <c r="AM143" i="131"/>
  <c r="AM32" i="131"/>
  <c r="AL32" i="131"/>
  <c r="AM203" i="131"/>
  <c r="AM136" i="131"/>
  <c r="AM21" i="129"/>
  <c r="AM9" i="129"/>
  <c r="AQ33" i="131" l="1"/>
  <c r="AU33" i="131" s="1"/>
  <c r="AY33" i="131" s="1"/>
  <c r="AQ35" i="131"/>
  <c r="AQ34" i="131"/>
  <c r="AQ73" i="128"/>
  <c r="AP33" i="131"/>
  <c r="AP35" i="131"/>
  <c r="AP34" i="131"/>
  <c r="AM37" i="131"/>
  <c r="AM22" i="128"/>
  <c r="AQ74" i="128" s="1"/>
  <c r="AM19" i="130"/>
  <c r="AU28" i="128"/>
  <c r="AY28" i="128" s="1"/>
  <c r="AM40" i="130"/>
  <c r="AM46" i="128"/>
  <c r="AM15" i="128"/>
  <c r="AQ70" i="128" s="1"/>
  <c r="AN85" i="128"/>
  <c r="AN86" i="128"/>
  <c r="AL24" i="131"/>
  <c r="AL158" i="131" s="1"/>
  <c r="AM68" i="131"/>
  <c r="AM36" i="131"/>
  <c r="AU29" i="128" l="1"/>
  <c r="AY29" i="128" s="1"/>
  <c r="AN87" i="128"/>
  <c r="AN83" i="128"/>
  <c r="AL26" i="131"/>
  <c r="AP25" i="131"/>
  <c r="AP26" i="131"/>
  <c r="AL113" i="131"/>
  <c r="AU32" i="131"/>
  <c r="AR36" i="130" l="1"/>
  <c r="AU35" i="131"/>
  <c r="AY32" i="131"/>
  <c r="AM158" i="128"/>
  <c r="AM150" i="128"/>
  <c r="AM144" i="128"/>
  <c r="AM124" i="128"/>
  <c r="AM115" i="128"/>
  <c r="DD56" i="130"/>
  <c r="DD42" i="130"/>
  <c r="DD19" i="130"/>
  <c r="DD29" i="130" s="1"/>
  <c r="BA178" i="131"/>
  <c r="AZ178" i="131"/>
  <c r="AW178" i="131"/>
  <c r="AR178" i="131"/>
  <c r="AR171" i="131" l="1"/>
  <c r="AW171" i="131"/>
  <c r="AZ171" i="131"/>
  <c r="AZ185" i="131" s="1"/>
  <c r="AS36" i="130"/>
  <c r="AT36" i="130" s="1"/>
  <c r="BA171" i="131"/>
  <c r="BA185" i="131" s="1"/>
  <c r="AM151" i="128"/>
  <c r="AM45" i="128"/>
  <c r="AM159" i="128"/>
  <c r="AM51" i="128"/>
  <c r="AM49" i="128" s="1"/>
  <c r="AV178" i="131"/>
  <c r="AS178" i="131"/>
  <c r="AS171" i="131" s="1"/>
  <c r="AS185" i="131" l="1"/>
  <c r="AW185" i="131"/>
  <c r="AR185" i="131"/>
  <c r="BA173" i="131"/>
  <c r="AR172" i="131"/>
  <c r="AU36" i="130"/>
  <c r="AV36" i="130" s="1"/>
  <c r="AW36" i="130" s="1"/>
  <c r="AV171" i="131"/>
  <c r="AS172" i="131"/>
  <c r="AS173" i="131"/>
  <c r="AM43" i="128"/>
  <c r="AY79" i="128"/>
  <c r="BA67" i="128"/>
  <c r="AZ67" i="128"/>
  <c r="AY67" i="128"/>
  <c r="AX67" i="128"/>
  <c r="AX66" i="128"/>
  <c r="BA53" i="128"/>
  <c r="AZ53" i="128"/>
  <c r="AY53" i="128"/>
  <c r="AX53" i="128"/>
  <c r="BA50" i="128"/>
  <c r="AZ50" i="128"/>
  <c r="AY50" i="128"/>
  <c r="AX50" i="128"/>
  <c r="AY37" i="128"/>
  <c r="AZ37" i="128" s="1"/>
  <c r="BP69" i="130"/>
  <c r="BP66" i="130"/>
  <c r="BP65" i="130"/>
  <c r="BP58" i="130"/>
  <c r="BP55" i="130"/>
  <c r="BP54" i="130"/>
  <c r="BP53" i="130"/>
  <c r="BP52" i="130"/>
  <c r="BP51" i="130"/>
  <c r="BP50" i="130"/>
  <c r="BP49" i="130"/>
  <c r="BP48" i="130"/>
  <c r="BP47" i="130"/>
  <c r="BP46" i="130"/>
  <c r="BP45" i="130"/>
  <c r="BP41" i="130"/>
  <c r="BP40" i="130"/>
  <c r="BP39" i="130"/>
  <c r="BP38" i="130"/>
  <c r="BP37" i="130"/>
  <c r="BP36" i="130"/>
  <c r="BP35" i="130"/>
  <c r="BP34" i="130"/>
  <c r="BP33" i="130"/>
  <c r="BP32" i="130"/>
  <c r="BP18" i="130"/>
  <c r="BP17" i="130"/>
  <c r="BP16" i="130"/>
  <c r="BP15" i="130"/>
  <c r="BP14" i="130"/>
  <c r="BP13" i="130"/>
  <c r="BP12" i="130"/>
  <c r="BP10" i="130"/>
  <c r="BP9" i="130"/>
  <c r="BP4" i="130"/>
  <c r="BA56" i="130"/>
  <c r="AZ56" i="130"/>
  <c r="AY56" i="130"/>
  <c r="AX56" i="130"/>
  <c r="BA42" i="130"/>
  <c r="AZ42" i="130"/>
  <c r="AY42" i="130"/>
  <c r="AX42" i="130"/>
  <c r="BA4" i="130"/>
  <c r="AZ4" i="130"/>
  <c r="AY4" i="130"/>
  <c r="AX4" i="130"/>
  <c r="AX3" i="130"/>
  <c r="BP12" i="129"/>
  <c r="BP11" i="129"/>
  <c r="BP4" i="129"/>
  <c r="BA4" i="129"/>
  <c r="AZ4" i="129"/>
  <c r="AY4" i="129"/>
  <c r="AX4" i="129"/>
  <c r="AX3" i="129"/>
  <c r="BP4" i="131"/>
  <c r="BA569" i="131"/>
  <c r="AZ569" i="131"/>
  <c r="AY569" i="131"/>
  <c r="AX569" i="131"/>
  <c r="BA195" i="131"/>
  <c r="BA191" i="131" s="1"/>
  <c r="AZ195" i="131"/>
  <c r="AZ191" i="131" s="1"/>
  <c r="AY195" i="131"/>
  <c r="AX195" i="131"/>
  <c r="AY178" i="131"/>
  <c r="AX178" i="131"/>
  <c r="BA4" i="131"/>
  <c r="AZ4" i="131"/>
  <c r="AY4" i="131"/>
  <c r="AX4" i="131"/>
  <c r="AX3" i="131"/>
  <c r="AX254" i="131" s="1"/>
  <c r="AX226" i="131" s="1"/>
  <c r="AX554" i="131" s="1"/>
  <c r="BP166" i="128"/>
  <c r="BP162" i="128"/>
  <c r="BP157" i="128"/>
  <c r="BP156" i="128"/>
  <c r="BP155" i="128"/>
  <c r="BP154" i="128"/>
  <c r="BP149" i="128"/>
  <c r="BP148" i="128"/>
  <c r="BP147" i="128"/>
  <c r="BP146" i="128"/>
  <c r="BP141" i="128"/>
  <c r="BP140" i="128"/>
  <c r="BP132" i="128"/>
  <c r="BP130" i="128"/>
  <c r="BP129" i="128"/>
  <c r="BP128" i="128"/>
  <c r="BP127" i="128"/>
  <c r="BP125" i="128"/>
  <c r="BP124" i="128"/>
  <c r="BP123" i="128"/>
  <c r="BP122" i="128"/>
  <c r="BP121" i="128"/>
  <c r="BP120" i="128"/>
  <c r="BP119" i="128"/>
  <c r="BP116" i="128"/>
  <c r="BP115" i="128"/>
  <c r="BP114" i="128"/>
  <c r="BP113" i="128"/>
  <c r="BP112" i="128"/>
  <c r="BP60" i="128"/>
  <c r="BP67" i="128"/>
  <c r="BA158" i="128"/>
  <c r="BA159" i="128" s="1"/>
  <c r="AZ158" i="128"/>
  <c r="AZ159" i="128" s="1"/>
  <c r="AY158" i="128"/>
  <c r="AY159" i="128" s="1"/>
  <c r="AX158" i="128"/>
  <c r="AX159" i="128" s="1"/>
  <c r="BA150" i="128"/>
  <c r="BA151" i="128" s="1"/>
  <c r="AZ150" i="128"/>
  <c r="AZ151" i="128" s="1"/>
  <c r="AY150" i="128"/>
  <c r="AY151" i="128" s="1"/>
  <c r="AX150" i="128"/>
  <c r="AX151" i="128" s="1"/>
  <c r="BA144" i="128"/>
  <c r="AZ144" i="128"/>
  <c r="AY144" i="128"/>
  <c r="AX144" i="128"/>
  <c r="AW173" i="131" l="1"/>
  <c r="AV185" i="131"/>
  <c r="AX171" i="131"/>
  <c r="AX185" i="131" s="1"/>
  <c r="AY171" i="131"/>
  <c r="AY185" i="131" s="1"/>
  <c r="BP255" i="131"/>
  <c r="BP227" i="131" s="1"/>
  <c r="BP555" i="131"/>
  <c r="BP131" i="128"/>
  <c r="BP50" i="128"/>
  <c r="BP56" i="130"/>
  <c r="BP138" i="128"/>
  <c r="BA255" i="131"/>
  <c r="BA227" i="131" s="1"/>
  <c r="BA555" i="131"/>
  <c r="AX255" i="131"/>
  <c r="AX227" i="131" s="1"/>
  <c r="AX555" i="131"/>
  <c r="AY255" i="131"/>
  <c r="AY227" i="131" s="1"/>
  <c r="AY555" i="131"/>
  <c r="AZ255" i="131"/>
  <c r="AZ227" i="131" s="1"/>
  <c r="AZ555" i="131"/>
  <c r="BP53" i="128"/>
  <c r="BP42" i="130"/>
  <c r="BP159" i="128"/>
  <c r="BP151" i="128"/>
  <c r="AX51" i="128"/>
  <c r="AY51" i="128"/>
  <c r="AY49" i="128" s="1"/>
  <c r="AZ51" i="128"/>
  <c r="AZ49" i="128" s="1"/>
  <c r="BP150" i="128"/>
  <c r="BA51" i="128"/>
  <c r="BA49" i="128" s="1"/>
  <c r="BP158" i="128"/>
  <c r="AY600" i="131"/>
  <c r="AX600" i="131"/>
  <c r="BA597" i="131"/>
  <c r="BA602" i="131" s="1"/>
  <c r="BA600" i="131"/>
  <c r="AZ600" i="131"/>
  <c r="BP178" i="131"/>
  <c r="BA37" i="128"/>
  <c r="BP37" i="128" s="1"/>
  <c r="AZ79" i="128"/>
  <c r="AX570" i="131"/>
  <c r="AY570" i="131"/>
  <c r="AZ570" i="131"/>
  <c r="BA570" i="131"/>
  <c r="AY180" i="131"/>
  <c r="AZ180" i="131"/>
  <c r="BA180" i="131"/>
  <c r="BP137" i="128"/>
  <c r="AY191" i="131" l="1"/>
  <c r="AX191" i="131"/>
  <c r="AX173" i="131"/>
  <c r="BP171" i="131"/>
  <c r="AZ173" i="131"/>
  <c r="AY173" i="131"/>
  <c r="BA604" i="131"/>
  <c r="AX49" i="128"/>
  <c r="BP49" i="128" s="1"/>
  <c r="BP51" i="128"/>
  <c r="BP10" i="128"/>
  <c r="AZ193" i="131"/>
  <c r="BA612" i="131"/>
  <c r="BA193" i="131"/>
  <c r="BP185" i="131"/>
  <c r="BP36" i="128"/>
  <c r="BA79" i="128"/>
  <c r="BP25" i="128"/>
  <c r="BA187" i="131"/>
  <c r="AZ187" i="131"/>
  <c r="AY187" i="131"/>
  <c r="BP191" i="131" l="1"/>
  <c r="AY193" i="131"/>
  <c r="AL50" i="130"/>
  <c r="AM50" i="130" s="1"/>
  <c r="AM56" i="130" s="1"/>
  <c r="AE45" i="130"/>
  <c r="AL41" i="130"/>
  <c r="AM41" i="130" s="1"/>
  <c r="AM42" i="130" s="1"/>
  <c r="AL56" i="128" l="1"/>
  <c r="AL48" i="128"/>
  <c r="AL47" i="128"/>
  <c r="AL44" i="128"/>
  <c r="AL31" i="128"/>
  <c r="AL29" i="128"/>
  <c r="AL21" i="128"/>
  <c r="AL20" i="128"/>
  <c r="AL14" i="128"/>
  <c r="AL13" i="128"/>
  <c r="AL124" i="128"/>
  <c r="AL115" i="128"/>
  <c r="AT28" i="128"/>
  <c r="AX28" i="128" s="1"/>
  <c r="BP28" i="128" s="1"/>
  <c r="AL209" i="131"/>
  <c r="AL208" i="131"/>
  <c r="AL180" i="131"/>
  <c r="AL179" i="131"/>
  <c r="AL152" i="131"/>
  <c r="AL150" i="131"/>
  <c r="AL149" i="131"/>
  <c r="AL144" i="131"/>
  <c r="AL143" i="131"/>
  <c r="AL137" i="131"/>
  <c r="AL90" i="131"/>
  <c r="AL87" i="131"/>
  <c r="AL204" i="131"/>
  <c r="AL203" i="131"/>
  <c r="AL21" i="129"/>
  <c r="AL9" i="129"/>
  <c r="AP72" i="128" l="1"/>
  <c r="AP73" i="128"/>
  <c r="AT29" i="128"/>
  <c r="AX29" i="128" s="1"/>
  <c r="BP29" i="128" s="1"/>
  <c r="AL46" i="128"/>
  <c r="AL68" i="131"/>
  <c r="AW56" i="130"/>
  <c r="AV56" i="130"/>
  <c r="AU56" i="130"/>
  <c r="AT56" i="130"/>
  <c r="AW42" i="130"/>
  <c r="AV42" i="130"/>
  <c r="AU42" i="130"/>
  <c r="AT42" i="130"/>
  <c r="BO66" i="130"/>
  <c r="BO65" i="130"/>
  <c r="BO58" i="130"/>
  <c r="BO55" i="130"/>
  <c r="BO54" i="130"/>
  <c r="BO53" i="130"/>
  <c r="BO52" i="130"/>
  <c r="BO51" i="130"/>
  <c r="BO50" i="130"/>
  <c r="BO49" i="130"/>
  <c r="BO48" i="130"/>
  <c r="BO47" i="130"/>
  <c r="BO46" i="130"/>
  <c r="BO45" i="130"/>
  <c r="BO41" i="130"/>
  <c r="BO40" i="130"/>
  <c r="BO39" i="130"/>
  <c r="BO38" i="130"/>
  <c r="BO37" i="130"/>
  <c r="BO36" i="130"/>
  <c r="BO35" i="130"/>
  <c r="BO34" i="130"/>
  <c r="BO33" i="130"/>
  <c r="BO32" i="130"/>
  <c r="BO18" i="130"/>
  <c r="BO17" i="130"/>
  <c r="BO16" i="130"/>
  <c r="BO15" i="130"/>
  <c r="BO14" i="130"/>
  <c r="BO13" i="130"/>
  <c r="BO12" i="130"/>
  <c r="BO10" i="130"/>
  <c r="BO9" i="130"/>
  <c r="BO4" i="130"/>
  <c r="AW4" i="130"/>
  <c r="AV4" i="130"/>
  <c r="AU4" i="130"/>
  <c r="AT4" i="130"/>
  <c r="AT3" i="130"/>
  <c r="BO12" i="129"/>
  <c r="BO11" i="129"/>
  <c r="BO4" i="129"/>
  <c r="AW4" i="129"/>
  <c r="AV4" i="129"/>
  <c r="AU4" i="129"/>
  <c r="AT4" i="129"/>
  <c r="AT3" i="129"/>
  <c r="BO166" i="128"/>
  <c r="BO162" i="128"/>
  <c r="BO157" i="128"/>
  <c r="BO156" i="128"/>
  <c r="BO155" i="128"/>
  <c r="BO154" i="128"/>
  <c r="BO149" i="128"/>
  <c r="BO148" i="128"/>
  <c r="BO147" i="128"/>
  <c r="BO146" i="128"/>
  <c r="BO141" i="128"/>
  <c r="BO140" i="128"/>
  <c r="BO132" i="128"/>
  <c r="BO130" i="128"/>
  <c r="BO129" i="128"/>
  <c r="BO128" i="128"/>
  <c r="BO127" i="128"/>
  <c r="BO125" i="128"/>
  <c r="BO124" i="128"/>
  <c r="BO123" i="128"/>
  <c r="BO122" i="128"/>
  <c r="BO121" i="128"/>
  <c r="BO120" i="128"/>
  <c r="BO119" i="128"/>
  <c r="BO116" i="128"/>
  <c r="BO115" i="128"/>
  <c r="BO114" i="128"/>
  <c r="BO113" i="128"/>
  <c r="BO112" i="128"/>
  <c r="BO60" i="128"/>
  <c r="BO28" i="128"/>
  <c r="BO4" i="131"/>
  <c r="AU79" i="128"/>
  <c r="AW67" i="128"/>
  <c r="AV67" i="128"/>
  <c r="AU67" i="128"/>
  <c r="AT67" i="128"/>
  <c r="AT66" i="128"/>
  <c r="AW53" i="128"/>
  <c r="AV53" i="128"/>
  <c r="AU53" i="128"/>
  <c r="AT53" i="128"/>
  <c r="AW50" i="128"/>
  <c r="AV50" i="128"/>
  <c r="AU50" i="128"/>
  <c r="AT50" i="128"/>
  <c r="AU37" i="128"/>
  <c r="AV37" i="128" s="1"/>
  <c r="AW569" i="131"/>
  <c r="AV569" i="131"/>
  <c r="AT569" i="131"/>
  <c r="AW195" i="131"/>
  <c r="AW191" i="131" s="1"/>
  <c r="AV195" i="131"/>
  <c r="AV191" i="131" s="1"/>
  <c r="AU195" i="131"/>
  <c r="AT195" i="131"/>
  <c r="AX180" i="131"/>
  <c r="AU178" i="131"/>
  <c r="AT178" i="131"/>
  <c r="AW4" i="131"/>
  <c r="AV4" i="131"/>
  <c r="AU4" i="131"/>
  <c r="AT4" i="131"/>
  <c r="AT3" i="131"/>
  <c r="AT254" i="131" s="1"/>
  <c r="AT226" i="131" s="1"/>
  <c r="AT554" i="131" s="1"/>
  <c r="BO67" i="128"/>
  <c r="AW158" i="128"/>
  <c r="AV158" i="128"/>
  <c r="AV159" i="128" s="1"/>
  <c r="AU158" i="128"/>
  <c r="AT158" i="128"/>
  <c r="AT159" i="128" s="1"/>
  <c r="AW150" i="128"/>
  <c r="AW151" i="128" s="1"/>
  <c r="AV150" i="128"/>
  <c r="AV151" i="128" s="1"/>
  <c r="AU150" i="128"/>
  <c r="AT150" i="128"/>
  <c r="AW144" i="128"/>
  <c r="AV144" i="128"/>
  <c r="AU144" i="128"/>
  <c r="AT144" i="128"/>
  <c r="BO29" i="128" l="1"/>
  <c r="AU171" i="131"/>
  <c r="AU191" i="131" s="1"/>
  <c r="AT171" i="131"/>
  <c r="AT191" i="131" s="1"/>
  <c r="AX192" i="131" s="1"/>
  <c r="AW159" i="128"/>
  <c r="AW51" i="128"/>
  <c r="AW49" i="128" s="1"/>
  <c r="BO255" i="131"/>
  <c r="BO227" i="131" s="1"/>
  <c r="BO555" i="131"/>
  <c r="AV255" i="131"/>
  <c r="AV227" i="131" s="1"/>
  <c r="AV555" i="131"/>
  <c r="AW255" i="131"/>
  <c r="AW227" i="131" s="1"/>
  <c r="AW555" i="131"/>
  <c r="AU255" i="131"/>
  <c r="AU227" i="131" s="1"/>
  <c r="AU555" i="131"/>
  <c r="AT255" i="131"/>
  <c r="AT227" i="131" s="1"/>
  <c r="AT555" i="131"/>
  <c r="BO56" i="130"/>
  <c r="BO131" i="128"/>
  <c r="BO138" i="128"/>
  <c r="AU600" i="131"/>
  <c r="AW597" i="131"/>
  <c r="AW602" i="131" s="1"/>
  <c r="AT600" i="131"/>
  <c r="AW600" i="131"/>
  <c r="AV600" i="131"/>
  <c r="AW37" i="128"/>
  <c r="AU151" i="128"/>
  <c r="BO150" i="128"/>
  <c r="BO50" i="128"/>
  <c r="AU159" i="128"/>
  <c r="BO53" i="128"/>
  <c r="BO158" i="128"/>
  <c r="AT51" i="128"/>
  <c r="AU51" i="128"/>
  <c r="AT151" i="128"/>
  <c r="AV51" i="128"/>
  <c r="AV49" i="128" s="1"/>
  <c r="BO42" i="130"/>
  <c r="BO178" i="131"/>
  <c r="AV79" i="128"/>
  <c r="AT570" i="131"/>
  <c r="AZ186" i="131"/>
  <c r="AU570" i="131"/>
  <c r="AV570" i="131"/>
  <c r="AW570" i="131"/>
  <c r="AU180" i="131"/>
  <c r="AV180" i="131"/>
  <c r="AZ192" i="131"/>
  <c r="AW180" i="131"/>
  <c r="BO137" i="128"/>
  <c r="AT173" i="131" l="1"/>
  <c r="AT185" i="131"/>
  <c r="AX186" i="131" s="1"/>
  <c r="AV173" i="131"/>
  <c r="AU185" i="131"/>
  <c r="AY186" i="131" s="1"/>
  <c r="BO171" i="131"/>
  <c r="BO159" i="128"/>
  <c r="AU173" i="131"/>
  <c r="AW604" i="131"/>
  <c r="BA603" i="131"/>
  <c r="BO151" i="128"/>
  <c r="AW612" i="131"/>
  <c r="BA598" i="131"/>
  <c r="BO37" i="128"/>
  <c r="BP179" i="131"/>
  <c r="AY192" i="131"/>
  <c r="BA192" i="131"/>
  <c r="AX193" i="131"/>
  <c r="AX187" i="131"/>
  <c r="BA186" i="131"/>
  <c r="AU49" i="128"/>
  <c r="BO10" i="128"/>
  <c r="AT49" i="128"/>
  <c r="BO51" i="128"/>
  <c r="BO25" i="128"/>
  <c r="BO36" i="128"/>
  <c r="AU193" i="131"/>
  <c r="BO191" i="131"/>
  <c r="BO69" i="130"/>
  <c r="AW79" i="128"/>
  <c r="AW187" i="131"/>
  <c r="AV193" i="131"/>
  <c r="AV187" i="131"/>
  <c r="AW193" i="131"/>
  <c r="AU187" i="131" l="1"/>
  <c r="BO185" i="131"/>
  <c r="BP186" i="131" s="1"/>
  <c r="BP172" i="131"/>
  <c r="BO49" i="128"/>
  <c r="BP192" i="131"/>
  <c r="BP195" i="131"/>
  <c r="BP189" i="131"/>
  <c r="BN69" i="130" l="1"/>
  <c r="BM69" i="130"/>
  <c r="AK58" i="130"/>
  <c r="AK55" i="130"/>
  <c r="AK54" i="130"/>
  <c r="AK53" i="130"/>
  <c r="AK52" i="130"/>
  <c r="AK49" i="130"/>
  <c r="AK48" i="130"/>
  <c r="AK47" i="130"/>
  <c r="AK46" i="130"/>
  <c r="AK41" i="130"/>
  <c r="AK39" i="130"/>
  <c r="AK38" i="130"/>
  <c r="AK37" i="130"/>
  <c r="AK36" i="130"/>
  <c r="AK35" i="130"/>
  <c r="AK34" i="130"/>
  <c r="AK33" i="130"/>
  <c r="AK32" i="130"/>
  <c r="AK28" i="130"/>
  <c r="AK27" i="130"/>
  <c r="AK26" i="130"/>
  <c r="AK25" i="130"/>
  <c r="AK24" i="130"/>
  <c r="AK23" i="130"/>
  <c r="AK22" i="130"/>
  <c r="AK21" i="130"/>
  <c r="AK18" i="130"/>
  <c r="AK17" i="130"/>
  <c r="AK16" i="130"/>
  <c r="AK15" i="130"/>
  <c r="AK14" i="130"/>
  <c r="AK13" i="130"/>
  <c r="AK12" i="130"/>
  <c r="AK11" i="130"/>
  <c r="AK10" i="130"/>
  <c r="AK9" i="130"/>
  <c r="AK8" i="130"/>
  <c r="AK6" i="130"/>
  <c r="DB45" i="130"/>
  <c r="DB56" i="130" s="1"/>
  <c r="DB40" i="130"/>
  <c r="DB42" i="130" s="1"/>
  <c r="DB20" i="130"/>
  <c r="DB19" i="130" s="1"/>
  <c r="DB29" i="130" s="1"/>
  <c r="AK21" i="129"/>
  <c r="AK9" i="129"/>
  <c r="AK31" i="128"/>
  <c r="AK48" i="128"/>
  <c r="AK47" i="128"/>
  <c r="AK44" i="128"/>
  <c r="AK14" i="128"/>
  <c r="AK13" i="128"/>
  <c r="AK124" i="128"/>
  <c r="AK115" i="128"/>
  <c r="AK32" i="131"/>
  <c r="AK204" i="131"/>
  <c r="AK203" i="131"/>
  <c r="AK209" i="131"/>
  <c r="AK208" i="131"/>
  <c r="AK152" i="131"/>
  <c r="AJ152" i="131"/>
  <c r="AK150" i="131"/>
  <c r="AJ150" i="131"/>
  <c r="AK149" i="131"/>
  <c r="AJ149" i="131"/>
  <c r="AK137" i="131"/>
  <c r="AK136" i="131"/>
  <c r="AK90" i="131"/>
  <c r="AK87" i="131"/>
  <c r="AM39" i="128"/>
  <c r="BK640" i="131"/>
  <c r="AO74" i="128" l="1"/>
  <c r="AO72" i="128"/>
  <c r="AO73" i="128"/>
  <c r="AO35" i="131"/>
  <c r="AO33" i="131"/>
  <c r="AL37" i="131"/>
  <c r="AK15" i="128"/>
  <c r="AK65" i="129" s="1"/>
  <c r="AK46" i="128"/>
  <c r="AK68" i="131"/>
  <c r="AK66" i="129"/>
  <c r="AK20" i="130"/>
  <c r="AK19" i="130" s="1"/>
  <c r="AR30" i="129"/>
  <c r="AS30" i="129" s="1"/>
  <c r="AT30" i="129" s="1"/>
  <c r="AO75" i="128"/>
  <c r="AK85" i="129"/>
  <c r="AO70" i="128" l="1"/>
  <c r="AU30" i="129"/>
  <c r="AT27" i="130"/>
  <c r="AO81" i="131" l="1"/>
  <c r="AO76" i="131"/>
  <c r="AO84" i="131" s="1"/>
  <c r="AV30" i="129"/>
  <c r="AU27" i="130"/>
  <c r="AW30" i="129" l="1"/>
  <c r="AX30" i="129" s="1"/>
  <c r="AV27" i="130"/>
  <c r="AY30" i="129" l="1"/>
  <c r="AX27" i="130"/>
  <c r="BO30" i="129"/>
  <c r="AW27" i="130"/>
  <c r="BO27" i="130" s="1"/>
  <c r="AZ30" i="129" l="1"/>
  <c r="AY27" i="130"/>
  <c r="AZ27" i="130" l="1"/>
  <c r="BA30" i="129"/>
  <c r="BA27" i="130" l="1"/>
  <c r="BP27" i="130" s="1"/>
  <c r="BP30" i="129"/>
  <c r="DA50" i="130" l="1"/>
  <c r="AK50" i="130" s="1"/>
  <c r="AJ55" i="130"/>
  <c r="AJ54" i="130"/>
  <c r="AJ53" i="130"/>
  <c r="AJ52" i="130"/>
  <c r="AJ49" i="130"/>
  <c r="AJ48" i="130"/>
  <c r="AJ47" i="130"/>
  <c r="AJ46" i="130"/>
  <c r="DA7" i="130"/>
  <c r="AK7" i="130" s="1"/>
  <c r="AK29" i="130" s="1"/>
  <c r="DA51" i="130"/>
  <c r="AK51" i="130" s="1"/>
  <c r="DA45" i="130"/>
  <c r="AK45" i="130" s="1"/>
  <c r="DA40" i="130"/>
  <c r="AK40" i="130" s="1"/>
  <c r="AK42" i="130" s="1"/>
  <c r="AJ58" i="130"/>
  <c r="AJ41" i="130"/>
  <c r="AJ39" i="130"/>
  <c r="AJ38" i="130"/>
  <c r="AJ37" i="130"/>
  <c r="AJ36" i="130"/>
  <c r="AJ35" i="130"/>
  <c r="AJ34" i="130"/>
  <c r="AJ33" i="130"/>
  <c r="AJ32" i="130"/>
  <c r="AJ27" i="130"/>
  <c r="AJ26" i="130"/>
  <c r="AJ25" i="130"/>
  <c r="AJ24" i="130"/>
  <c r="AJ23" i="130"/>
  <c r="AJ22" i="130"/>
  <c r="AJ21" i="130"/>
  <c r="AJ20" i="130"/>
  <c r="AJ18" i="130"/>
  <c r="AJ17" i="130"/>
  <c r="AJ16" i="130"/>
  <c r="AJ15" i="130"/>
  <c r="AJ14" i="130"/>
  <c r="AJ13" i="130"/>
  <c r="AJ12" i="130"/>
  <c r="AJ11" i="130"/>
  <c r="AJ10" i="130"/>
  <c r="AJ9" i="130"/>
  <c r="AJ8" i="130"/>
  <c r="AJ6" i="130"/>
  <c r="AJ85" i="129"/>
  <c r="AI85" i="129"/>
  <c r="AH85" i="129"/>
  <c r="AG85" i="129"/>
  <c r="AF85" i="129"/>
  <c r="AJ22" i="129"/>
  <c r="AJ9" i="129"/>
  <c r="AJ31" i="128"/>
  <c r="AJ48" i="128"/>
  <c r="AJ47" i="128"/>
  <c r="AJ44" i="128"/>
  <c r="AJ14" i="128"/>
  <c r="AJ13" i="128"/>
  <c r="AJ124" i="128"/>
  <c r="AJ115" i="128"/>
  <c r="AJ32" i="131"/>
  <c r="AJ209" i="131"/>
  <c r="AJ208" i="131"/>
  <c r="AJ180" i="131"/>
  <c r="AJ179" i="131"/>
  <c r="AJ137" i="131"/>
  <c r="AJ90" i="131"/>
  <c r="AJ87" i="131"/>
  <c r="AJ204" i="131"/>
  <c r="AJ203" i="131"/>
  <c r="AJ50" i="130" l="1"/>
  <c r="AK56" i="130"/>
  <c r="AK59" i="130" s="1"/>
  <c r="AJ51" i="130"/>
  <c r="AK37" i="131"/>
  <c r="AJ47" i="131"/>
  <c r="AJ61" i="131" s="1"/>
  <c r="AJ56" i="131"/>
  <c r="AJ40" i="130"/>
  <c r="AJ42" i="130" s="1"/>
  <c r="AJ15" i="128"/>
  <c r="AJ66" i="129"/>
  <c r="AN73" i="128"/>
  <c r="AN74" i="128"/>
  <c r="AN72" i="128"/>
  <c r="AJ46" i="128"/>
  <c r="AJ24" i="131"/>
  <c r="AJ26" i="131" s="1"/>
  <c r="AJ7" i="130"/>
  <c r="AK68" i="130"/>
  <c r="AK85" i="128"/>
  <c r="AK86" i="128"/>
  <c r="AK87" i="128"/>
  <c r="AJ68" i="131"/>
  <c r="AO70" i="130" l="1"/>
  <c r="AN70" i="128"/>
  <c r="AJ65" i="129"/>
  <c r="AK83" i="128"/>
  <c r="AJ113" i="131"/>
  <c r="AK88" i="128"/>
  <c r="AN75" i="128"/>
  <c r="AK72" i="130"/>
  <c r="AH32" i="131" l="1"/>
  <c r="AG32" i="131"/>
  <c r="AF32" i="131"/>
  <c r="AJ34" i="131" s="1"/>
  <c r="AE32" i="131"/>
  <c r="AD32" i="131"/>
  <c r="BK664" i="131"/>
  <c r="BK663" i="131"/>
  <c r="BK661" i="131"/>
  <c r="BK660" i="131"/>
  <c r="AH34" i="131" l="1"/>
  <c r="AL34" i="131"/>
  <c r="AG37" i="131"/>
  <c r="AF37" i="131"/>
  <c r="AE37" i="131"/>
  <c r="AH37" i="131"/>
  <c r="AJ35" i="131"/>
  <c r="AK35" i="131"/>
  <c r="AH35" i="131"/>
  <c r="AL35" i="131"/>
  <c r="AE47" i="131"/>
  <c r="AE61" i="131" s="1"/>
  <c r="AE56" i="131"/>
  <c r="AD47" i="131"/>
  <c r="AD61" i="131" s="1"/>
  <c r="AD56" i="131"/>
  <c r="AF47" i="131"/>
  <c r="AF61" i="131" s="1"/>
  <c r="AF56" i="131"/>
  <c r="AG47" i="131"/>
  <c r="AG61" i="131" s="1"/>
  <c r="AG56" i="131"/>
  <c r="AH47" i="131"/>
  <c r="AH61" i="131" s="1"/>
  <c r="AH56" i="131"/>
  <c r="AI46" i="130"/>
  <c r="AI58" i="130"/>
  <c r="AI55" i="130"/>
  <c r="AI54" i="130"/>
  <c r="AI53" i="130"/>
  <c r="AI52" i="130"/>
  <c r="AI51" i="130"/>
  <c r="AI50" i="130"/>
  <c r="AI49" i="130"/>
  <c r="AI48" i="130"/>
  <c r="AI47" i="130"/>
  <c r="CZ45" i="130"/>
  <c r="AJ45" i="130" s="1"/>
  <c r="AJ56" i="130" s="1"/>
  <c r="AI41" i="130"/>
  <c r="AI40" i="130"/>
  <c r="AI39" i="130"/>
  <c r="AI38" i="130"/>
  <c r="AI37" i="130"/>
  <c r="AI36" i="130"/>
  <c r="AI35" i="130"/>
  <c r="AI34" i="130"/>
  <c r="AI33" i="130"/>
  <c r="AI32" i="130"/>
  <c r="CZ28" i="130"/>
  <c r="AJ28" i="130" s="1"/>
  <c r="AJ19" i="130" s="1"/>
  <c r="AJ29" i="130" s="1"/>
  <c r="AI27" i="130"/>
  <c r="BL27" i="130" s="1"/>
  <c r="AI26" i="130"/>
  <c r="BL26" i="130" s="1"/>
  <c r="AI25" i="130"/>
  <c r="BL25" i="130" s="1"/>
  <c r="AI24" i="130"/>
  <c r="BL24" i="130" s="1"/>
  <c r="AI23" i="130"/>
  <c r="BL23" i="130" s="1"/>
  <c r="AI22" i="130"/>
  <c r="BL22" i="130" s="1"/>
  <c r="AI21" i="130"/>
  <c r="BL21" i="130" s="1"/>
  <c r="AI20" i="130"/>
  <c r="BL20" i="130" s="1"/>
  <c r="AI18" i="130"/>
  <c r="BL18" i="130" s="1"/>
  <c r="AI17" i="130"/>
  <c r="BL17" i="130" s="1"/>
  <c r="AI16" i="130"/>
  <c r="BL16" i="130" s="1"/>
  <c r="AI15" i="130"/>
  <c r="BL15" i="130" s="1"/>
  <c r="AI14" i="130"/>
  <c r="AI13" i="130"/>
  <c r="BL13" i="130" s="1"/>
  <c r="AI12" i="130"/>
  <c r="BL12" i="130" s="1"/>
  <c r="AI11" i="130"/>
  <c r="BL11" i="130" s="1"/>
  <c r="AI10" i="130"/>
  <c r="BL10" i="130" s="1"/>
  <c r="AI9" i="130"/>
  <c r="AI7" i="130"/>
  <c r="AI47" i="128"/>
  <c r="AI31" i="128"/>
  <c r="AI48" i="128"/>
  <c r="AI44" i="128"/>
  <c r="AI66" i="129"/>
  <c r="AI82" i="130" s="1"/>
  <c r="AI14" i="128"/>
  <c r="AI13" i="128"/>
  <c r="BK56" i="131" l="1"/>
  <c r="AI82" i="131"/>
  <c r="AI83" i="131"/>
  <c r="AG60" i="131"/>
  <c r="AG59" i="131"/>
  <c r="AF60" i="131"/>
  <c r="AF59" i="131"/>
  <c r="AJ57" i="131"/>
  <c r="AJ58" i="131"/>
  <c r="AH60" i="131"/>
  <c r="AH59" i="131"/>
  <c r="AH57" i="131"/>
  <c r="AH58" i="131"/>
  <c r="AE60" i="131"/>
  <c r="AE59" i="131"/>
  <c r="AJ59" i="130"/>
  <c r="AI42" i="130"/>
  <c r="AI46" i="128"/>
  <c r="AI28" i="130"/>
  <c r="BL28" i="130" s="1"/>
  <c r="AI45" i="130"/>
  <c r="AI56" i="130" s="1"/>
  <c r="AI19" i="130" l="1"/>
  <c r="AI124" i="128"/>
  <c r="AI115" i="128"/>
  <c r="AI152" i="131"/>
  <c r="AI150" i="131"/>
  <c r="AI149" i="131"/>
  <c r="AI32" i="131"/>
  <c r="AI90" i="131"/>
  <c r="AI87" i="131"/>
  <c r="AI22" i="129"/>
  <c r="AI9" i="129"/>
  <c r="AI180" i="131"/>
  <c r="AI179" i="131"/>
  <c r="AI209" i="131"/>
  <c r="AI208" i="131"/>
  <c r="AI204" i="131"/>
  <c r="AI203" i="131"/>
  <c r="AI34" i="131" l="1"/>
  <c r="AM34" i="131"/>
  <c r="AI37" i="131"/>
  <c r="AJ37" i="131"/>
  <c r="AI35" i="131"/>
  <c r="AM35" i="131"/>
  <c r="AI47" i="131"/>
  <c r="AI61" i="131" s="1"/>
  <c r="AI56" i="131"/>
  <c r="AI68" i="131"/>
  <c r="AM33" i="131"/>
  <c r="AJ83" i="131" l="1"/>
  <c r="AJ82" i="131"/>
  <c r="AI60" i="131"/>
  <c r="AI57" i="131"/>
  <c r="AI59" i="131"/>
  <c r="AI58" i="131"/>
  <c r="AJ60" i="131"/>
  <c r="AJ59" i="131"/>
  <c r="AH48" i="128" l="1"/>
  <c r="AH47" i="128"/>
  <c r="AH44" i="128"/>
  <c r="AH31" i="128"/>
  <c r="AH14" i="128"/>
  <c r="AH13" i="128"/>
  <c r="AH124" i="128"/>
  <c r="AH209" i="131"/>
  <c r="AH208" i="131"/>
  <c r="AH180" i="131"/>
  <c r="AH179" i="131"/>
  <c r="AH135" i="131"/>
  <c r="AL136" i="131" s="1"/>
  <c r="AH150" i="131"/>
  <c r="AH149" i="131"/>
  <c r="AG152" i="131"/>
  <c r="AG150" i="131"/>
  <c r="AG149" i="131"/>
  <c r="AH144" i="131"/>
  <c r="AH143" i="131"/>
  <c r="AG90" i="131"/>
  <c r="AG87" i="131"/>
  <c r="AH90" i="131"/>
  <c r="AH87" i="131"/>
  <c r="AH204" i="131"/>
  <c r="AH203" i="131"/>
  <c r="AH115" i="128"/>
  <c r="AH21" i="129"/>
  <c r="AH9" i="129"/>
  <c r="AH15" i="128" l="1"/>
  <c r="AH65" i="129" s="1"/>
  <c r="AH81" i="130" s="1"/>
  <c r="AH46" i="128"/>
  <c r="AI85" i="128"/>
  <c r="AH66" i="129"/>
  <c r="AH82" i="130" s="1"/>
  <c r="AI86" i="128"/>
  <c r="AI87" i="128"/>
  <c r="AH152" i="131"/>
  <c r="AH146" i="131" s="1"/>
  <c r="AI137" i="131"/>
  <c r="AH137" i="131"/>
  <c r="BN66" i="130" l="1"/>
  <c r="BN65" i="130"/>
  <c r="BN58" i="130"/>
  <c r="BN55" i="130"/>
  <c r="BN54" i="130"/>
  <c r="BN53" i="130"/>
  <c r="BN52" i="130"/>
  <c r="BN51" i="130"/>
  <c r="BN50" i="130"/>
  <c r="BN49" i="130"/>
  <c r="BN48" i="130"/>
  <c r="BN47" i="130"/>
  <c r="BN46" i="130"/>
  <c r="BN45" i="130"/>
  <c r="BN41" i="130"/>
  <c r="BN40" i="130"/>
  <c r="BN39" i="130"/>
  <c r="BN38" i="130"/>
  <c r="BN37" i="130"/>
  <c r="BN36" i="130"/>
  <c r="BN35" i="130"/>
  <c r="BN34" i="130"/>
  <c r="BN33" i="130"/>
  <c r="BN32" i="130"/>
  <c r="BN18" i="130"/>
  <c r="BN17" i="130"/>
  <c r="BN16" i="130"/>
  <c r="BN15" i="130"/>
  <c r="BN14" i="130"/>
  <c r="BN13" i="130"/>
  <c r="BN12" i="130"/>
  <c r="BN10" i="130"/>
  <c r="BN9" i="130"/>
  <c r="BM66" i="130"/>
  <c r="BM65" i="130"/>
  <c r="BM58" i="130"/>
  <c r="BM55" i="130"/>
  <c r="BM54" i="130"/>
  <c r="BM53" i="130"/>
  <c r="BM52" i="130"/>
  <c r="BM51" i="130"/>
  <c r="BM50" i="130"/>
  <c r="BM49" i="130"/>
  <c r="BM48" i="130"/>
  <c r="BM47" i="130"/>
  <c r="BM46" i="130"/>
  <c r="BM45" i="130"/>
  <c r="BM41" i="130"/>
  <c r="BM40" i="130"/>
  <c r="BM39" i="130"/>
  <c r="BM38" i="130"/>
  <c r="BM37" i="130"/>
  <c r="BM36" i="130"/>
  <c r="BM35" i="130"/>
  <c r="BM34" i="130"/>
  <c r="BM33" i="130"/>
  <c r="BM32" i="130"/>
  <c r="BM18" i="130"/>
  <c r="BM17" i="130"/>
  <c r="BM16" i="130"/>
  <c r="BM15" i="130"/>
  <c r="BM14" i="130"/>
  <c r="BM13" i="130"/>
  <c r="BM12" i="130"/>
  <c r="BM10" i="130"/>
  <c r="BM9" i="130"/>
  <c r="BK668" i="131"/>
  <c r="BR58" i="128"/>
  <c r="AG568" i="131" l="1"/>
  <c r="AR22" i="129" l="1"/>
  <c r="AS22" i="129" s="1"/>
  <c r="AT22" i="129" s="1"/>
  <c r="AU22" i="129" s="1"/>
  <c r="AV22" i="129" s="1"/>
  <c r="AW22" i="129" s="1"/>
  <c r="AX22" i="129" s="1"/>
  <c r="AY22" i="129" s="1"/>
  <c r="AZ22" i="129" s="1"/>
  <c r="BA22" i="129" s="1"/>
  <c r="BP22" i="129" s="1"/>
  <c r="AR41" i="129"/>
  <c r="AS41" i="129" s="1"/>
  <c r="AT41" i="129" s="1"/>
  <c r="AU41" i="129" s="1"/>
  <c r="AV41" i="129" s="1"/>
  <c r="AW41" i="129" s="1"/>
  <c r="AX41" i="129" s="1"/>
  <c r="AY41" i="129" s="1"/>
  <c r="AZ41" i="129" s="1"/>
  <c r="BA41" i="129" s="1"/>
  <c r="BP41" i="129" s="1"/>
  <c r="AG58" i="130"/>
  <c r="AG55" i="130"/>
  <c r="AG54" i="130"/>
  <c r="AG53" i="130"/>
  <c r="AG52" i="130"/>
  <c r="AG51" i="130"/>
  <c r="AG50" i="130"/>
  <c r="AG49" i="130"/>
  <c r="AG48" i="130"/>
  <c r="AG47" i="130"/>
  <c r="AG46" i="130"/>
  <c r="AG45" i="130"/>
  <c r="AG41" i="130"/>
  <c r="AG40" i="130"/>
  <c r="AG39" i="130"/>
  <c r="AG38" i="130"/>
  <c r="AG37" i="130"/>
  <c r="AG36" i="130"/>
  <c r="AG35" i="130"/>
  <c r="AG34" i="130"/>
  <c r="AG33" i="130"/>
  <c r="AG32" i="130"/>
  <c r="AG28" i="130"/>
  <c r="AG27" i="130"/>
  <c r="AG26" i="130"/>
  <c r="AG25" i="130"/>
  <c r="AG24" i="130"/>
  <c r="AG23" i="130"/>
  <c r="AG22" i="130"/>
  <c r="AG21" i="130"/>
  <c r="AG20" i="130"/>
  <c r="AG18" i="130"/>
  <c r="AG17" i="130"/>
  <c r="AG16" i="130"/>
  <c r="AG15" i="130"/>
  <c r="AG14" i="130"/>
  <c r="AG13" i="130"/>
  <c r="AG12" i="130"/>
  <c r="AG11" i="130"/>
  <c r="AG10" i="130"/>
  <c r="AG9" i="130"/>
  <c r="AG8" i="130"/>
  <c r="AG7" i="130"/>
  <c r="AG6" i="130"/>
  <c r="AG31" i="128"/>
  <c r="AG21" i="128"/>
  <c r="AG20" i="128"/>
  <c r="AG14" i="128"/>
  <c r="AG13" i="128"/>
  <c r="AG48" i="128"/>
  <c r="AG47" i="128"/>
  <c r="AG44" i="128"/>
  <c r="AG124" i="128"/>
  <c r="AG115" i="128"/>
  <c r="AG388" i="131"/>
  <c r="AG204" i="131"/>
  <c r="AG203" i="131"/>
  <c r="AG209" i="131"/>
  <c r="AG208" i="131"/>
  <c r="BK24" i="129"/>
  <c r="AG32" i="129"/>
  <c r="AG21" i="129"/>
  <c r="AG9" i="129"/>
  <c r="BO41" i="129" l="1"/>
  <c r="BO22" i="129"/>
  <c r="AR32" i="129"/>
  <c r="AS32" i="129" s="1"/>
  <c r="AT32" i="129" s="1"/>
  <c r="AK72" i="128"/>
  <c r="AK73" i="128"/>
  <c r="AG66" i="129"/>
  <c r="AG82" i="130" s="1"/>
  <c r="AK74" i="128"/>
  <c r="AG19" i="130"/>
  <c r="AG42" i="130"/>
  <c r="AG56" i="130"/>
  <c r="AV186" i="131"/>
  <c r="AS56" i="130"/>
  <c r="AR56" i="130"/>
  <c r="AR79" i="128"/>
  <c r="AS67" i="128"/>
  <c r="AR67" i="128"/>
  <c r="AQ67" i="128"/>
  <c r="AS53" i="128"/>
  <c r="AR53" i="128"/>
  <c r="AS50" i="128"/>
  <c r="AR50" i="128"/>
  <c r="BN4" i="130"/>
  <c r="AS4" i="130"/>
  <c r="DJ4" i="130" s="1"/>
  <c r="AR4" i="130"/>
  <c r="DI4" i="130" s="1"/>
  <c r="AQ4" i="130"/>
  <c r="DH4" i="130" s="1"/>
  <c r="AP4" i="130"/>
  <c r="DG4" i="130" s="1"/>
  <c r="AP3" i="130"/>
  <c r="DG3" i="130" s="1"/>
  <c r="BN12" i="129"/>
  <c r="BN11" i="129"/>
  <c r="BN4" i="129"/>
  <c r="AS4" i="129"/>
  <c r="AR4" i="129"/>
  <c r="AP4" i="129"/>
  <c r="AP3" i="129"/>
  <c r="BN4" i="131"/>
  <c r="AR569" i="131"/>
  <c r="AS195" i="131"/>
  <c r="AS191" i="131" s="1"/>
  <c r="AR195" i="131"/>
  <c r="AR191" i="131" s="1"/>
  <c r="AS4" i="131"/>
  <c r="AR4" i="131"/>
  <c r="AP4" i="131"/>
  <c r="AP3" i="131"/>
  <c r="AP254" i="131" s="1"/>
  <c r="AP226" i="131" s="1"/>
  <c r="AP554" i="131" s="1"/>
  <c r="BN166" i="128"/>
  <c r="BN162" i="128"/>
  <c r="BN157" i="128"/>
  <c r="BN156" i="128"/>
  <c r="BN155" i="128"/>
  <c r="BN154" i="128"/>
  <c r="BN149" i="128"/>
  <c r="BN148" i="128"/>
  <c r="BN147" i="128"/>
  <c r="BN146" i="128"/>
  <c r="BN141" i="128"/>
  <c r="BN140" i="128"/>
  <c r="BN130" i="128"/>
  <c r="BN128" i="128"/>
  <c r="BN127" i="128"/>
  <c r="BN124" i="128"/>
  <c r="BN123" i="128"/>
  <c r="BN122" i="128"/>
  <c r="BN121" i="128"/>
  <c r="BN120" i="128"/>
  <c r="BN119" i="128"/>
  <c r="BN115" i="128"/>
  <c r="BN114" i="128"/>
  <c r="BN113" i="128"/>
  <c r="BN112" i="128"/>
  <c r="BN60" i="128"/>
  <c r="BN29" i="128"/>
  <c r="BN28" i="128"/>
  <c r="BN67" i="128"/>
  <c r="AS158" i="128"/>
  <c r="AS159" i="128" s="1"/>
  <c r="AR158" i="128"/>
  <c r="AR159" i="128" s="1"/>
  <c r="AS150" i="128"/>
  <c r="AS151" i="128" s="1"/>
  <c r="AR150" i="128"/>
  <c r="AS144" i="128"/>
  <c r="AR144" i="128"/>
  <c r="BN255" i="131" l="1"/>
  <c r="BN227" i="131" s="1"/>
  <c r="BN555" i="131"/>
  <c r="AS255" i="131"/>
  <c r="AS227" i="131" s="1"/>
  <c r="AS555" i="131"/>
  <c r="AP255" i="131"/>
  <c r="AP227" i="131" s="1"/>
  <c r="AP555" i="131"/>
  <c r="AR255" i="131"/>
  <c r="AR227" i="131" s="1"/>
  <c r="AR555" i="131"/>
  <c r="AU32" i="129"/>
  <c r="AT28" i="130"/>
  <c r="AT180" i="131"/>
  <c r="BN159" i="128"/>
  <c r="AR37" i="128"/>
  <c r="BN150" i="128"/>
  <c r="AR151" i="128"/>
  <c r="BN50" i="128"/>
  <c r="BN53" i="128"/>
  <c r="BN56" i="130"/>
  <c r="AS51" i="128"/>
  <c r="AS49" i="128" s="1"/>
  <c r="BN158" i="128"/>
  <c r="AR51" i="128"/>
  <c r="AR49" i="128" s="1"/>
  <c r="BN25" i="128"/>
  <c r="BN10" i="128"/>
  <c r="BN36" i="128"/>
  <c r="AS79" i="128"/>
  <c r="AV192" i="131"/>
  <c r="AT192" i="131"/>
  <c r="AS180" i="131"/>
  <c r="AT186" i="131"/>
  <c r="AR187" i="131" l="1"/>
  <c r="BN171" i="131"/>
  <c r="AR173" i="131"/>
  <c r="BN151" i="128"/>
  <c r="AV32" i="129"/>
  <c r="AU28" i="130"/>
  <c r="AU192" i="131"/>
  <c r="AU186" i="131"/>
  <c r="AW192" i="131"/>
  <c r="AT193" i="131"/>
  <c r="AT187" i="131"/>
  <c r="AW186" i="131"/>
  <c r="BN49" i="128"/>
  <c r="AS37" i="128"/>
  <c r="BN51" i="128"/>
  <c r="BN185" i="131"/>
  <c r="AR193" i="131"/>
  <c r="BN191" i="131"/>
  <c r="AS187" i="131"/>
  <c r="AS193" i="131"/>
  <c r="BO172" i="131" l="1"/>
  <c r="BN172" i="131"/>
  <c r="AV28" i="130"/>
  <c r="AW32" i="129"/>
  <c r="AX32" i="129" s="1"/>
  <c r="BO189" i="131"/>
  <c r="BO186" i="131"/>
  <c r="BO192" i="131"/>
  <c r="BO195" i="131"/>
  <c r="BN37" i="128"/>
  <c r="AY32" i="129" l="1"/>
  <c r="AX28" i="130"/>
  <c r="BO32" i="129"/>
  <c r="AW28" i="130"/>
  <c r="BO28" i="130" s="1"/>
  <c r="AF58" i="130"/>
  <c r="AF54" i="130"/>
  <c r="AF53" i="130"/>
  <c r="AF52" i="130"/>
  <c r="AF51" i="130"/>
  <c r="AF50" i="130"/>
  <c r="AF49" i="130"/>
  <c r="AF48" i="130"/>
  <c r="AF47" i="130"/>
  <c r="AF45" i="130"/>
  <c r="AF41" i="130"/>
  <c r="AF40" i="130"/>
  <c r="AF39" i="130"/>
  <c r="AF38" i="130"/>
  <c r="AF37" i="130"/>
  <c r="AF36" i="130"/>
  <c r="AF35" i="130"/>
  <c r="AF34" i="130"/>
  <c r="AF33" i="130"/>
  <c r="AF32" i="130"/>
  <c r="AF28" i="130"/>
  <c r="AF27" i="130"/>
  <c r="AF26" i="130"/>
  <c r="AF25" i="130"/>
  <c r="AF24" i="130"/>
  <c r="AF23" i="130"/>
  <c r="AF22" i="130"/>
  <c r="AF21" i="130"/>
  <c r="AF20" i="130"/>
  <c r="AF18" i="130"/>
  <c r="AF17" i="130"/>
  <c r="AF16" i="130"/>
  <c r="AF15" i="130"/>
  <c r="AF14" i="130"/>
  <c r="AF13" i="130"/>
  <c r="AF12" i="130"/>
  <c r="AF11" i="130"/>
  <c r="AF10" i="130"/>
  <c r="AF9" i="130"/>
  <c r="AF8" i="130"/>
  <c r="AF7" i="130"/>
  <c r="AF6" i="130"/>
  <c r="CW19" i="130"/>
  <c r="AF22" i="129"/>
  <c r="AF9" i="129"/>
  <c r="AF31" i="128"/>
  <c r="AF21" i="128"/>
  <c r="AF66" i="129" s="1"/>
  <c r="AF82" i="130" s="1"/>
  <c r="AF20" i="128"/>
  <c r="AF48" i="128"/>
  <c r="AF47" i="128"/>
  <c r="AF44" i="128"/>
  <c r="AF14" i="128"/>
  <c r="AF13" i="128"/>
  <c r="AF568" i="131"/>
  <c r="AF209" i="131"/>
  <c r="AF208" i="131"/>
  <c r="AF135" i="131"/>
  <c r="AF150" i="131"/>
  <c r="AF149" i="131"/>
  <c r="AF90" i="131"/>
  <c r="AF87" i="131"/>
  <c r="AF124" i="128"/>
  <c r="AF115" i="128"/>
  <c r="AF204" i="131"/>
  <c r="AF203" i="131"/>
  <c r="AZ32" i="129" l="1"/>
  <c r="AY28" i="130"/>
  <c r="AG137" i="131"/>
  <c r="AJ136" i="131"/>
  <c r="AF23" i="128"/>
  <c r="AF15" i="128"/>
  <c r="AF65" i="129" s="1"/>
  <c r="AF81" i="130" s="1"/>
  <c r="AF152" i="131"/>
  <c r="AZ28" i="130" l="1"/>
  <c r="BA32" i="129"/>
  <c r="BP32" i="129" l="1"/>
  <c r="BA28" i="130"/>
  <c r="BP28" i="130" s="1"/>
  <c r="AE568" i="131" l="1"/>
  <c r="BH636" i="131" l="1"/>
  <c r="BI636" i="131"/>
  <c r="BJ668" i="131" l="1"/>
  <c r="BI668" i="131"/>
  <c r="BH668" i="131"/>
  <c r="BI647" i="131"/>
  <c r="BH647" i="131"/>
  <c r="BI641" i="131" l="1"/>
  <c r="BJ664" i="131"/>
  <c r="BI664" i="131"/>
  <c r="BJ663" i="131"/>
  <c r="BI663" i="131"/>
  <c r="BH664" i="131"/>
  <c r="BJ660" i="131"/>
  <c r="BJ658" i="131"/>
  <c r="BI660" i="131"/>
  <c r="Z24" i="131" l="1"/>
  <c r="BJ24" i="131" s="1"/>
  <c r="AE389" i="131" l="1"/>
  <c r="AE390" i="131"/>
  <c r="CV55" i="130"/>
  <c r="CV46" i="130"/>
  <c r="AE58" i="130"/>
  <c r="AE54" i="130"/>
  <c r="AE53" i="130"/>
  <c r="AE52" i="130"/>
  <c r="AE51" i="130"/>
  <c r="AE50" i="130"/>
  <c r="AE49" i="130"/>
  <c r="AE48" i="130"/>
  <c r="AE47" i="130"/>
  <c r="AE41" i="130"/>
  <c r="AE40" i="130"/>
  <c r="AE39" i="130"/>
  <c r="AE38" i="130"/>
  <c r="AE37" i="130"/>
  <c r="AE36" i="130"/>
  <c r="AE35" i="130"/>
  <c r="AE34" i="130"/>
  <c r="AE33" i="130"/>
  <c r="AE32" i="130"/>
  <c r="AE28" i="130"/>
  <c r="AE26" i="130"/>
  <c r="AE25" i="130"/>
  <c r="AE24" i="130"/>
  <c r="AE23" i="130"/>
  <c r="AE22" i="130"/>
  <c r="AE21" i="130"/>
  <c r="AE7" i="130"/>
  <c r="AE8" i="130"/>
  <c r="AE9" i="130"/>
  <c r="AE10" i="130"/>
  <c r="AE11" i="130"/>
  <c r="AE12" i="130"/>
  <c r="AE13" i="130"/>
  <c r="AE14" i="130"/>
  <c r="AE15" i="130"/>
  <c r="AE16" i="130"/>
  <c r="AE17" i="130"/>
  <c r="AE18" i="130"/>
  <c r="AE48" i="128"/>
  <c r="AE47" i="128"/>
  <c r="AE44" i="128"/>
  <c r="AE31" i="128"/>
  <c r="AI74" i="128"/>
  <c r="AE21" i="128"/>
  <c r="AI73" i="128" s="1"/>
  <c r="AE20" i="128"/>
  <c r="AI72" i="128" s="1"/>
  <c r="AE14" i="128"/>
  <c r="AE13" i="128"/>
  <c r="AE124" i="128"/>
  <c r="AE115" i="128"/>
  <c r="AE46" i="130" l="1"/>
  <c r="AF46" i="130"/>
  <c r="AE55" i="130"/>
  <c r="AF55" i="130"/>
  <c r="AE204" i="131"/>
  <c r="AE203" i="131"/>
  <c r="AE135" i="131"/>
  <c r="AD568" i="131"/>
  <c r="AC568" i="131"/>
  <c r="AE209" i="131"/>
  <c r="AE208" i="131"/>
  <c r="AD150" i="131"/>
  <c r="AD149" i="131"/>
  <c r="AE150" i="131"/>
  <c r="AE149" i="131"/>
  <c r="AE144" i="131"/>
  <c r="AE143" i="131"/>
  <c r="AF388" i="131"/>
  <c r="AE22" i="129"/>
  <c r="AE9" i="129"/>
  <c r="AF110" i="131" l="1"/>
  <c r="AF109" i="131"/>
  <c r="AF108" i="131"/>
  <c r="AF111" i="131"/>
  <c r="BK568" i="131"/>
  <c r="AG594" i="131" a="1"/>
  <c r="AG594" i="131" s="1"/>
  <c r="AF137" i="131"/>
  <c r="AI136" i="131"/>
  <c r="CV19" i="130"/>
  <c r="CV29" i="130" s="1"/>
  <c r="AG595" i="131" l="1"/>
  <c r="BK595" i="131" s="1"/>
  <c r="BK594" i="131"/>
  <c r="AD31" i="128" l="1"/>
  <c r="AH74" i="128"/>
  <c r="AD21" i="128"/>
  <c r="AD20" i="128"/>
  <c r="AH72" i="128" s="1"/>
  <c r="AD14" i="128"/>
  <c r="AD13" i="128"/>
  <c r="AD48" i="128"/>
  <c r="AD47" i="128"/>
  <c r="AD44" i="128"/>
  <c r="AD37" i="128"/>
  <c r="AE39" i="128"/>
  <c r="AF39" i="128" s="1"/>
  <c r="AG39" i="128" s="1"/>
  <c r="AD124" i="128"/>
  <c r="AD115" i="128"/>
  <c r="AD22" i="129"/>
  <c r="AD9" i="129"/>
  <c r="AD90" i="131"/>
  <c r="AD87" i="131"/>
  <c r="AC32" i="131"/>
  <c r="AB32" i="131"/>
  <c r="AD135" i="131"/>
  <c r="AB389" i="131"/>
  <c r="AC389" i="131"/>
  <c r="AD389" i="131"/>
  <c r="AD209" i="131"/>
  <c r="AD208" i="131"/>
  <c r="AD203" i="131"/>
  <c r="AC37" i="131" l="1"/>
  <c r="AG35" i="131"/>
  <c r="AD37" i="131"/>
  <c r="AF35" i="131"/>
  <c r="AC47" i="131"/>
  <c r="AC61" i="131" s="1"/>
  <c r="AC56" i="131"/>
  <c r="AB47" i="131"/>
  <c r="AB61" i="131" s="1"/>
  <c r="AB56" i="131"/>
  <c r="AD66" i="129"/>
  <c r="AD82" i="130" s="1"/>
  <c r="AH73" i="128"/>
  <c r="AG33" i="131"/>
  <c r="AF33" i="131"/>
  <c r="AD152" i="131"/>
  <c r="AH136" i="131"/>
  <c r="AE87" i="128"/>
  <c r="AD68" i="131"/>
  <c r="AE85" i="128"/>
  <c r="AE86" i="128"/>
  <c r="AC82" i="131" l="1"/>
  <c r="AC83" i="131"/>
  <c r="AG83" i="131"/>
  <c r="AG82" i="131"/>
  <c r="AD82" i="131"/>
  <c r="AD83" i="131"/>
  <c r="BK81" i="131"/>
  <c r="AH82" i="131"/>
  <c r="AH83" i="131"/>
  <c r="AC60" i="131"/>
  <c r="AG57" i="131"/>
  <c r="AG58" i="131"/>
  <c r="AD59" i="131"/>
  <c r="AD60" i="131"/>
  <c r="AF58" i="131"/>
  <c r="AF57" i="131"/>
  <c r="AC104" i="131" l="1"/>
  <c r="AD103" i="131"/>
  <c r="AD104" i="131"/>
  <c r="BK102" i="131"/>
  <c r="AA24" i="129"/>
  <c r="BP17" i="128" l="1"/>
  <c r="BO17" i="128"/>
  <c r="BN17" i="128"/>
  <c r="BK202" i="131"/>
  <c r="AC58" i="130" l="1"/>
  <c r="AC55" i="130"/>
  <c r="AC54" i="130"/>
  <c r="AC53" i="130"/>
  <c r="AC52" i="130"/>
  <c r="AC51" i="130"/>
  <c r="AC50" i="130"/>
  <c r="AC49" i="130"/>
  <c r="AC48" i="130"/>
  <c r="AC47" i="130"/>
  <c r="AC46" i="130"/>
  <c r="AC45" i="130"/>
  <c r="AC41" i="130"/>
  <c r="AC40" i="130"/>
  <c r="AC39" i="130"/>
  <c r="AC38" i="130"/>
  <c r="AC37" i="130"/>
  <c r="AC36" i="130"/>
  <c r="AC35" i="130"/>
  <c r="AC34" i="130"/>
  <c r="AC33" i="130"/>
  <c r="AC32" i="130"/>
  <c r="AC28" i="130"/>
  <c r="AC27" i="130"/>
  <c r="AC26" i="130"/>
  <c r="AC25" i="130"/>
  <c r="AC24" i="130"/>
  <c r="AC23" i="130"/>
  <c r="AC22" i="130"/>
  <c r="AC21" i="130"/>
  <c r="AC20" i="130"/>
  <c r="AC18" i="130"/>
  <c r="AC17" i="130"/>
  <c r="AC16" i="130"/>
  <c r="AC15" i="130"/>
  <c r="AC14" i="130"/>
  <c r="AC13" i="130"/>
  <c r="AC12" i="130"/>
  <c r="AC11" i="130"/>
  <c r="AC10" i="130"/>
  <c r="AC9" i="130"/>
  <c r="AC8" i="130"/>
  <c r="AC7" i="130"/>
  <c r="AC6" i="130"/>
  <c r="AC48" i="128"/>
  <c r="AC47" i="128"/>
  <c r="AC44" i="128"/>
  <c r="AC37" i="128"/>
  <c r="AD64" i="128" s="1"/>
  <c r="AE64" i="128" s="1"/>
  <c r="AF64" i="128" s="1"/>
  <c r="AG64" i="128" s="1"/>
  <c r="AH64" i="128" s="1"/>
  <c r="AI64" i="128" s="1"/>
  <c r="AJ64" i="128" s="1"/>
  <c r="AK64" i="128" s="1"/>
  <c r="AC31" i="128"/>
  <c r="AC14" i="128"/>
  <c r="AC13" i="128"/>
  <c r="AC21" i="128"/>
  <c r="AC20" i="128"/>
  <c r="AC124" i="128"/>
  <c r="AC115" i="128"/>
  <c r="AD46" i="129"/>
  <c r="AC22" i="129"/>
  <c r="AC9" i="129"/>
  <c r="AC66" i="129" l="1"/>
  <c r="AC82" i="130" s="1"/>
  <c r="AC46" i="128"/>
  <c r="AC56" i="130"/>
  <c r="AC19" i="130"/>
  <c r="AC29" i="130" s="1"/>
  <c r="AC42" i="130"/>
  <c r="AC59" i="130" l="1"/>
  <c r="AC209" i="131"/>
  <c r="AC208" i="131"/>
  <c r="AC180" i="131"/>
  <c r="AC150" i="131"/>
  <c r="AC149" i="131"/>
  <c r="AC144" i="131"/>
  <c r="AC143" i="131"/>
  <c r="AC90" i="131"/>
  <c r="AC87" i="131"/>
  <c r="AC204" i="131"/>
  <c r="AC203" i="131"/>
  <c r="AC27" i="131"/>
  <c r="BJ388" i="131" l="1"/>
  <c r="AA160" i="131" l="1"/>
  <c r="E392" i="131" l="1"/>
  <c r="AB568" i="131" l="1"/>
  <c r="AB58" i="130"/>
  <c r="AB55" i="130"/>
  <c r="AB54" i="130"/>
  <c r="AB53" i="130"/>
  <c r="AB52" i="130"/>
  <c r="AB51" i="130"/>
  <c r="AB50" i="130"/>
  <c r="AB49" i="130"/>
  <c r="AB48" i="130"/>
  <c r="AB47" i="130"/>
  <c r="AB45" i="130"/>
  <c r="AB41" i="130"/>
  <c r="AB40" i="130"/>
  <c r="AB39" i="130"/>
  <c r="AB38" i="130"/>
  <c r="AB37" i="130"/>
  <c r="AB36" i="130"/>
  <c r="AB35" i="130"/>
  <c r="AB34" i="130"/>
  <c r="AB33" i="130"/>
  <c r="AB32" i="130"/>
  <c r="AB28" i="130"/>
  <c r="AB27" i="130"/>
  <c r="AB26" i="130"/>
  <c r="AB25" i="130"/>
  <c r="AB24" i="130"/>
  <c r="AB23" i="130"/>
  <c r="AB22" i="130"/>
  <c r="AB21" i="130"/>
  <c r="AB20" i="130"/>
  <c r="AB18" i="130"/>
  <c r="AB17" i="130"/>
  <c r="AB16" i="130"/>
  <c r="AB15" i="130"/>
  <c r="AB14" i="130"/>
  <c r="AB13" i="130"/>
  <c r="AB12" i="130"/>
  <c r="AB11" i="130"/>
  <c r="AB10" i="130"/>
  <c r="AB9" i="130"/>
  <c r="AB8" i="130"/>
  <c r="AB7" i="130"/>
  <c r="AB6" i="130"/>
  <c r="AB48" i="128"/>
  <c r="AB47" i="128"/>
  <c r="AB44" i="128"/>
  <c r="AB37" i="128"/>
  <c r="AB31" i="128"/>
  <c r="AB21" i="128"/>
  <c r="AB20" i="128"/>
  <c r="AB14" i="128"/>
  <c r="AB13" i="128"/>
  <c r="AB124" i="128"/>
  <c r="AB115" i="128"/>
  <c r="AB204" i="131"/>
  <c r="AB203" i="131"/>
  <c r="AB135" i="131"/>
  <c r="AB150" i="131"/>
  <c r="AB149" i="131"/>
  <c r="AB90" i="131"/>
  <c r="AB87" i="131"/>
  <c r="AB208" i="131"/>
  <c r="AB22" i="129"/>
  <c r="AB15" i="128" l="1"/>
  <c r="AC85" i="128"/>
  <c r="AC87" i="128"/>
  <c r="AB152" i="131"/>
  <c r="AF136" i="131"/>
  <c r="AB23" i="128"/>
  <c r="AC86" i="128"/>
  <c r="AB46" i="128"/>
  <c r="AB42" i="130"/>
  <c r="AB19" i="130"/>
  <c r="AB29" i="130" s="1"/>
  <c r="AA568" i="131" l="1"/>
  <c r="AE569" i="131" s="1"/>
  <c r="AA164" i="131"/>
  <c r="AA162" i="131"/>
  <c r="AA32" i="131"/>
  <c r="AA90" i="131"/>
  <c r="AA87" i="131"/>
  <c r="AA135" i="131"/>
  <c r="AA144" i="131"/>
  <c r="AA143" i="131"/>
  <c r="AA150" i="131"/>
  <c r="AA149" i="131"/>
  <c r="AA189" i="131"/>
  <c r="AA187" i="131"/>
  <c r="AA186" i="131"/>
  <c r="AA191" i="131"/>
  <c r="AA195" i="131" s="1"/>
  <c r="AA39" i="128"/>
  <c r="AE79" i="128" s="1"/>
  <c r="AA37" i="128"/>
  <c r="AA31" i="128"/>
  <c r="AA21" i="128"/>
  <c r="AA20" i="128"/>
  <c r="AA14" i="128"/>
  <c r="AA13" i="128"/>
  <c r="AA48" i="128"/>
  <c r="AA47" i="128"/>
  <c r="AA44" i="128"/>
  <c r="AA204" i="131"/>
  <c r="AA203" i="131"/>
  <c r="AA209" i="131"/>
  <c r="AA66" i="130"/>
  <c r="AA65" i="130"/>
  <c r="AA58" i="130"/>
  <c r="AA55" i="130"/>
  <c r="AA54" i="130"/>
  <c r="AA53" i="130"/>
  <c r="AA52" i="130"/>
  <c r="AA51" i="130"/>
  <c r="AA50" i="130"/>
  <c r="AA49" i="130"/>
  <c r="AA48" i="130"/>
  <c r="AA47" i="130"/>
  <c r="AA45" i="130"/>
  <c r="AA41" i="130"/>
  <c r="AA40" i="130"/>
  <c r="AA39" i="130"/>
  <c r="AA38" i="130"/>
  <c r="AA37" i="130"/>
  <c r="AA36" i="130"/>
  <c r="AA35" i="130"/>
  <c r="AA34" i="130"/>
  <c r="AA33" i="130"/>
  <c r="AA32" i="130"/>
  <c r="AA28" i="130"/>
  <c r="AA27" i="130"/>
  <c r="AA26" i="130"/>
  <c r="AA25" i="130"/>
  <c r="AA24" i="130"/>
  <c r="AA23" i="130"/>
  <c r="AA22" i="130"/>
  <c r="AA21" i="130"/>
  <c r="AA20" i="130"/>
  <c r="AA18" i="130"/>
  <c r="AA17" i="130"/>
  <c r="AA16" i="130"/>
  <c r="AA15" i="130"/>
  <c r="AA14" i="130"/>
  <c r="AA13" i="130"/>
  <c r="AA12" i="130"/>
  <c r="AA11" i="130"/>
  <c r="AA10" i="130"/>
  <c r="AA9" i="130"/>
  <c r="AA8" i="130"/>
  <c r="AA7" i="130"/>
  <c r="AA6" i="130"/>
  <c r="CR46" i="130"/>
  <c r="AB46" i="130" s="1"/>
  <c r="AB56" i="130" s="1"/>
  <c r="AB59" i="130" s="1"/>
  <c r="AA22" i="129"/>
  <c r="AB37" i="131" l="1"/>
  <c r="AE35" i="131"/>
  <c r="AA47" i="131"/>
  <c r="AA61" i="131" s="1"/>
  <c r="AA56" i="131"/>
  <c r="AE33" i="131"/>
  <c r="AA15" i="128"/>
  <c r="AA46" i="130"/>
  <c r="AA56" i="130" s="1"/>
  <c r="AA19" i="130"/>
  <c r="AA29" i="130" s="1"/>
  <c r="AA68" i="130" s="1"/>
  <c r="AA42" i="130"/>
  <c r="AA46" i="128"/>
  <c r="AE72" i="128"/>
  <c r="AE73" i="128"/>
  <c r="AE74" i="128"/>
  <c r="AA146" i="131"/>
  <c r="AB137" i="131"/>
  <c r="AA152" i="131"/>
  <c r="AA192" i="131"/>
  <c r="AA193" i="131"/>
  <c r="AA161" i="131"/>
  <c r="AA23" i="128"/>
  <c r="AA68" i="131"/>
  <c r="AA92" i="131" s="1"/>
  <c r="AA124" i="128"/>
  <c r="AA115" i="128"/>
  <c r="AB82" i="131" l="1"/>
  <c r="AB83" i="131"/>
  <c r="AF83" i="131"/>
  <c r="AF82" i="131"/>
  <c r="AE58" i="131"/>
  <c r="AE57" i="131"/>
  <c r="AB60" i="131"/>
  <c r="AA59" i="130"/>
  <c r="AA72" i="130"/>
  <c r="AF103" i="131" l="1"/>
  <c r="AF104" i="131"/>
  <c r="AB104" i="131"/>
  <c r="AO195" i="131"/>
  <c r="AG195" i="131"/>
  <c r="AF195" i="131"/>
  <c r="AE195" i="131"/>
  <c r="AD195" i="131"/>
  <c r="AC195" i="131"/>
  <c r="AB195" i="131"/>
  <c r="AH388" i="131" l="1"/>
  <c r="AD390" i="131"/>
  <c r="AC390" i="131"/>
  <c r="AB390" i="131"/>
  <c r="Z58" i="130"/>
  <c r="AH109" i="131" l="1"/>
  <c r="AH131" i="131" s="1"/>
  <c r="AH130" i="131" s="1"/>
  <c r="AH108" i="131"/>
  <c r="AH390" i="131"/>
  <c r="BK388" i="131"/>
  <c r="AG390" i="131"/>
  <c r="AF390" i="131"/>
  <c r="BJ389" i="131"/>
  <c r="AH103" i="131" l="1"/>
  <c r="AH104" i="131"/>
  <c r="BK389" i="131"/>
  <c r="AK388" i="131"/>
  <c r="AI388" i="131"/>
  <c r="AJ388" i="131"/>
  <c r="AJ110" i="131" l="1"/>
  <c r="AJ108" i="131"/>
  <c r="AJ111" i="131"/>
  <c r="AI108" i="131"/>
  <c r="AI109" i="131"/>
  <c r="AI131" i="131" s="1"/>
  <c r="AI130" i="131" s="1"/>
  <c r="AI110" i="131"/>
  <c r="AI111" i="131"/>
  <c r="AO388" i="131"/>
  <c r="AK390" i="131"/>
  <c r="AL388" i="131"/>
  <c r="AP388" i="131" s="1"/>
  <c r="BL388" i="131"/>
  <c r="BL389" i="131" s="1"/>
  <c r="AI390" i="131"/>
  <c r="AJ390" i="131"/>
  <c r="AP390" i="131" l="1"/>
  <c r="AJ104" i="131"/>
  <c r="AJ103" i="131"/>
  <c r="AL108" i="131"/>
  <c r="AS388" i="131"/>
  <c r="AW388" i="131" s="1"/>
  <c r="BA388" i="131" s="1"/>
  <c r="AL390" i="131"/>
  <c r="AM388" i="131"/>
  <c r="AQ388" i="131" s="1"/>
  <c r="AN388" i="131"/>
  <c r="AQ390" i="131" l="1"/>
  <c r="AQ391" i="131"/>
  <c r="AN111" i="131"/>
  <c r="AN108" i="131"/>
  <c r="AN129" i="131"/>
  <c r="AN110" i="131"/>
  <c r="AM111" i="131"/>
  <c r="AM108" i="131"/>
  <c r="AM110" i="131"/>
  <c r="AR388" i="131"/>
  <c r="AS390" i="131" s="1"/>
  <c r="AT388" i="131"/>
  <c r="AX388" i="131" s="1"/>
  <c r="AM390" i="131"/>
  <c r="BM388" i="131"/>
  <c r="BM389" i="131" s="1"/>
  <c r="AN390" i="131"/>
  <c r="AO390" i="131"/>
  <c r="Z66" i="130"/>
  <c r="Z65" i="130"/>
  <c r="Z55" i="130"/>
  <c r="Z54" i="130"/>
  <c r="Z53" i="130"/>
  <c r="Z52" i="130"/>
  <c r="Z51" i="130"/>
  <c r="Z50" i="130"/>
  <c r="Z49" i="130"/>
  <c r="Z48" i="130"/>
  <c r="Z47" i="130"/>
  <c r="Z46" i="130"/>
  <c r="Z45" i="130"/>
  <c r="Z41" i="130"/>
  <c r="Z40" i="130"/>
  <c r="Z39" i="130"/>
  <c r="Z38" i="130"/>
  <c r="Z37" i="130"/>
  <c r="Z36" i="130"/>
  <c r="Z35" i="130"/>
  <c r="Z34" i="130"/>
  <c r="Z33" i="130"/>
  <c r="Z32" i="130"/>
  <c r="Z28" i="130"/>
  <c r="Z27" i="130"/>
  <c r="Z26" i="130"/>
  <c r="Z25" i="130"/>
  <c r="Z24" i="130"/>
  <c r="Z23" i="130"/>
  <c r="Z22" i="130"/>
  <c r="Z21" i="130"/>
  <c r="Z20" i="130"/>
  <c r="Z18" i="130"/>
  <c r="Z17" i="130"/>
  <c r="Z16" i="130"/>
  <c r="Z15" i="130"/>
  <c r="Z14" i="130"/>
  <c r="Z13" i="130"/>
  <c r="Z12" i="130"/>
  <c r="Z11" i="130"/>
  <c r="Z10" i="130"/>
  <c r="Z9" i="130"/>
  <c r="Z8" i="130"/>
  <c r="Z7" i="130"/>
  <c r="Z6" i="130"/>
  <c r="Z209" i="131"/>
  <c r="Z192" i="131"/>
  <c r="Z187" i="131"/>
  <c r="Z186" i="131"/>
  <c r="Z150" i="131"/>
  <c r="Z149" i="131"/>
  <c r="Z144" i="131"/>
  <c r="Z143" i="131"/>
  <c r="Z135" i="131"/>
  <c r="AD136" i="131" s="1"/>
  <c r="Z90" i="131"/>
  <c r="Z87" i="131"/>
  <c r="Z32" i="131"/>
  <c r="Z162" i="131"/>
  <c r="Z161" i="131"/>
  <c r="Z156" i="131"/>
  <c r="Z155" i="131"/>
  <c r="Z204" i="131"/>
  <c r="Z203" i="131"/>
  <c r="Z124" i="128"/>
  <c r="Z115" i="128"/>
  <c r="Z48" i="128"/>
  <c r="Z47" i="128"/>
  <c r="Z44" i="128"/>
  <c r="Z37" i="128"/>
  <c r="Z31" i="128"/>
  <c r="Z21" i="128"/>
  <c r="Z66" i="129" s="1"/>
  <c r="Z82" i="130" s="1"/>
  <c r="Z20" i="128"/>
  <c r="Z14" i="128"/>
  <c r="Z13" i="128"/>
  <c r="AA37" i="131" l="1"/>
  <c r="AD35" i="131"/>
  <c r="AG103" i="131"/>
  <c r="AG104" i="131"/>
  <c r="Z47" i="131"/>
  <c r="Z61" i="131" s="1"/>
  <c r="Z56" i="131"/>
  <c r="BJ56" i="131" s="1"/>
  <c r="AN133" i="131"/>
  <c r="AN132" i="131"/>
  <c r="AD33" i="131"/>
  <c r="AV388" i="131"/>
  <c r="AZ388" i="131" s="1"/>
  <c r="BA390" i="131" s="1"/>
  <c r="AX390" i="131"/>
  <c r="BN388" i="131"/>
  <c r="BN389" i="131" s="1"/>
  <c r="AU388" i="131"/>
  <c r="AT390" i="131"/>
  <c r="AR390" i="131"/>
  <c r="Z42" i="130"/>
  <c r="AA36" i="131"/>
  <c r="AA27" i="131"/>
  <c r="Z152" i="131"/>
  <c r="Z146" i="131" s="1"/>
  <c r="AA137" i="131"/>
  <c r="Z158" i="131"/>
  <c r="AD158" i="131" s="1"/>
  <c r="Z56" i="130"/>
  <c r="Z19" i="130"/>
  <c r="Z29" i="130" s="1"/>
  <c r="Z85" i="129"/>
  <c r="Z178" i="131"/>
  <c r="Z166" i="131" s="1"/>
  <c r="Z164" i="131"/>
  <c r="Z68" i="131"/>
  <c r="Z92" i="131" s="1"/>
  <c r="Z23" i="128"/>
  <c r="Z15" i="128"/>
  <c r="Z65" i="129" s="1"/>
  <c r="Z81" i="130" s="1"/>
  <c r="Z46" i="128"/>
  <c r="AA168" i="131" l="1"/>
  <c r="BJ166" i="131"/>
  <c r="BK167" i="131" s="1"/>
  <c r="AD167" i="131"/>
  <c r="BK57" i="131"/>
  <c r="BK58" i="131"/>
  <c r="AA82" i="131"/>
  <c r="AA83" i="131"/>
  <c r="BJ81" i="131"/>
  <c r="AE83" i="131"/>
  <c r="AE82" i="131"/>
  <c r="AD58" i="131"/>
  <c r="AD57" i="131"/>
  <c r="AA60" i="131"/>
  <c r="AW390" i="131"/>
  <c r="AC597" i="131"/>
  <c r="AC600" i="131"/>
  <c r="AB600" i="131"/>
  <c r="AA600" i="131"/>
  <c r="Z600" i="131"/>
  <c r="BO388" i="131"/>
  <c r="BO389" i="131" s="1"/>
  <c r="AY388" i="131"/>
  <c r="BP388" i="131" s="1"/>
  <c r="AV390" i="131"/>
  <c r="AU390" i="131"/>
  <c r="AC570" i="131"/>
  <c r="Z195" i="131"/>
  <c r="Z189" i="131" s="1"/>
  <c r="Z568" i="131"/>
  <c r="Z59" i="130"/>
  <c r="Z68" i="130"/>
  <c r="AP164" i="131" l="1"/>
  <c r="AP160" i="131" s="1"/>
  <c r="AQ162" i="131" s="1"/>
  <c r="AT158" i="131"/>
  <c r="AE103" i="131"/>
  <c r="AE104" i="131"/>
  <c r="AI103" i="131"/>
  <c r="AI104" i="131"/>
  <c r="AA104" i="131"/>
  <c r="BJ102" i="131"/>
  <c r="BJ83" i="131"/>
  <c r="BJ82" i="131"/>
  <c r="BK83" i="131"/>
  <c r="BK82" i="131"/>
  <c r="AD569" i="131"/>
  <c r="AC594" i="131" a="1"/>
  <c r="AC594" i="131" s="1"/>
  <c r="AC602" i="131"/>
  <c r="AC608" i="131" s="1"/>
  <c r="AC612" i="131"/>
  <c r="AG598" i="131"/>
  <c r="BP389" i="131"/>
  <c r="AY390" i="131"/>
  <c r="AZ390" i="131"/>
  <c r="AA71" i="130"/>
  <c r="Z72" i="130"/>
  <c r="AX158" i="131" l="1"/>
  <c r="AX164" i="131" s="1"/>
  <c r="AT164" i="131"/>
  <c r="BJ103" i="131"/>
  <c r="BJ104" i="131"/>
  <c r="BK104" i="131"/>
  <c r="BK103" i="131"/>
  <c r="AC595" i="131"/>
  <c r="BJ595" i="131" s="1"/>
  <c r="BJ594" i="131"/>
  <c r="AC604" i="131"/>
  <c r="AG603" i="131"/>
  <c r="Y191" i="131" l="1"/>
  <c r="Z193" i="131" s="1"/>
  <c r="Y24" i="131" l="1"/>
  <c r="AC25" i="131" s="1"/>
  <c r="Y162" i="131"/>
  <c r="Y161" i="131"/>
  <c r="Y156" i="131"/>
  <c r="Y155" i="131"/>
  <c r="Y158" i="128"/>
  <c r="Y159" i="128" s="1"/>
  <c r="Y56" i="128"/>
  <c r="Y50" i="128"/>
  <c r="Y48" i="128"/>
  <c r="Y47" i="128"/>
  <c r="Y44" i="128"/>
  <c r="Y37" i="128"/>
  <c r="Y31" i="128"/>
  <c r="Y29" i="128"/>
  <c r="AC74" i="128"/>
  <c r="Y21" i="128"/>
  <c r="Y20" i="128"/>
  <c r="AC72" i="128" s="1"/>
  <c r="Y14" i="128"/>
  <c r="Y13" i="128"/>
  <c r="Y124" i="128"/>
  <c r="Y115" i="128"/>
  <c r="U13" i="128"/>
  <c r="Y32" i="131"/>
  <c r="Y135" i="131"/>
  <c r="Z137" i="131" s="1"/>
  <c r="Y22" i="129"/>
  <c r="Z37" i="131" l="1"/>
  <c r="AC35" i="131"/>
  <c r="Y158" i="131"/>
  <c r="AC158" i="131" s="1"/>
  <c r="AG158" i="131" s="1"/>
  <c r="AK158" i="131" s="1"/>
  <c r="Y46" i="128"/>
  <c r="AC73" i="128"/>
  <c r="Y66" i="129"/>
  <c r="Y82" i="130" s="1"/>
  <c r="Z27" i="131"/>
  <c r="Y68" i="131"/>
  <c r="Y92" i="131" s="1"/>
  <c r="Z36" i="131"/>
  <c r="Y164" i="131"/>
  <c r="Y23" i="128"/>
  <c r="X135" i="131" l="1"/>
  <c r="AB136" i="131" s="1"/>
  <c r="Y58" i="130" l="1"/>
  <c r="Y54" i="130"/>
  <c r="Y53" i="130"/>
  <c r="Y52" i="130"/>
  <c r="Y51" i="130"/>
  <c r="Y50" i="130"/>
  <c r="Y49" i="130"/>
  <c r="Y48" i="130"/>
  <c r="Y47" i="130"/>
  <c r="Y46" i="130"/>
  <c r="Y45" i="130"/>
  <c r="Y41" i="130"/>
  <c r="Y40" i="130"/>
  <c r="Y39" i="130"/>
  <c r="Y38" i="130"/>
  <c r="Y37" i="130"/>
  <c r="Y36" i="130"/>
  <c r="Y35" i="130"/>
  <c r="Y34" i="130"/>
  <c r="Y33" i="130"/>
  <c r="Y32" i="130"/>
  <c r="Y28" i="130"/>
  <c r="Y26" i="130"/>
  <c r="Y25" i="130"/>
  <c r="Y24" i="130"/>
  <c r="Y23" i="130"/>
  <c r="Y22" i="130"/>
  <c r="Y21" i="130"/>
  <c r="Y20" i="130"/>
  <c r="Y18" i="130"/>
  <c r="Y17" i="130"/>
  <c r="Y16" i="130"/>
  <c r="Y15" i="130"/>
  <c r="Y14" i="130"/>
  <c r="Y13" i="130"/>
  <c r="Y12" i="130"/>
  <c r="Y11" i="130"/>
  <c r="Y10" i="130"/>
  <c r="Y9" i="130"/>
  <c r="Y8" i="130"/>
  <c r="Y7" i="130"/>
  <c r="Y6" i="130"/>
  <c r="CP56" i="130"/>
  <c r="CP42" i="130"/>
  <c r="CP19" i="130"/>
  <c r="CP29" i="130" s="1"/>
  <c r="Y42" i="130" l="1"/>
  <c r="CP59" i="130"/>
  <c r="X14" i="128" l="1"/>
  <c r="X13" i="128"/>
  <c r="X21" i="128"/>
  <c r="X20" i="128"/>
  <c r="X31" i="128"/>
  <c r="X29" i="128"/>
  <c r="T31" i="128"/>
  <c r="P178" i="131"/>
  <c r="X58" i="130"/>
  <c r="W58" i="130"/>
  <c r="X56" i="128"/>
  <c r="X50" i="128"/>
  <c r="X48" i="128"/>
  <c r="X47" i="128"/>
  <c r="X44" i="128"/>
  <c r="X37" i="128"/>
  <c r="X115" i="128"/>
  <c r="X124" i="128"/>
  <c r="X162" i="131"/>
  <c r="X161" i="131"/>
  <c r="X156" i="131"/>
  <c r="X155" i="131"/>
  <c r="X178" i="131"/>
  <c r="X166" i="131" s="1"/>
  <c r="X187" i="131"/>
  <c r="X186" i="131"/>
  <c r="X193" i="131"/>
  <c r="X192" i="131"/>
  <c r="X222" i="131"/>
  <c r="X220" i="131"/>
  <c r="X219" i="131"/>
  <c r="X216" i="131"/>
  <c r="X214" i="131"/>
  <c r="X213" i="131"/>
  <c r="X90" i="131"/>
  <c r="X87" i="131"/>
  <c r="X152" i="131"/>
  <c r="X150" i="131"/>
  <c r="X149" i="131"/>
  <c r="X32" i="131"/>
  <c r="X45" i="130"/>
  <c r="X46" i="130"/>
  <c r="X47" i="130"/>
  <c r="X48" i="130"/>
  <c r="X49" i="130"/>
  <c r="X50" i="130"/>
  <c r="X51" i="130"/>
  <c r="X52" i="130"/>
  <c r="X53" i="130"/>
  <c r="X54" i="130"/>
  <c r="X32" i="130"/>
  <c r="X33" i="130"/>
  <c r="X34" i="130"/>
  <c r="X35" i="130"/>
  <c r="X36" i="130"/>
  <c r="X37" i="130"/>
  <c r="X38" i="130"/>
  <c r="X39" i="130"/>
  <c r="X40" i="130"/>
  <c r="X41" i="130"/>
  <c r="X6" i="130"/>
  <c r="X7" i="130"/>
  <c r="X8" i="130"/>
  <c r="X9" i="130"/>
  <c r="X10" i="130"/>
  <c r="X11" i="130"/>
  <c r="X12" i="130"/>
  <c r="X13" i="130"/>
  <c r="X14" i="130"/>
  <c r="X15" i="130"/>
  <c r="X16" i="130"/>
  <c r="X17" i="130"/>
  <c r="X18" i="130"/>
  <c r="X20" i="130"/>
  <c r="X21" i="130"/>
  <c r="X22" i="130"/>
  <c r="X23" i="130"/>
  <c r="X24" i="130"/>
  <c r="X25" i="130"/>
  <c r="X26" i="130"/>
  <c r="X28" i="130"/>
  <c r="CO55" i="130"/>
  <c r="Y55" i="130" s="1"/>
  <c r="Y56" i="130" s="1"/>
  <c r="CO27" i="130"/>
  <c r="Y27" i="130" s="1"/>
  <c r="Y19" i="130" s="1"/>
  <c r="Y29" i="130" s="1"/>
  <c r="X22" i="129"/>
  <c r="W29" i="128"/>
  <c r="W20" i="128"/>
  <c r="W13" i="131"/>
  <c r="Y37" i="131" l="1"/>
  <c r="AB35" i="131"/>
  <c r="Y59" i="130"/>
  <c r="X15" i="128"/>
  <c r="X65" i="129" s="1"/>
  <c r="X46" i="128"/>
  <c r="X55" i="130"/>
  <c r="X23" i="128"/>
  <c r="X66" i="129"/>
  <c r="X27" i="130"/>
  <c r="X19" i="130" s="1"/>
  <c r="X68" i="131"/>
  <c r="X92" i="131" s="1"/>
  <c r="Z570" i="131"/>
  <c r="AA570" i="131"/>
  <c r="X568" i="131"/>
  <c r="AM79" i="128" l="1"/>
  <c r="AF79" i="128"/>
  <c r="AG79" i="128" s="1"/>
  <c r="BH39" i="128"/>
  <c r="BG39" i="128"/>
  <c r="BF39" i="128"/>
  <c r="BE39" i="128"/>
  <c r="BD39" i="128"/>
  <c r="B79" i="128"/>
  <c r="C79" i="128"/>
  <c r="D79" i="128"/>
  <c r="E79" i="128"/>
  <c r="I79" i="128"/>
  <c r="H79" i="128"/>
  <c r="G79" i="128"/>
  <c r="F79" i="128"/>
  <c r="M79" i="128"/>
  <c r="L79" i="128"/>
  <c r="K79" i="128"/>
  <c r="J79" i="128"/>
  <c r="Q79" i="128"/>
  <c r="P79" i="128"/>
  <c r="O79" i="128"/>
  <c r="N79" i="128"/>
  <c r="U79" i="128"/>
  <c r="T79" i="128"/>
  <c r="S79" i="128"/>
  <c r="R79" i="128"/>
  <c r="W79" i="128"/>
  <c r="X79" i="128" s="1"/>
  <c r="V79" i="128"/>
  <c r="AN79" i="128" l="1"/>
  <c r="AO79" i="128" s="1"/>
  <c r="BE79" i="128"/>
  <c r="BH79" i="128"/>
  <c r="BF79" i="128"/>
  <c r="BG79" i="128"/>
  <c r="Y79" i="128"/>
  <c r="AI39" i="128"/>
  <c r="BI39" i="128" l="1"/>
  <c r="BI79" i="128" s="1"/>
  <c r="AT39" i="128"/>
  <c r="AX39" i="128" s="1"/>
  <c r="W18" i="131" l="1"/>
  <c r="W55" i="130"/>
  <c r="W54" i="130"/>
  <c r="W53" i="130"/>
  <c r="W52" i="130"/>
  <c r="W51" i="130"/>
  <c r="W50" i="130"/>
  <c r="W49" i="130"/>
  <c r="W48" i="130"/>
  <c r="W47" i="130"/>
  <c r="W46" i="130"/>
  <c r="W45" i="130"/>
  <c r="W41" i="130"/>
  <c r="W40" i="130"/>
  <c r="W39" i="130"/>
  <c r="W38" i="130"/>
  <c r="W37" i="130"/>
  <c r="W36" i="130"/>
  <c r="W35" i="130"/>
  <c r="W34" i="130"/>
  <c r="W33" i="130"/>
  <c r="W32" i="130"/>
  <c r="W28" i="130"/>
  <c r="W27" i="130"/>
  <c r="W26" i="130"/>
  <c r="W25" i="130"/>
  <c r="W24" i="130"/>
  <c r="W23" i="130"/>
  <c r="W22" i="130"/>
  <c r="W21" i="130"/>
  <c r="W20" i="130"/>
  <c r="W18" i="130"/>
  <c r="W17" i="130"/>
  <c r="W16" i="130"/>
  <c r="W15" i="130"/>
  <c r="W14" i="130"/>
  <c r="W13" i="130"/>
  <c r="W12" i="130"/>
  <c r="W11" i="130"/>
  <c r="W10" i="130"/>
  <c r="W9" i="130"/>
  <c r="W8" i="130"/>
  <c r="W7" i="130"/>
  <c r="W6" i="130"/>
  <c r="V55" i="130"/>
  <c r="V54" i="130"/>
  <c r="V53" i="130"/>
  <c r="V52" i="130"/>
  <c r="V51" i="130"/>
  <c r="V50" i="130"/>
  <c r="V49" i="130"/>
  <c r="V48" i="130"/>
  <c r="V47" i="130"/>
  <c r="V46" i="130"/>
  <c r="V45" i="130"/>
  <c r="V41" i="130"/>
  <c r="V40" i="130"/>
  <c r="V39" i="130"/>
  <c r="V38" i="130"/>
  <c r="V37" i="130"/>
  <c r="V36" i="130"/>
  <c r="V35" i="130"/>
  <c r="V34" i="130"/>
  <c r="V33" i="130"/>
  <c r="V32" i="130"/>
  <c r="V28" i="130"/>
  <c r="V27" i="130"/>
  <c r="V26" i="130"/>
  <c r="V25" i="130"/>
  <c r="V24" i="130"/>
  <c r="V23" i="130"/>
  <c r="V22" i="130"/>
  <c r="V21" i="130"/>
  <c r="V20" i="130"/>
  <c r="V18" i="130"/>
  <c r="V17" i="130"/>
  <c r="V16" i="130"/>
  <c r="V15" i="130"/>
  <c r="V14" i="130"/>
  <c r="V13" i="130"/>
  <c r="V12" i="130"/>
  <c r="V11" i="130"/>
  <c r="V10" i="130"/>
  <c r="V9" i="130"/>
  <c r="V8" i="130"/>
  <c r="V7" i="130"/>
  <c r="V6" i="130"/>
  <c r="W50" i="129"/>
  <c r="W22" i="129"/>
  <c r="W6" i="131" l="1"/>
  <c r="W13" i="129"/>
  <c r="W15" i="129" s="1"/>
  <c r="W33" i="129"/>
  <c r="W35" i="129" s="1"/>
  <c r="W42" i="129" s="1"/>
  <c r="W32" i="131"/>
  <c r="W220" i="131"/>
  <c r="W219" i="131"/>
  <c r="W214" i="131"/>
  <c r="W213" i="131"/>
  <c r="W193" i="131"/>
  <c r="W192" i="131"/>
  <c r="W187" i="131"/>
  <c r="W186" i="131"/>
  <c r="W150" i="131"/>
  <c r="W149" i="131"/>
  <c r="W144" i="131"/>
  <c r="W143" i="131"/>
  <c r="W90" i="131"/>
  <c r="W87" i="131"/>
  <c r="W162" i="131"/>
  <c r="W161" i="131"/>
  <c r="W156" i="131"/>
  <c r="W155" i="131"/>
  <c r="W124" i="128"/>
  <c r="W115" i="128"/>
  <c r="W56" i="128"/>
  <c r="W50" i="128"/>
  <c r="W48" i="128"/>
  <c r="W47" i="128"/>
  <c r="W44" i="128"/>
  <c r="W37" i="128"/>
  <c r="W31" i="128"/>
  <c r="W21" i="128"/>
  <c r="W66" i="129" s="1"/>
  <c r="W14" i="128"/>
  <c r="W13" i="128"/>
  <c r="V21" i="128"/>
  <c r="X37" i="131" l="1"/>
  <c r="AA35" i="131"/>
  <c r="W68" i="131"/>
  <c r="W92" i="131" s="1"/>
  <c r="AA33" i="131"/>
  <c r="W46" i="128"/>
  <c r="W23" i="128"/>
  <c r="W38" i="131"/>
  <c r="W15" i="128"/>
  <c r="W65" i="129" s="1"/>
  <c r="Q53" i="129"/>
  <c r="P53" i="129"/>
  <c r="O53" i="129"/>
  <c r="N53" i="129"/>
  <c r="M53" i="129"/>
  <c r="L53" i="129"/>
  <c r="K53" i="129"/>
  <c r="J53" i="129"/>
  <c r="I53" i="129"/>
  <c r="BE53" i="129" s="1"/>
  <c r="H53" i="129"/>
  <c r="G53" i="129"/>
  <c r="F53" i="129"/>
  <c r="E53" i="129"/>
  <c r="D53" i="129"/>
  <c r="D54" i="129" s="1"/>
  <c r="C53" i="129"/>
  <c r="C54" i="129" s="1"/>
  <c r="B53" i="129"/>
  <c r="B54" i="129" s="1"/>
  <c r="V53" i="129"/>
  <c r="U53" i="129"/>
  <c r="T53" i="129"/>
  <c r="S53" i="129"/>
  <c r="R53" i="129"/>
  <c r="I8" i="128"/>
  <c r="I108" i="128" s="1"/>
  <c r="H8" i="128"/>
  <c r="H108" i="128" s="1"/>
  <c r="G8" i="128"/>
  <c r="G108" i="128" s="1"/>
  <c r="F8" i="128"/>
  <c r="F108" i="128" s="1"/>
  <c r="E8" i="128"/>
  <c r="E108" i="128" s="1"/>
  <c r="D8" i="128"/>
  <c r="D108" i="128" s="1"/>
  <c r="C8" i="128"/>
  <c r="C108" i="128" s="1"/>
  <c r="I7" i="128"/>
  <c r="I107" i="128" s="1"/>
  <c r="H7" i="128"/>
  <c r="H107" i="128" s="1"/>
  <c r="G7" i="128"/>
  <c r="G107" i="128" s="1"/>
  <c r="F7" i="128"/>
  <c r="F107" i="128" s="1"/>
  <c r="E7" i="128"/>
  <c r="E107" i="128" s="1"/>
  <c r="D7" i="128"/>
  <c r="D107" i="128" s="1"/>
  <c r="C7" i="128"/>
  <c r="C107" i="128" s="1"/>
  <c r="B8" i="128"/>
  <c r="B108" i="128" s="1"/>
  <c r="B7" i="128"/>
  <c r="B107" i="128" s="1"/>
  <c r="BD469" i="131"/>
  <c r="BD470" i="131" s="1"/>
  <c r="BE469" i="131"/>
  <c r="BE470" i="131" s="1"/>
  <c r="BF469" i="131"/>
  <c r="BF470" i="131" s="1"/>
  <c r="BG469" i="131"/>
  <c r="BG470" i="131" s="1"/>
  <c r="BC469" i="131"/>
  <c r="BC470" i="131" s="1"/>
  <c r="BD467" i="131"/>
  <c r="BE467" i="131"/>
  <c r="BF467" i="131"/>
  <c r="BG467" i="131"/>
  <c r="BC467" i="131"/>
  <c r="BD464" i="131"/>
  <c r="BE464" i="131"/>
  <c r="BF464" i="131"/>
  <c r="BG464" i="131"/>
  <c r="BC464" i="131"/>
  <c r="U518" i="131"/>
  <c r="Q518" i="131"/>
  <c r="Q668" i="131"/>
  <c r="P668" i="131"/>
  <c r="O668" i="131"/>
  <c r="M668" i="131"/>
  <c r="L668" i="131"/>
  <c r="K668" i="131"/>
  <c r="I668" i="131"/>
  <c r="H668" i="131"/>
  <c r="G668" i="131"/>
  <c r="E668" i="131"/>
  <c r="D668" i="131"/>
  <c r="C668" i="131"/>
  <c r="BG668" i="131"/>
  <c r="BF668" i="131"/>
  <c r="BE668" i="131"/>
  <c r="BD668" i="131"/>
  <c r="BC668" i="131"/>
  <c r="D647" i="131"/>
  <c r="C647" i="131"/>
  <c r="P647" i="131"/>
  <c r="O647" i="131"/>
  <c r="L647" i="131"/>
  <c r="K647" i="131"/>
  <c r="H647" i="131"/>
  <c r="G647" i="131"/>
  <c r="Q644" i="131"/>
  <c r="P644" i="131"/>
  <c r="O644" i="131"/>
  <c r="M644" i="131"/>
  <c r="L644" i="131"/>
  <c r="K644" i="131"/>
  <c r="E644" i="131"/>
  <c r="D644" i="131"/>
  <c r="C644" i="131"/>
  <c r="I644" i="131"/>
  <c r="H644" i="131"/>
  <c r="G644" i="131"/>
  <c r="P640" i="131"/>
  <c r="O640" i="131"/>
  <c r="L640" i="131"/>
  <c r="K640" i="131"/>
  <c r="H640" i="131"/>
  <c r="G640" i="131"/>
  <c r="D640" i="131"/>
  <c r="C640" i="131"/>
  <c r="Q637" i="131"/>
  <c r="P637" i="131"/>
  <c r="O637" i="131"/>
  <c r="M637" i="131"/>
  <c r="L637" i="131"/>
  <c r="K637" i="131"/>
  <c r="E637" i="131"/>
  <c r="D637" i="131"/>
  <c r="C637" i="131"/>
  <c r="I637" i="131"/>
  <c r="H637" i="131"/>
  <c r="G637" i="131"/>
  <c r="BH514" i="131"/>
  <c r="BG514" i="131"/>
  <c r="BF514" i="131"/>
  <c r="BE514" i="131"/>
  <c r="BD514" i="131"/>
  <c r="BC514" i="131"/>
  <c r="BE510" i="131"/>
  <c r="BD510" i="131"/>
  <c r="BC510" i="131"/>
  <c r="BE507" i="131"/>
  <c r="BD507" i="131"/>
  <c r="BC507" i="131"/>
  <c r="BE504" i="131"/>
  <c r="BD504" i="131"/>
  <c r="BC504" i="131"/>
  <c r="BH501" i="131"/>
  <c r="BG501" i="131"/>
  <c r="BF501" i="131"/>
  <c r="BE501" i="131"/>
  <c r="BD501" i="131"/>
  <c r="BC501" i="131"/>
  <c r="BH498" i="131"/>
  <c r="BG498" i="131"/>
  <c r="BF498" i="131"/>
  <c r="BE498" i="131"/>
  <c r="BD498" i="131"/>
  <c r="BC498" i="131"/>
  <c r="Q515" i="131"/>
  <c r="P515" i="131"/>
  <c r="O515" i="131"/>
  <c r="N515" i="131"/>
  <c r="M515" i="131"/>
  <c r="L515" i="131"/>
  <c r="K515" i="131"/>
  <c r="J515" i="131"/>
  <c r="I515" i="131"/>
  <c r="H515" i="131"/>
  <c r="G515" i="131"/>
  <c r="F515" i="131"/>
  <c r="E515" i="131"/>
  <c r="D515" i="131"/>
  <c r="C515" i="131"/>
  <c r="B515" i="131"/>
  <c r="Q514" i="131"/>
  <c r="P514" i="131"/>
  <c r="O514" i="131"/>
  <c r="N514" i="131"/>
  <c r="M514" i="131"/>
  <c r="L514" i="131"/>
  <c r="K514" i="131"/>
  <c r="J514" i="131"/>
  <c r="I514" i="131"/>
  <c r="H514" i="131"/>
  <c r="G514" i="131"/>
  <c r="F514" i="131"/>
  <c r="E514" i="131"/>
  <c r="D514" i="131"/>
  <c r="C514" i="131"/>
  <c r="B514" i="131"/>
  <c r="E511" i="131"/>
  <c r="D511" i="131"/>
  <c r="C511" i="131"/>
  <c r="B511" i="131"/>
  <c r="E510" i="131"/>
  <c r="D510" i="131"/>
  <c r="C510" i="131"/>
  <c r="B510" i="131"/>
  <c r="E508" i="131"/>
  <c r="D508" i="131"/>
  <c r="C508" i="131"/>
  <c r="B508" i="131"/>
  <c r="E507" i="131"/>
  <c r="D507" i="131"/>
  <c r="C507" i="131"/>
  <c r="B507" i="131"/>
  <c r="E505" i="131"/>
  <c r="D505" i="131"/>
  <c r="C505" i="131"/>
  <c r="B505" i="131"/>
  <c r="E504" i="131"/>
  <c r="D504" i="131"/>
  <c r="C504" i="131"/>
  <c r="B504" i="131"/>
  <c r="E502" i="131"/>
  <c r="D502" i="131"/>
  <c r="C502" i="131"/>
  <c r="B502" i="131"/>
  <c r="E501" i="131"/>
  <c r="D501" i="131"/>
  <c r="C501" i="131"/>
  <c r="B501" i="131"/>
  <c r="I511" i="131"/>
  <c r="H511" i="131"/>
  <c r="G511" i="131"/>
  <c r="F511" i="131"/>
  <c r="I510" i="131"/>
  <c r="H510" i="131"/>
  <c r="G510" i="131"/>
  <c r="F510" i="131"/>
  <c r="I508" i="131"/>
  <c r="H508" i="131"/>
  <c r="G508" i="131"/>
  <c r="F508" i="131"/>
  <c r="I507" i="131"/>
  <c r="H507" i="131"/>
  <c r="G507" i="131"/>
  <c r="F507" i="131"/>
  <c r="I505" i="131"/>
  <c r="H505" i="131"/>
  <c r="G505" i="131"/>
  <c r="F505" i="131"/>
  <c r="I504" i="131"/>
  <c r="H504" i="131"/>
  <c r="G504" i="131"/>
  <c r="F504" i="131"/>
  <c r="Q502" i="131"/>
  <c r="P502" i="131"/>
  <c r="O502" i="131"/>
  <c r="N502" i="131"/>
  <c r="M502" i="131"/>
  <c r="L502" i="131"/>
  <c r="K502" i="131"/>
  <c r="J502" i="131"/>
  <c r="I502" i="131"/>
  <c r="H502" i="131"/>
  <c r="G502" i="131"/>
  <c r="F502" i="131"/>
  <c r="Q501" i="131"/>
  <c r="P501" i="131"/>
  <c r="O501" i="131"/>
  <c r="N501" i="131"/>
  <c r="M501" i="131"/>
  <c r="L501" i="131"/>
  <c r="K501" i="131"/>
  <c r="J501" i="131"/>
  <c r="I501" i="131"/>
  <c r="H501" i="131"/>
  <c r="G501" i="131"/>
  <c r="F501" i="131"/>
  <c r="E499" i="131"/>
  <c r="D499" i="131"/>
  <c r="C499" i="131"/>
  <c r="B499" i="131"/>
  <c r="E498" i="131"/>
  <c r="D498" i="131"/>
  <c r="C498" i="131"/>
  <c r="B498" i="131"/>
  <c r="Q499" i="131"/>
  <c r="P499" i="131"/>
  <c r="O499" i="131"/>
  <c r="N499" i="131"/>
  <c r="M499" i="131"/>
  <c r="L499" i="131"/>
  <c r="K499" i="131"/>
  <c r="J499" i="131"/>
  <c r="I499" i="131"/>
  <c r="H499" i="131"/>
  <c r="G499" i="131"/>
  <c r="F499" i="131"/>
  <c r="Q498" i="131"/>
  <c r="P498" i="131"/>
  <c r="O498" i="131"/>
  <c r="N498" i="131"/>
  <c r="M498" i="131"/>
  <c r="L498" i="131"/>
  <c r="K498" i="131"/>
  <c r="J498" i="131"/>
  <c r="I498" i="131"/>
  <c r="H498" i="131"/>
  <c r="G498" i="131"/>
  <c r="F498" i="131"/>
  <c r="BH459" i="131"/>
  <c r="BG459" i="131"/>
  <c r="BF459" i="131"/>
  <c r="BE459" i="131"/>
  <c r="BD459" i="131"/>
  <c r="BC459" i="131"/>
  <c r="BE487" i="131"/>
  <c r="BD487" i="131"/>
  <c r="BC487" i="131"/>
  <c r="BE484" i="131"/>
  <c r="BD484" i="131"/>
  <c r="BC484" i="131"/>
  <c r="BE481" i="131"/>
  <c r="BD481" i="131"/>
  <c r="BC481" i="131"/>
  <c r="BE478" i="131"/>
  <c r="BD478" i="131"/>
  <c r="BC478" i="131"/>
  <c r="E488" i="131"/>
  <c r="D488" i="131"/>
  <c r="C488" i="131"/>
  <c r="B488" i="131"/>
  <c r="E487" i="131"/>
  <c r="D487" i="131"/>
  <c r="C487" i="131"/>
  <c r="B487" i="131"/>
  <c r="E485" i="131"/>
  <c r="D485" i="131"/>
  <c r="C485" i="131"/>
  <c r="B485" i="131"/>
  <c r="E484" i="131"/>
  <c r="D484" i="131"/>
  <c r="C484" i="131"/>
  <c r="B484" i="131"/>
  <c r="E482" i="131"/>
  <c r="D482" i="131"/>
  <c r="C482" i="131"/>
  <c r="B482" i="131"/>
  <c r="E481" i="131"/>
  <c r="D481" i="131"/>
  <c r="C481" i="131"/>
  <c r="B481" i="131"/>
  <c r="E479" i="131"/>
  <c r="D479" i="131"/>
  <c r="C479" i="131"/>
  <c r="B479" i="131"/>
  <c r="E478" i="131"/>
  <c r="D478" i="131"/>
  <c r="C478" i="131"/>
  <c r="B478" i="131"/>
  <c r="I488" i="131"/>
  <c r="H488" i="131"/>
  <c r="G488" i="131"/>
  <c r="F488" i="131"/>
  <c r="I487" i="131"/>
  <c r="H487" i="131"/>
  <c r="G487" i="131"/>
  <c r="F487" i="131"/>
  <c r="I485" i="131"/>
  <c r="H485" i="131"/>
  <c r="G485" i="131"/>
  <c r="F485" i="131"/>
  <c r="I484" i="131"/>
  <c r="H484" i="131"/>
  <c r="G484" i="131"/>
  <c r="F484" i="131"/>
  <c r="I482" i="131"/>
  <c r="H482" i="131"/>
  <c r="G482" i="131"/>
  <c r="F482" i="131"/>
  <c r="I481" i="131"/>
  <c r="H481" i="131"/>
  <c r="G481" i="131"/>
  <c r="F481" i="131"/>
  <c r="I479" i="131"/>
  <c r="H479" i="131"/>
  <c r="G479" i="131"/>
  <c r="F479" i="131"/>
  <c r="I478" i="131"/>
  <c r="H478" i="131"/>
  <c r="G478" i="131"/>
  <c r="F478" i="131"/>
  <c r="K54" i="129" l="1"/>
  <c r="R55" i="129"/>
  <c r="S54" i="129"/>
  <c r="P54" i="129"/>
  <c r="B55" i="129"/>
  <c r="M54" i="129"/>
  <c r="BF54" i="129" s="1"/>
  <c r="E55" i="129"/>
  <c r="U54" i="129"/>
  <c r="BH54" i="129" s="1"/>
  <c r="K55" i="129"/>
  <c r="I54" i="129"/>
  <c r="BE54" i="129" s="1"/>
  <c r="G54" i="129"/>
  <c r="E54" i="129"/>
  <c r="BD54" i="129" s="1"/>
  <c r="T55" i="129"/>
  <c r="Q54" i="129"/>
  <c r="BG54" i="129" s="1"/>
  <c r="BD53" i="129"/>
  <c r="J54" i="129"/>
  <c r="J55" i="129"/>
  <c r="BF53" i="129"/>
  <c r="T54" i="129"/>
  <c r="H54" i="129"/>
  <c r="O55" i="129"/>
  <c r="S55" i="129"/>
  <c r="BG53" i="129"/>
  <c r="N55" i="129"/>
  <c r="P55" i="129"/>
  <c r="F55" i="129"/>
  <c r="M55" i="129"/>
  <c r="Q55" i="129"/>
  <c r="U55" i="129"/>
  <c r="G55" i="129"/>
  <c r="C55" i="129"/>
  <c r="N54" i="129"/>
  <c r="R54" i="129"/>
  <c r="V54" i="129"/>
  <c r="H55" i="129"/>
  <c r="D55" i="129"/>
  <c r="L55" i="129"/>
  <c r="BH53" i="129"/>
  <c r="O54" i="129"/>
  <c r="V55" i="129"/>
  <c r="I55" i="129"/>
  <c r="L54" i="129"/>
  <c r="F54" i="129"/>
  <c r="BF471" i="131"/>
  <c r="BE471" i="131"/>
  <c r="BG471" i="131"/>
  <c r="BD471" i="131"/>
  <c r="Q460" i="131"/>
  <c r="P460" i="131"/>
  <c r="O460" i="131"/>
  <c r="N460" i="131"/>
  <c r="Q459" i="131"/>
  <c r="P459" i="131"/>
  <c r="O459" i="131"/>
  <c r="N459" i="131"/>
  <c r="M460" i="131"/>
  <c r="L460" i="131"/>
  <c r="K460" i="131"/>
  <c r="J460" i="131"/>
  <c r="I460" i="131"/>
  <c r="H460" i="131"/>
  <c r="G460" i="131"/>
  <c r="F460" i="131"/>
  <c r="M459" i="131"/>
  <c r="L459" i="131"/>
  <c r="K459" i="131"/>
  <c r="J459" i="131"/>
  <c r="I459" i="131"/>
  <c r="H459" i="131"/>
  <c r="G459" i="131"/>
  <c r="F459" i="131"/>
  <c r="Q461" i="131"/>
  <c r="P461" i="131"/>
  <c r="O461" i="131"/>
  <c r="N461" i="131"/>
  <c r="M461" i="131"/>
  <c r="L461" i="131"/>
  <c r="K461" i="131"/>
  <c r="J461" i="131"/>
  <c r="I461" i="131"/>
  <c r="H461" i="131"/>
  <c r="G461" i="131"/>
  <c r="F461" i="131"/>
  <c r="E461" i="131"/>
  <c r="D461" i="131"/>
  <c r="C461" i="131"/>
  <c r="R458" i="131"/>
  <c r="R460" i="131" s="1"/>
  <c r="E570" i="131"/>
  <c r="D570" i="131"/>
  <c r="C570" i="131"/>
  <c r="B570" i="131"/>
  <c r="I568" i="131"/>
  <c r="H568" i="131"/>
  <c r="E568" i="131"/>
  <c r="E569" i="131" s="1"/>
  <c r="D568" i="131"/>
  <c r="D569" i="131" s="1"/>
  <c r="C568" i="131"/>
  <c r="C569" i="131" s="1"/>
  <c r="B568" i="131"/>
  <c r="B569" i="131" s="1"/>
  <c r="BC565" i="131"/>
  <c r="BG641" i="131"/>
  <c r="BF641" i="131"/>
  <c r="BE641" i="131"/>
  <c r="BD641" i="131"/>
  <c r="BC641" i="131"/>
  <c r="BH641" i="131"/>
  <c r="BL663" i="131"/>
  <c r="BM663" i="131" s="1"/>
  <c r="BN663" i="131" s="1"/>
  <c r="BO663" i="131" s="1"/>
  <c r="BP663" i="131" s="1"/>
  <c r="BG664" i="131"/>
  <c r="BF664" i="131"/>
  <c r="BE664" i="131"/>
  <c r="BD664" i="131"/>
  <c r="BH663" i="131"/>
  <c r="BG663" i="131"/>
  <c r="BF663" i="131"/>
  <c r="BE663" i="131"/>
  <c r="BD663" i="131"/>
  <c r="BC661" i="131"/>
  <c r="BH661" i="131"/>
  <c r="BG661" i="131"/>
  <c r="BF661" i="131"/>
  <c r="BE661" i="131"/>
  <c r="BD661" i="131"/>
  <c r="BH660" i="131"/>
  <c r="BF660" i="131"/>
  <c r="BE660" i="131"/>
  <c r="BD660" i="131"/>
  <c r="BC660" i="131"/>
  <c r="BG660" i="131"/>
  <c r="BC650" i="131"/>
  <c r="BG647" i="131"/>
  <c r="BF647" i="131"/>
  <c r="BE647" i="131"/>
  <c r="BD647" i="131"/>
  <c r="BC647" i="131"/>
  <c r="BH644" i="131"/>
  <c r="BG644" i="131"/>
  <c r="BF644" i="131"/>
  <c r="BE644" i="131"/>
  <c r="BD644" i="131"/>
  <c r="BC644" i="131"/>
  <c r="BH640" i="131"/>
  <c r="BI640" i="131" s="1"/>
  <c r="BG640" i="131"/>
  <c r="BF640" i="131"/>
  <c r="BE640" i="131"/>
  <c r="BD640" i="131"/>
  <c r="BC640" i="131"/>
  <c r="BG636" i="131"/>
  <c r="BF636" i="131"/>
  <c r="BE636" i="131"/>
  <c r="BD636" i="131"/>
  <c r="BC636" i="131"/>
  <c r="BC637" i="131" s="1"/>
  <c r="BD178" i="131"/>
  <c r="BH218" i="131"/>
  <c r="BG218" i="131"/>
  <c r="BF218" i="131"/>
  <c r="BE218" i="131"/>
  <c r="BE219" i="131" s="1"/>
  <c r="BH212" i="131"/>
  <c r="BG212" i="131"/>
  <c r="BF212" i="131"/>
  <c r="BE212" i="131"/>
  <c r="BH191" i="131"/>
  <c r="BG191" i="131"/>
  <c r="BF191" i="131"/>
  <c r="BE191" i="131"/>
  <c r="BE192" i="131" s="1"/>
  <c r="BH185" i="131"/>
  <c r="BG185" i="131"/>
  <c r="BF185" i="131"/>
  <c r="BE185" i="131"/>
  <c r="BI202" i="131"/>
  <c r="BI203" i="131" s="1"/>
  <c r="BD207" i="131"/>
  <c r="BH148" i="131"/>
  <c r="BG148" i="131"/>
  <c r="BF148" i="131"/>
  <c r="BE148" i="131"/>
  <c r="BD148" i="131"/>
  <c r="BH142" i="131"/>
  <c r="BG142" i="131"/>
  <c r="BF142" i="131"/>
  <c r="BE142" i="131"/>
  <c r="BD142" i="131"/>
  <c r="BH86" i="131"/>
  <c r="BG86" i="131"/>
  <c r="BF86" i="131"/>
  <c r="BE86" i="131"/>
  <c r="BD86" i="131"/>
  <c r="BH63" i="131"/>
  <c r="BG63" i="131"/>
  <c r="BF63" i="131"/>
  <c r="BE63" i="131"/>
  <c r="BD63" i="131"/>
  <c r="BD64" i="131" s="1"/>
  <c r="BH160" i="131"/>
  <c r="BG160" i="131"/>
  <c r="BF160" i="131"/>
  <c r="BE160" i="131"/>
  <c r="BE161" i="131" s="1"/>
  <c r="BH154" i="131"/>
  <c r="BG154" i="131"/>
  <c r="BF154" i="131"/>
  <c r="BE154" i="131"/>
  <c r="BD24" i="131"/>
  <c r="V90" i="131"/>
  <c r="V87" i="131"/>
  <c r="V156" i="131"/>
  <c r="V155" i="131"/>
  <c r="V162" i="131"/>
  <c r="V161" i="131"/>
  <c r="V187" i="131"/>
  <c r="V186" i="131"/>
  <c r="V193" i="131"/>
  <c r="V192" i="131"/>
  <c r="V220" i="131"/>
  <c r="V219" i="131"/>
  <c r="V214" i="131"/>
  <c r="V213" i="131"/>
  <c r="V144" i="131"/>
  <c r="V143" i="131"/>
  <c r="AK146" i="131"/>
  <c r="AJ146" i="131"/>
  <c r="AI146" i="131"/>
  <c r="AG146" i="131"/>
  <c r="AF146" i="131"/>
  <c r="AD146" i="131"/>
  <c r="AB146" i="131"/>
  <c r="X146" i="131"/>
  <c r="V150" i="131"/>
  <c r="V149" i="131"/>
  <c r="V135" i="131"/>
  <c r="U135" i="131"/>
  <c r="T135" i="131"/>
  <c r="S135" i="131"/>
  <c r="R135" i="131"/>
  <c r="R146" i="131" s="1"/>
  <c r="Q135" i="131"/>
  <c r="Q152" i="131" s="1"/>
  <c r="P135" i="131"/>
  <c r="P146" i="131" s="1"/>
  <c r="O135" i="131"/>
  <c r="O152" i="131" s="1"/>
  <c r="N135" i="131"/>
  <c r="N146" i="131" s="1"/>
  <c r="M135" i="131"/>
  <c r="L135" i="131"/>
  <c r="L146" i="131" s="1"/>
  <c r="K135" i="131"/>
  <c r="K146" i="131" s="1"/>
  <c r="J135" i="131"/>
  <c r="J146" i="131" s="1"/>
  <c r="I135" i="131"/>
  <c r="H135" i="131"/>
  <c r="H146" i="131" s="1"/>
  <c r="G135" i="131"/>
  <c r="G152" i="131" s="1"/>
  <c r="F135" i="131"/>
  <c r="F146" i="131" s="1"/>
  <c r="E135" i="131"/>
  <c r="D135" i="131"/>
  <c r="D146" i="131" s="1"/>
  <c r="C135" i="131"/>
  <c r="B135" i="131"/>
  <c r="U150" i="131"/>
  <c r="T150" i="131"/>
  <c r="S150" i="131"/>
  <c r="R150" i="131"/>
  <c r="Q150" i="131"/>
  <c r="P150" i="131"/>
  <c r="O150" i="131"/>
  <c r="N150" i="131"/>
  <c r="M150" i="131"/>
  <c r="L150" i="131"/>
  <c r="K150" i="131"/>
  <c r="J150" i="131"/>
  <c r="I150" i="131"/>
  <c r="H150" i="131"/>
  <c r="G150" i="131"/>
  <c r="F150" i="131"/>
  <c r="E150" i="131"/>
  <c r="D150" i="131"/>
  <c r="C150" i="131"/>
  <c r="B150" i="131"/>
  <c r="U149" i="131"/>
  <c r="T149" i="131"/>
  <c r="S149" i="131"/>
  <c r="R149" i="131"/>
  <c r="Q149" i="131"/>
  <c r="P149" i="131"/>
  <c r="O149" i="131"/>
  <c r="N149" i="131"/>
  <c r="M149" i="131"/>
  <c r="L149" i="131"/>
  <c r="K149" i="131"/>
  <c r="J149" i="131"/>
  <c r="I149" i="131"/>
  <c r="H149" i="131"/>
  <c r="G149" i="131"/>
  <c r="F149" i="131"/>
  <c r="E149" i="131"/>
  <c r="D149" i="131"/>
  <c r="C149" i="131"/>
  <c r="B149" i="131"/>
  <c r="U144" i="131"/>
  <c r="T144" i="131"/>
  <c r="S144" i="131"/>
  <c r="R144" i="131"/>
  <c r="Q144" i="131"/>
  <c r="P144" i="131"/>
  <c r="O144" i="131"/>
  <c r="N144" i="131"/>
  <c r="M144" i="131"/>
  <c r="L144" i="131"/>
  <c r="K144" i="131"/>
  <c r="J144" i="131"/>
  <c r="I144" i="131"/>
  <c r="H144" i="131"/>
  <c r="G144" i="131"/>
  <c r="F144" i="131"/>
  <c r="E144" i="131"/>
  <c r="D144" i="131"/>
  <c r="C144" i="131"/>
  <c r="B144" i="131"/>
  <c r="U143" i="131"/>
  <c r="T143" i="131"/>
  <c r="S143" i="131"/>
  <c r="R143" i="131"/>
  <c r="Q143" i="131"/>
  <c r="P143" i="131"/>
  <c r="O143" i="131"/>
  <c r="N143" i="131"/>
  <c r="M143" i="131"/>
  <c r="L143" i="131"/>
  <c r="K143" i="131"/>
  <c r="J143" i="131"/>
  <c r="I143" i="131"/>
  <c r="H143" i="131"/>
  <c r="G143" i="131"/>
  <c r="F143" i="131"/>
  <c r="E143" i="131"/>
  <c r="D143" i="131"/>
  <c r="C143" i="131"/>
  <c r="B143" i="131"/>
  <c r="V32" i="131"/>
  <c r="U32" i="131"/>
  <c r="Y35" i="131" s="1"/>
  <c r="T32" i="131"/>
  <c r="X35" i="131" s="1"/>
  <c r="S32" i="131"/>
  <c r="W35" i="131" s="1"/>
  <c r="R32" i="131"/>
  <c r="Q32" i="131"/>
  <c r="P32" i="131"/>
  <c r="O32" i="131"/>
  <c r="N32" i="131"/>
  <c r="M32" i="131"/>
  <c r="L32" i="131"/>
  <c r="K32" i="131"/>
  <c r="J32" i="131"/>
  <c r="I32" i="131"/>
  <c r="H32" i="131"/>
  <c r="G32" i="131"/>
  <c r="F32" i="131"/>
  <c r="E32" i="131"/>
  <c r="D32" i="131"/>
  <c r="C32" i="131"/>
  <c r="B32" i="131"/>
  <c r="U90" i="131"/>
  <c r="T90" i="131"/>
  <c r="S90" i="131"/>
  <c r="R90" i="131"/>
  <c r="Q90" i="131"/>
  <c r="P90" i="131"/>
  <c r="O90" i="131"/>
  <c r="N90" i="131"/>
  <c r="M90" i="131"/>
  <c r="L90" i="131"/>
  <c r="K90" i="131"/>
  <c r="J90" i="131"/>
  <c r="I90" i="131"/>
  <c r="H90" i="131"/>
  <c r="G90" i="131"/>
  <c r="F90" i="131"/>
  <c r="E90" i="131"/>
  <c r="D90" i="131"/>
  <c r="C90" i="131"/>
  <c r="B90" i="131"/>
  <c r="U87" i="131"/>
  <c r="T87" i="131"/>
  <c r="S87" i="131"/>
  <c r="R87" i="131"/>
  <c r="Q87" i="131"/>
  <c r="P87" i="131"/>
  <c r="O87" i="131"/>
  <c r="N87" i="131"/>
  <c r="M87" i="131"/>
  <c r="L87" i="131"/>
  <c r="K87" i="131"/>
  <c r="J87" i="131"/>
  <c r="I87" i="131"/>
  <c r="H87" i="131"/>
  <c r="G87" i="131"/>
  <c r="F87" i="131"/>
  <c r="E87" i="131"/>
  <c r="D87" i="131"/>
  <c r="C87" i="131"/>
  <c r="B87" i="131"/>
  <c r="F178" i="131"/>
  <c r="G178" i="131"/>
  <c r="H179" i="131"/>
  <c r="I179" i="131"/>
  <c r="J178" i="131"/>
  <c r="K178" i="131"/>
  <c r="L178" i="131"/>
  <c r="M178" i="131"/>
  <c r="N178" i="131"/>
  <c r="O178" i="131"/>
  <c r="P195" i="131"/>
  <c r="Q178" i="131"/>
  <c r="R178" i="131"/>
  <c r="S178" i="131"/>
  <c r="T178" i="131"/>
  <c r="U178" i="131"/>
  <c r="V178" i="131"/>
  <c r="B179" i="131"/>
  <c r="C179" i="131"/>
  <c r="D179" i="131"/>
  <c r="E179" i="131"/>
  <c r="B180" i="131"/>
  <c r="C180" i="131"/>
  <c r="D180" i="131"/>
  <c r="E180" i="131"/>
  <c r="Y204" i="131"/>
  <c r="X204" i="131"/>
  <c r="W204" i="131"/>
  <c r="Y203" i="131"/>
  <c r="X203" i="131"/>
  <c r="W203" i="131"/>
  <c r="U18" i="131"/>
  <c r="U8" i="128" s="1"/>
  <c r="U108" i="128" s="1"/>
  <c r="T18" i="131"/>
  <c r="T8" i="128" s="1"/>
  <c r="T108" i="128" s="1"/>
  <c r="S18" i="131"/>
  <c r="S8" i="128" s="1"/>
  <c r="S108" i="128" s="1"/>
  <c r="R18" i="131"/>
  <c r="R8" i="128" s="1"/>
  <c r="R108" i="128" s="1"/>
  <c r="Q18" i="131"/>
  <c r="Q8" i="128" s="1"/>
  <c r="Q108" i="128" s="1"/>
  <c r="P18" i="131"/>
  <c r="P8" i="128" s="1"/>
  <c r="P108" i="128" s="1"/>
  <c r="O18" i="131"/>
  <c r="O8" i="128" s="1"/>
  <c r="O108" i="128" s="1"/>
  <c r="N18" i="131"/>
  <c r="N8" i="128" s="1"/>
  <c r="N108" i="128" s="1"/>
  <c r="M18" i="131"/>
  <c r="M8" i="128" s="1"/>
  <c r="M108" i="128" s="1"/>
  <c r="L18" i="131"/>
  <c r="K18" i="131"/>
  <c r="K8" i="128" s="1"/>
  <c r="K108" i="128" s="1"/>
  <c r="J18" i="131"/>
  <c r="V18" i="131"/>
  <c r="V8" i="128" s="1"/>
  <c r="V108" i="128" s="1"/>
  <c r="M13" i="131"/>
  <c r="M7" i="128" s="1"/>
  <c r="M107" i="128" s="1"/>
  <c r="L13" i="131"/>
  <c r="L7" i="128" s="1"/>
  <c r="L107" i="128" s="1"/>
  <c r="K13" i="131"/>
  <c r="J13" i="131"/>
  <c r="J7" i="128" s="1"/>
  <c r="J107" i="128" s="1"/>
  <c r="Q13" i="131"/>
  <c r="Q7" i="128" s="1"/>
  <c r="Q107" i="128" s="1"/>
  <c r="P13" i="131"/>
  <c r="P7" i="128" s="1"/>
  <c r="P107" i="128" s="1"/>
  <c r="O13" i="131"/>
  <c r="O7" i="128" s="1"/>
  <c r="O107" i="128" s="1"/>
  <c r="N13" i="131"/>
  <c r="N7" i="128" s="1"/>
  <c r="N107" i="128" s="1"/>
  <c r="U13" i="131"/>
  <c r="U7" i="128" s="1"/>
  <c r="U107" i="128" s="1"/>
  <c r="T13" i="131"/>
  <c r="T7" i="128" s="1"/>
  <c r="T107" i="128" s="1"/>
  <c r="S13" i="131"/>
  <c r="S7" i="128" s="1"/>
  <c r="S107" i="128" s="1"/>
  <c r="R13" i="131"/>
  <c r="R7" i="128" s="1"/>
  <c r="R107" i="128" s="1"/>
  <c r="V13" i="131"/>
  <c r="V7" i="128" s="1"/>
  <c r="V107" i="128" s="1"/>
  <c r="U220" i="131"/>
  <c r="T220" i="131"/>
  <c r="S220" i="131"/>
  <c r="R220" i="131"/>
  <c r="Q220" i="131"/>
  <c r="P220" i="131"/>
  <c r="O220" i="131"/>
  <c r="N220" i="131"/>
  <c r="M220" i="131"/>
  <c r="L220" i="131"/>
  <c r="K220" i="131"/>
  <c r="J220" i="131"/>
  <c r="I220" i="131"/>
  <c r="H220" i="131"/>
  <c r="G220" i="131"/>
  <c r="F220" i="131"/>
  <c r="U219" i="131"/>
  <c r="T219" i="131"/>
  <c r="S219" i="131"/>
  <c r="R219" i="131"/>
  <c r="Q219" i="131"/>
  <c r="P219" i="131"/>
  <c r="O219" i="131"/>
  <c r="N219" i="131"/>
  <c r="M219" i="131"/>
  <c r="L219" i="131"/>
  <c r="K219" i="131"/>
  <c r="J219" i="131"/>
  <c r="I219" i="131"/>
  <c r="H219" i="131"/>
  <c r="G219" i="131"/>
  <c r="F219" i="131"/>
  <c r="U214" i="131"/>
  <c r="T214" i="131"/>
  <c r="S214" i="131"/>
  <c r="R214" i="131"/>
  <c r="Q214" i="131"/>
  <c r="P214" i="131"/>
  <c r="O214" i="131"/>
  <c r="N214" i="131"/>
  <c r="M214" i="131"/>
  <c r="L214" i="131"/>
  <c r="K214" i="131"/>
  <c r="J214" i="131"/>
  <c r="I214" i="131"/>
  <c r="H214" i="131"/>
  <c r="G214" i="131"/>
  <c r="F214" i="131"/>
  <c r="U213" i="131"/>
  <c r="T213" i="131"/>
  <c r="S213" i="131"/>
  <c r="R213" i="131"/>
  <c r="Q213" i="131"/>
  <c r="P213" i="131"/>
  <c r="O213" i="131"/>
  <c r="N213" i="131"/>
  <c r="M213" i="131"/>
  <c r="L213" i="131"/>
  <c r="K213" i="131"/>
  <c r="J213" i="131"/>
  <c r="I213" i="131"/>
  <c r="H213" i="131"/>
  <c r="G213" i="131"/>
  <c r="F213" i="131"/>
  <c r="E209" i="131"/>
  <c r="D209" i="131"/>
  <c r="C209" i="131"/>
  <c r="B209" i="131"/>
  <c r="E208" i="131"/>
  <c r="D208" i="131"/>
  <c r="C208" i="131"/>
  <c r="B208" i="131"/>
  <c r="V207" i="131"/>
  <c r="Z208" i="131" s="1"/>
  <c r="U207" i="131"/>
  <c r="Y208" i="131" s="1"/>
  <c r="T207" i="131"/>
  <c r="S207" i="131"/>
  <c r="S216" i="131" s="1"/>
  <c r="R207" i="131"/>
  <c r="R216" i="131" s="1"/>
  <c r="Q207" i="131"/>
  <c r="Q216" i="131" s="1"/>
  <c r="P207" i="131"/>
  <c r="O207" i="131"/>
  <c r="O222" i="131" s="1"/>
  <c r="N207" i="131"/>
  <c r="N216" i="131" s="1"/>
  <c r="M207" i="131"/>
  <c r="M222" i="131" s="1"/>
  <c r="L207" i="131"/>
  <c r="L222" i="131" s="1"/>
  <c r="K207" i="131"/>
  <c r="K216" i="131" s="1"/>
  <c r="J207" i="131"/>
  <c r="J216" i="131" s="1"/>
  <c r="I207" i="131"/>
  <c r="H207" i="131"/>
  <c r="G207" i="131"/>
  <c r="G208" i="131" s="1"/>
  <c r="F207" i="131"/>
  <c r="F216" i="131" s="1"/>
  <c r="U193" i="131"/>
  <c r="T193" i="131"/>
  <c r="S193" i="131"/>
  <c r="R193" i="131"/>
  <c r="Q193" i="131"/>
  <c r="P193" i="131"/>
  <c r="O193" i="131"/>
  <c r="N193" i="131"/>
  <c r="M193" i="131"/>
  <c r="L193" i="131"/>
  <c r="K193" i="131"/>
  <c r="J193" i="131"/>
  <c r="I193" i="131"/>
  <c r="H193" i="131"/>
  <c r="G193" i="131"/>
  <c r="F193" i="131"/>
  <c r="U192" i="131"/>
  <c r="T192" i="131"/>
  <c r="S192" i="131"/>
  <c r="R192" i="131"/>
  <c r="Q192" i="131"/>
  <c r="P192" i="131"/>
  <c r="O192" i="131"/>
  <c r="N192" i="131"/>
  <c r="M192" i="131"/>
  <c r="L192" i="131"/>
  <c r="K192" i="131"/>
  <c r="J192" i="131"/>
  <c r="I192" i="131"/>
  <c r="H192" i="131"/>
  <c r="G192" i="131"/>
  <c r="F192" i="131"/>
  <c r="U187" i="131"/>
  <c r="T187" i="131"/>
  <c r="S187" i="131"/>
  <c r="R187" i="131"/>
  <c r="Q187" i="131"/>
  <c r="P187" i="131"/>
  <c r="O187" i="131"/>
  <c r="N187" i="131"/>
  <c r="M187" i="131"/>
  <c r="L187" i="131"/>
  <c r="K187" i="131"/>
  <c r="J187" i="131"/>
  <c r="I187" i="131"/>
  <c r="H187" i="131"/>
  <c r="G187" i="131"/>
  <c r="F187" i="131"/>
  <c r="U186" i="131"/>
  <c r="T186" i="131"/>
  <c r="S186" i="131"/>
  <c r="R186" i="131"/>
  <c r="Q186" i="131"/>
  <c r="P186" i="131"/>
  <c r="O186" i="131"/>
  <c r="N186" i="131"/>
  <c r="M186" i="131"/>
  <c r="L186" i="131"/>
  <c r="K186" i="131"/>
  <c r="J186" i="131"/>
  <c r="I186" i="131"/>
  <c r="H186" i="131"/>
  <c r="G186" i="131"/>
  <c r="F186" i="131"/>
  <c r="E27" i="131"/>
  <c r="D27" i="131"/>
  <c r="C27" i="131"/>
  <c r="B27" i="131"/>
  <c r="E25" i="131"/>
  <c r="D25" i="131"/>
  <c r="C25" i="131"/>
  <c r="B25" i="131"/>
  <c r="U162" i="131"/>
  <c r="T162" i="131"/>
  <c r="S162" i="131"/>
  <c r="R162" i="131"/>
  <c r="Q162" i="131"/>
  <c r="P162" i="131"/>
  <c r="O162" i="131"/>
  <c r="N162" i="131"/>
  <c r="M162" i="131"/>
  <c r="L162" i="131"/>
  <c r="K162" i="131"/>
  <c r="J162" i="131"/>
  <c r="I162" i="131"/>
  <c r="H162" i="131"/>
  <c r="G162" i="131"/>
  <c r="F162" i="131"/>
  <c r="U161" i="131"/>
  <c r="T161" i="131"/>
  <c r="S161" i="131"/>
  <c r="R161" i="131"/>
  <c r="Q161" i="131"/>
  <c r="P161" i="131"/>
  <c r="O161" i="131"/>
  <c r="N161" i="131"/>
  <c r="M161" i="131"/>
  <c r="L161" i="131"/>
  <c r="K161" i="131"/>
  <c r="J161" i="131"/>
  <c r="I161" i="131"/>
  <c r="H161" i="131"/>
  <c r="G161" i="131"/>
  <c r="F161" i="131"/>
  <c r="V24" i="131"/>
  <c r="U24" i="131"/>
  <c r="T24" i="131"/>
  <c r="T158" i="131" s="1"/>
  <c r="S24" i="131"/>
  <c r="R24" i="131"/>
  <c r="R158" i="131" s="1"/>
  <c r="Q24" i="131"/>
  <c r="Q164" i="131" s="1"/>
  <c r="P24" i="131"/>
  <c r="P164" i="131" s="1"/>
  <c r="O24" i="131"/>
  <c r="O158" i="131" s="1"/>
  <c r="N24" i="131"/>
  <c r="N158" i="131" s="1"/>
  <c r="M24" i="131"/>
  <c r="M164" i="131" s="1"/>
  <c r="L24" i="131"/>
  <c r="L158" i="131" s="1"/>
  <c r="K24" i="131"/>
  <c r="K158" i="131" s="1"/>
  <c r="J24" i="131"/>
  <c r="J158" i="131" s="1"/>
  <c r="I24" i="131"/>
  <c r="I25" i="131" s="1"/>
  <c r="H24" i="131"/>
  <c r="H25" i="131" s="1"/>
  <c r="G24" i="131"/>
  <c r="G158" i="131" s="1"/>
  <c r="F24" i="131"/>
  <c r="F158" i="131" s="1"/>
  <c r="U156" i="131"/>
  <c r="T156" i="131"/>
  <c r="S156" i="131"/>
  <c r="R156" i="131"/>
  <c r="Q156" i="131"/>
  <c r="P156" i="131"/>
  <c r="O156" i="131"/>
  <c r="N156" i="131"/>
  <c r="M156" i="131"/>
  <c r="L156" i="131"/>
  <c r="K156" i="131"/>
  <c r="J156" i="131"/>
  <c r="I156" i="131"/>
  <c r="H156" i="131"/>
  <c r="G156" i="131"/>
  <c r="F156" i="131"/>
  <c r="U155" i="131"/>
  <c r="T155" i="131"/>
  <c r="S155" i="131"/>
  <c r="R155" i="131"/>
  <c r="Q155" i="131"/>
  <c r="P155" i="131"/>
  <c r="O155" i="131"/>
  <c r="N155" i="131"/>
  <c r="M155" i="131"/>
  <c r="L155" i="131"/>
  <c r="K155" i="131"/>
  <c r="J155" i="131"/>
  <c r="I155" i="131"/>
  <c r="H155" i="131"/>
  <c r="G155" i="131"/>
  <c r="F155" i="131"/>
  <c r="BM4" i="131"/>
  <c r="BL4" i="131"/>
  <c r="BK4" i="131"/>
  <c r="BJ4" i="131"/>
  <c r="BI4" i="131"/>
  <c r="BH4" i="131"/>
  <c r="BG4" i="131"/>
  <c r="BF4" i="131"/>
  <c r="BE4" i="131"/>
  <c r="BD4" i="131"/>
  <c r="BC4" i="131"/>
  <c r="F3" i="131"/>
  <c r="F254" i="131" s="1"/>
  <c r="F226" i="131" s="1"/>
  <c r="J3" i="131"/>
  <c r="J254" i="131" s="1"/>
  <c r="J226" i="131" s="1"/>
  <c r="N3" i="131"/>
  <c r="N254" i="131" s="1"/>
  <c r="N226" i="131" s="1"/>
  <c r="R3" i="131"/>
  <c r="R254" i="131" s="1"/>
  <c r="R226" i="131" s="1"/>
  <c r="V3" i="131"/>
  <c r="V254" i="131" s="1"/>
  <c r="V226" i="131" s="1"/>
  <c r="V554" i="131" s="1"/>
  <c r="Z3" i="131"/>
  <c r="Z254" i="131" s="1"/>
  <c r="Z226" i="131" s="1"/>
  <c r="Z554" i="131" s="1"/>
  <c r="AD3" i="131"/>
  <c r="AD254" i="131" s="1"/>
  <c r="AD226" i="131" s="1"/>
  <c r="AD554" i="131" s="1"/>
  <c r="AH3" i="131"/>
  <c r="AH254" i="131" s="1"/>
  <c r="AH226" i="131" s="1"/>
  <c r="AH554" i="131" s="1"/>
  <c r="AL3" i="131"/>
  <c r="AL254" i="131" s="1"/>
  <c r="AL226" i="131" s="1"/>
  <c r="AL554" i="131" s="1"/>
  <c r="B3" i="131"/>
  <c r="B254" i="131" s="1"/>
  <c r="B226" i="131" s="1"/>
  <c r="AO4" i="131"/>
  <c r="AN4" i="131"/>
  <c r="AM4" i="131"/>
  <c r="AL4" i="131"/>
  <c r="AK4" i="131"/>
  <c r="AJ4" i="131"/>
  <c r="AI4" i="131"/>
  <c r="AH4" i="131"/>
  <c r="AG4" i="131"/>
  <c r="AF4" i="131"/>
  <c r="AE4" i="131"/>
  <c r="AD4" i="131"/>
  <c r="AC4" i="131"/>
  <c r="AB4" i="131"/>
  <c r="AA4" i="131"/>
  <c r="Z4" i="131"/>
  <c r="Y4" i="131"/>
  <c r="X4" i="131"/>
  <c r="W4" i="131"/>
  <c r="V4" i="131"/>
  <c r="U4" i="131"/>
  <c r="U255" i="131" s="1"/>
  <c r="U227" i="131" s="1"/>
  <c r="T4" i="131"/>
  <c r="T255" i="131" s="1"/>
  <c r="T227" i="131" s="1"/>
  <c r="S4" i="131"/>
  <c r="S255" i="131" s="1"/>
  <c r="S227" i="131" s="1"/>
  <c r="R4" i="131"/>
  <c r="R255" i="131" s="1"/>
  <c r="R227" i="131" s="1"/>
  <c r="Q4" i="131"/>
  <c r="Q255" i="131" s="1"/>
  <c r="Q227" i="131" s="1"/>
  <c r="P4" i="131"/>
  <c r="P255" i="131" s="1"/>
  <c r="P227" i="131" s="1"/>
  <c r="O4" i="131"/>
  <c r="O255" i="131" s="1"/>
  <c r="O227" i="131" s="1"/>
  <c r="N4" i="131"/>
  <c r="N255" i="131" s="1"/>
  <c r="N227" i="131" s="1"/>
  <c r="M4" i="131"/>
  <c r="M255" i="131" s="1"/>
  <c r="M227" i="131" s="1"/>
  <c r="L4" i="131"/>
  <c r="L255" i="131" s="1"/>
  <c r="L227" i="131" s="1"/>
  <c r="K4" i="131"/>
  <c r="K255" i="131" s="1"/>
  <c r="K227" i="131" s="1"/>
  <c r="J4" i="131"/>
  <c r="J255" i="131" s="1"/>
  <c r="J227" i="131" s="1"/>
  <c r="I4" i="131"/>
  <c r="I255" i="131" s="1"/>
  <c r="I227" i="131" s="1"/>
  <c r="H4" i="131"/>
  <c r="H255" i="131" s="1"/>
  <c r="H227" i="131" s="1"/>
  <c r="G4" i="131"/>
  <c r="G255" i="131" s="1"/>
  <c r="G227" i="131" s="1"/>
  <c r="F4" i="131"/>
  <c r="F255" i="131" s="1"/>
  <c r="F227" i="131" s="1"/>
  <c r="E4" i="131"/>
  <c r="E255" i="131" s="1"/>
  <c r="E227" i="131" s="1"/>
  <c r="D4" i="131"/>
  <c r="D255" i="131" s="1"/>
  <c r="D227" i="131" s="1"/>
  <c r="C4" i="131"/>
  <c r="C255" i="131" s="1"/>
  <c r="C227" i="131" s="1"/>
  <c r="B4" i="131"/>
  <c r="B255" i="131" s="1"/>
  <c r="B227" i="131" s="1"/>
  <c r="A1" i="131"/>
  <c r="I20" i="131"/>
  <c r="H20" i="131"/>
  <c r="G20" i="131"/>
  <c r="F20" i="131"/>
  <c r="E20" i="131"/>
  <c r="D20" i="131"/>
  <c r="C20" i="131"/>
  <c r="B20" i="131"/>
  <c r="I19" i="131"/>
  <c r="H19" i="131"/>
  <c r="G19" i="131"/>
  <c r="F19" i="131"/>
  <c r="E19" i="131"/>
  <c r="D19" i="131"/>
  <c r="C19" i="131"/>
  <c r="B19" i="131"/>
  <c r="BE18" i="131"/>
  <c r="BD18" i="131"/>
  <c r="F15" i="131"/>
  <c r="E15" i="131"/>
  <c r="D15" i="131"/>
  <c r="C15" i="131"/>
  <c r="B15" i="131"/>
  <c r="I14" i="131"/>
  <c r="F14" i="131"/>
  <c r="E14" i="131"/>
  <c r="D14" i="131"/>
  <c r="C14" i="131"/>
  <c r="B14" i="131"/>
  <c r="BE13" i="131"/>
  <c r="BD13" i="131"/>
  <c r="I6" i="131"/>
  <c r="F6" i="131"/>
  <c r="E6" i="131"/>
  <c r="D6" i="131"/>
  <c r="C6" i="131"/>
  <c r="C9" i="128" s="1"/>
  <c r="B6" i="131"/>
  <c r="BE255" i="131" l="1"/>
  <c r="BE227" i="131" s="1"/>
  <c r="BE555" i="131"/>
  <c r="BF255" i="131"/>
  <c r="BF227" i="131" s="1"/>
  <c r="BF555" i="131"/>
  <c r="BG255" i="131"/>
  <c r="BG227" i="131" s="1"/>
  <c r="BG555" i="131"/>
  <c r="BH255" i="131"/>
  <c r="BH227" i="131" s="1"/>
  <c r="BH555" i="131"/>
  <c r="BI255" i="131"/>
  <c r="BI227" i="131" s="1"/>
  <c r="BI555" i="131"/>
  <c r="BJ255" i="131"/>
  <c r="BJ227" i="131" s="1"/>
  <c r="BJ555" i="131"/>
  <c r="BC255" i="131"/>
  <c r="BC227" i="131" s="1"/>
  <c r="BC555" i="131"/>
  <c r="BD255" i="131"/>
  <c r="BD227" i="131" s="1"/>
  <c r="BD555" i="131"/>
  <c r="N166" i="131"/>
  <c r="L166" i="131"/>
  <c r="K189" i="131"/>
  <c r="K166" i="131"/>
  <c r="P216" i="131"/>
  <c r="P166" i="131"/>
  <c r="V166" i="131"/>
  <c r="J166" i="131"/>
  <c r="U166" i="131"/>
  <c r="B169" i="131"/>
  <c r="T166" i="131"/>
  <c r="S166" i="131"/>
  <c r="G179" i="131"/>
  <c r="G166" i="131"/>
  <c r="H208" i="131"/>
  <c r="H166" i="131"/>
  <c r="R166" i="131"/>
  <c r="F166" i="131"/>
  <c r="F169" i="131" s="1"/>
  <c r="M166" i="131"/>
  <c r="C169" i="131"/>
  <c r="E169" i="131"/>
  <c r="I216" i="131"/>
  <c r="I166" i="131"/>
  <c r="I169" i="131" s="1"/>
  <c r="Q166" i="131"/>
  <c r="O166" i="131"/>
  <c r="D9" i="128"/>
  <c r="D109" i="128" s="1"/>
  <c r="D169" i="131"/>
  <c r="I9" i="128"/>
  <c r="BK255" i="131"/>
  <c r="BK227" i="131" s="1"/>
  <c r="BK555" i="131"/>
  <c r="BL255" i="131"/>
  <c r="BL227" i="131" s="1"/>
  <c r="BL555" i="131"/>
  <c r="BM255" i="131"/>
  <c r="BM227" i="131" s="1"/>
  <c r="BM555" i="131"/>
  <c r="BE64" i="131"/>
  <c r="BH64" i="131"/>
  <c r="BF64" i="131"/>
  <c r="BG64" i="131"/>
  <c r="V37" i="131"/>
  <c r="W37" i="131"/>
  <c r="V35" i="131"/>
  <c r="Z35" i="131"/>
  <c r="AL255" i="131"/>
  <c r="AL227" i="131" s="1"/>
  <c r="AL555" i="131"/>
  <c r="AB255" i="131"/>
  <c r="AB227" i="131" s="1"/>
  <c r="AB555" i="131"/>
  <c r="AN255" i="131"/>
  <c r="AN227" i="131" s="1"/>
  <c r="AN555" i="131"/>
  <c r="Y255" i="131"/>
  <c r="Y227" i="131" s="1"/>
  <c r="Y555" i="131"/>
  <c r="AM255" i="131"/>
  <c r="AM227" i="131" s="1"/>
  <c r="AM555" i="131"/>
  <c r="AO255" i="131"/>
  <c r="AO227" i="131" s="1"/>
  <c r="AO555" i="131"/>
  <c r="AD255" i="131"/>
  <c r="AD227" i="131" s="1"/>
  <c r="AD555" i="131"/>
  <c r="AF255" i="131"/>
  <c r="AF227" i="131" s="1"/>
  <c r="AF555" i="131"/>
  <c r="AK255" i="131"/>
  <c r="AK227" i="131" s="1"/>
  <c r="AK555" i="131"/>
  <c r="AE255" i="131"/>
  <c r="AE227" i="131" s="1"/>
  <c r="AE555" i="131"/>
  <c r="AG255" i="131"/>
  <c r="AG227" i="131" s="1"/>
  <c r="AG555" i="131"/>
  <c r="Z255" i="131"/>
  <c r="Z227" i="131" s="1"/>
  <c r="Z555" i="131"/>
  <c r="AA255" i="131"/>
  <c r="AA227" i="131" s="1"/>
  <c r="AA555" i="131"/>
  <c r="V255" i="131"/>
  <c r="V227" i="131" s="1"/>
  <c r="V555" i="131"/>
  <c r="W255" i="131"/>
  <c r="W227" i="131" s="1"/>
  <c r="W555" i="131"/>
  <c r="AI255" i="131"/>
  <c r="AI227" i="131" s="1"/>
  <c r="AI555" i="131"/>
  <c r="AC255" i="131"/>
  <c r="AC227" i="131" s="1"/>
  <c r="AC555" i="131"/>
  <c r="AH255" i="131"/>
  <c r="AH227" i="131" s="1"/>
  <c r="AH555" i="131"/>
  <c r="X255" i="131"/>
  <c r="X227" i="131" s="1"/>
  <c r="X555" i="131"/>
  <c r="AJ255" i="131"/>
  <c r="AJ227" i="131" s="1"/>
  <c r="AJ555" i="131"/>
  <c r="P438" i="131"/>
  <c r="P439" i="131"/>
  <c r="AB441" i="131"/>
  <c r="AB438" i="131"/>
  <c r="AB439" i="131"/>
  <c r="AB440" i="131"/>
  <c r="S439" i="131"/>
  <c r="S440" i="131"/>
  <c r="S441" i="131"/>
  <c r="S438" i="131"/>
  <c r="AE439" i="131"/>
  <c r="AE440" i="131"/>
  <c r="AE441" i="131"/>
  <c r="AE438" i="131"/>
  <c r="T441" i="131"/>
  <c r="T438" i="131"/>
  <c r="T440" i="131"/>
  <c r="T439" i="131"/>
  <c r="AF441" i="131"/>
  <c r="AF438" i="131"/>
  <c r="AF440" i="131"/>
  <c r="AF439" i="131"/>
  <c r="Q439" i="131"/>
  <c r="Q438" i="131"/>
  <c r="U438" i="131"/>
  <c r="U439" i="131"/>
  <c r="U441" i="131"/>
  <c r="U440" i="131"/>
  <c r="AG438" i="131"/>
  <c r="AG439" i="131"/>
  <c r="AG440" i="131"/>
  <c r="AG441" i="131"/>
  <c r="O425" i="131"/>
  <c r="O432" i="131"/>
  <c r="R439" i="131"/>
  <c r="R440" i="131"/>
  <c r="R441" i="131"/>
  <c r="R438" i="131"/>
  <c r="V439" i="131"/>
  <c r="V440" i="131"/>
  <c r="V441" i="131"/>
  <c r="V438" i="131"/>
  <c r="AH439" i="131"/>
  <c r="AH440" i="131"/>
  <c r="AH441" i="131"/>
  <c r="AH438" i="131"/>
  <c r="W439" i="131"/>
  <c r="W440" i="131"/>
  <c r="W441" i="131"/>
  <c r="W438" i="131"/>
  <c r="AI439" i="131"/>
  <c r="AI440" i="131"/>
  <c r="AI441" i="131"/>
  <c r="AI438" i="131"/>
  <c r="X439" i="131"/>
  <c r="X440" i="131"/>
  <c r="X441" i="131"/>
  <c r="X438" i="131"/>
  <c r="X425" i="131"/>
  <c r="AJ439" i="131"/>
  <c r="AJ440" i="131"/>
  <c r="AJ441" i="131"/>
  <c r="AJ438" i="131"/>
  <c r="Y439" i="131"/>
  <c r="Y440" i="131"/>
  <c r="Y441" i="131"/>
  <c r="Y438" i="131"/>
  <c r="AK439" i="131"/>
  <c r="AK440" i="131"/>
  <c r="AK441" i="131"/>
  <c r="AK438" i="131"/>
  <c r="AC439" i="131"/>
  <c r="AC440" i="131"/>
  <c r="AC441" i="131"/>
  <c r="AC438" i="131"/>
  <c r="Z439" i="131"/>
  <c r="Z440" i="131"/>
  <c r="Z441" i="131"/>
  <c r="Z438" i="131"/>
  <c r="AL439" i="131"/>
  <c r="AL440" i="131"/>
  <c r="AL441" i="131"/>
  <c r="AL438" i="131"/>
  <c r="AD439" i="131"/>
  <c r="AD440" i="131"/>
  <c r="AD441" i="131"/>
  <c r="AD438" i="131"/>
  <c r="O438" i="131"/>
  <c r="O439" i="131"/>
  <c r="AA440" i="131"/>
  <c r="AA441" i="131"/>
  <c r="AA438" i="131"/>
  <c r="AA439" i="131"/>
  <c r="AM440" i="131"/>
  <c r="AM441" i="131"/>
  <c r="AM438" i="131"/>
  <c r="AM439" i="131"/>
  <c r="R68" i="131"/>
  <c r="R92" i="131" s="1"/>
  <c r="T68" i="131"/>
  <c r="T92" i="131" s="1"/>
  <c r="U68" i="131"/>
  <c r="U92" i="131" s="1"/>
  <c r="I597" i="131"/>
  <c r="T600" i="131"/>
  <c r="S600" i="131"/>
  <c r="R600" i="131"/>
  <c r="Q600" i="131"/>
  <c r="O195" i="131"/>
  <c r="O600" i="131"/>
  <c r="N600" i="131"/>
  <c r="P600" i="131"/>
  <c r="U600" i="131"/>
  <c r="R189" i="131"/>
  <c r="U597" i="131"/>
  <c r="Q597" i="131"/>
  <c r="J189" i="131"/>
  <c r="M597" i="131"/>
  <c r="BD14" i="131"/>
  <c r="BD179" i="131"/>
  <c r="BD649" i="131"/>
  <c r="Z33" i="131"/>
  <c r="N195" i="131"/>
  <c r="L195" i="131"/>
  <c r="U392" i="131"/>
  <c r="Q195" i="131"/>
  <c r="Q392" i="131"/>
  <c r="M195" i="131"/>
  <c r="M392" i="131"/>
  <c r="F189" i="131"/>
  <c r="I392" i="131"/>
  <c r="Z25" i="131"/>
  <c r="V152" i="131"/>
  <c r="Z136" i="131"/>
  <c r="Z179" i="131"/>
  <c r="K473" i="131"/>
  <c r="K68" i="131"/>
  <c r="K92" i="131" s="1"/>
  <c r="F473" i="131"/>
  <c r="F68" i="131"/>
  <c r="F92" i="131" s="1"/>
  <c r="L473" i="131"/>
  <c r="L68" i="131"/>
  <c r="L92" i="131" s="1"/>
  <c r="U164" i="131"/>
  <c r="Y25" i="131"/>
  <c r="G473" i="131"/>
  <c r="G68" i="131"/>
  <c r="G92" i="131" s="1"/>
  <c r="M473" i="131"/>
  <c r="M68" i="131"/>
  <c r="M92" i="131" s="1"/>
  <c r="W33" i="131"/>
  <c r="S68" i="131"/>
  <c r="S92" i="131" s="1"/>
  <c r="T146" i="131"/>
  <c r="X136" i="131"/>
  <c r="Q473" i="131"/>
  <c r="Q68" i="131"/>
  <c r="Q92" i="131" s="1"/>
  <c r="C473" i="131"/>
  <c r="C474" i="131" s="1"/>
  <c r="C68" i="131"/>
  <c r="C92" i="131" s="1"/>
  <c r="I473" i="131"/>
  <c r="I68" i="131"/>
  <c r="I92" i="131" s="1"/>
  <c r="O473" i="131"/>
  <c r="O68" i="131"/>
  <c r="O92" i="131" s="1"/>
  <c r="E33" i="131"/>
  <c r="E68" i="131"/>
  <c r="E92" i="131" s="1"/>
  <c r="B36" i="131"/>
  <c r="B68" i="131"/>
  <c r="B92" i="131" s="1"/>
  <c r="H473" i="131"/>
  <c r="H68" i="131"/>
  <c r="H92" i="131" s="1"/>
  <c r="N473" i="131"/>
  <c r="N68" i="131"/>
  <c r="N92" i="131" s="1"/>
  <c r="D473" i="131"/>
  <c r="D474" i="131" s="1"/>
  <c r="D68" i="131"/>
  <c r="D92" i="131" s="1"/>
  <c r="J473" i="131"/>
  <c r="J68" i="131"/>
  <c r="J92" i="131" s="1"/>
  <c r="P473" i="131"/>
  <c r="P68" i="131"/>
  <c r="P92" i="131" s="1"/>
  <c r="W36" i="131"/>
  <c r="V68" i="131"/>
  <c r="V92" i="131" s="1"/>
  <c r="U195" i="131"/>
  <c r="T222" i="131"/>
  <c r="X208" i="131"/>
  <c r="T195" i="131"/>
  <c r="X179" i="131"/>
  <c r="E28" i="131"/>
  <c r="E9" i="128"/>
  <c r="F9" i="128"/>
  <c r="B9" i="131"/>
  <c r="B9" i="128"/>
  <c r="C7" i="131"/>
  <c r="S189" i="131"/>
  <c r="S158" i="131"/>
  <c r="V164" i="131"/>
  <c r="L19" i="131"/>
  <c r="L8" i="128"/>
  <c r="L108" i="128" s="1"/>
  <c r="K14" i="131"/>
  <c r="K7" i="128"/>
  <c r="K107" i="128" s="1"/>
  <c r="J19" i="131"/>
  <c r="J8" i="128"/>
  <c r="J108" i="128" s="1"/>
  <c r="BE637" i="131"/>
  <c r="S458" i="131"/>
  <c r="R459" i="131"/>
  <c r="BF637" i="131"/>
  <c r="H569" i="131"/>
  <c r="R473" i="131"/>
  <c r="B473" i="131"/>
  <c r="B474" i="131" s="1"/>
  <c r="E473" i="131"/>
  <c r="E474" i="131" s="1"/>
  <c r="BG637" i="131"/>
  <c r="I569" i="131"/>
  <c r="BD566" i="131"/>
  <c r="BG161" i="131"/>
  <c r="P568" i="131"/>
  <c r="N568" i="131"/>
  <c r="N570" i="131"/>
  <c r="F570" i="131"/>
  <c r="H570" i="131"/>
  <c r="P570" i="131"/>
  <c r="F568" i="131"/>
  <c r="F569" i="131" s="1"/>
  <c r="BE143" i="131"/>
  <c r="BH143" i="131"/>
  <c r="U570" i="131"/>
  <c r="V568" i="131"/>
  <c r="Q568" i="131"/>
  <c r="Q570" i="131"/>
  <c r="I570" i="131"/>
  <c r="T570" i="131"/>
  <c r="J568" i="131"/>
  <c r="R568" i="131"/>
  <c r="J570" i="131"/>
  <c r="K568" i="131"/>
  <c r="S568" i="131"/>
  <c r="K570" i="131"/>
  <c r="L568" i="131"/>
  <c r="L569" i="131" s="1"/>
  <c r="T568" i="131"/>
  <c r="L570" i="131"/>
  <c r="BG186" i="131"/>
  <c r="M568" i="131"/>
  <c r="M569" i="131" s="1"/>
  <c r="U568" i="131"/>
  <c r="M570" i="131"/>
  <c r="R570" i="131"/>
  <c r="S570" i="131"/>
  <c r="G568" i="131"/>
  <c r="G569" i="131" s="1"/>
  <c r="O568" i="131"/>
  <c r="O570" i="131"/>
  <c r="G570" i="131"/>
  <c r="BH637" i="131"/>
  <c r="BE32" i="131"/>
  <c r="BE473" i="131" s="1"/>
  <c r="BG32" i="131"/>
  <c r="BG473" i="131" s="1"/>
  <c r="BF219" i="131"/>
  <c r="BF87" i="131"/>
  <c r="BD135" i="131"/>
  <c r="BD152" i="131" s="1"/>
  <c r="BF32" i="131"/>
  <c r="BF473" i="131" s="1"/>
  <c r="BH32" i="131"/>
  <c r="BH473" i="131" s="1"/>
  <c r="BF135" i="131"/>
  <c r="BF146" i="131" s="1"/>
  <c r="BF143" i="131"/>
  <c r="BG24" i="131"/>
  <c r="BE155" i="131"/>
  <c r="BE213" i="131"/>
  <c r="BL660" i="131"/>
  <c r="BM660" i="131" s="1"/>
  <c r="BN660" i="131" s="1"/>
  <c r="BO660" i="131" s="1"/>
  <c r="BP660" i="131" s="1"/>
  <c r="BH24" i="131"/>
  <c r="BH158" i="131" s="1"/>
  <c r="BE135" i="131"/>
  <c r="BF213" i="131"/>
  <c r="BG213" i="131"/>
  <c r="BJ640" i="131"/>
  <c r="BG135" i="131"/>
  <c r="BE149" i="131"/>
  <c r="BF149" i="131"/>
  <c r="BD32" i="131"/>
  <c r="BE87" i="131"/>
  <c r="BD87" i="131"/>
  <c r="BH135" i="131"/>
  <c r="BH152" i="131" s="1"/>
  <c r="BG149" i="131"/>
  <c r="BJ202" i="131"/>
  <c r="BG87" i="131"/>
  <c r="BF192" i="131"/>
  <c r="BE24" i="131"/>
  <c r="BE25" i="131" s="1"/>
  <c r="BH149" i="131"/>
  <c r="AD204" i="131"/>
  <c r="BF24" i="131"/>
  <c r="BF158" i="131" s="1"/>
  <c r="BE178" i="131"/>
  <c r="BE649" i="131" s="1"/>
  <c r="BD637" i="131"/>
  <c r="BG219" i="131"/>
  <c r="BH219" i="131"/>
  <c r="BH213" i="131"/>
  <c r="BG192" i="131"/>
  <c r="BH192" i="131"/>
  <c r="BE186" i="131"/>
  <c r="BF186" i="131"/>
  <c r="BH186" i="131"/>
  <c r="BG207" i="131"/>
  <c r="BE207" i="131"/>
  <c r="BE222" i="131" s="1"/>
  <c r="BH207" i="131"/>
  <c r="BH216" i="131" s="1"/>
  <c r="BF207" i="131"/>
  <c r="BF178" i="131"/>
  <c r="BG178" i="131"/>
  <c r="BH178" i="131"/>
  <c r="BD208" i="131"/>
  <c r="BD149" i="131"/>
  <c r="BG143" i="131"/>
  <c r="BD143" i="131"/>
  <c r="BH87" i="131"/>
  <c r="BF161" i="131"/>
  <c r="BH161" i="131"/>
  <c r="BF155" i="131"/>
  <c r="BG155" i="131"/>
  <c r="BH155" i="131"/>
  <c r="BD25" i="131"/>
  <c r="D136" i="131"/>
  <c r="B151" i="131"/>
  <c r="C151" i="131"/>
  <c r="U137" i="131"/>
  <c r="D151" i="131"/>
  <c r="E151" i="131"/>
  <c r="F164" i="131"/>
  <c r="B145" i="131"/>
  <c r="C145" i="131"/>
  <c r="D138" i="131"/>
  <c r="D145" i="131"/>
  <c r="B138" i="131"/>
  <c r="E145" i="131"/>
  <c r="C138" i="131"/>
  <c r="T137" i="131"/>
  <c r="C38" i="131"/>
  <c r="F145" i="131"/>
  <c r="F151" i="131"/>
  <c r="I38" i="131"/>
  <c r="E138" i="131"/>
  <c r="M136" i="131"/>
  <c r="I138" i="131"/>
  <c r="M33" i="131"/>
  <c r="I145" i="131"/>
  <c r="I151" i="131"/>
  <c r="J195" i="131"/>
  <c r="R195" i="131"/>
  <c r="H222" i="131"/>
  <c r="T179" i="131"/>
  <c r="Q146" i="131"/>
  <c r="N164" i="131"/>
  <c r="S146" i="131"/>
  <c r="V158" i="131"/>
  <c r="C33" i="131"/>
  <c r="E136" i="131"/>
  <c r="V146" i="131"/>
  <c r="H158" i="131"/>
  <c r="V25" i="131"/>
  <c r="C146" i="131"/>
  <c r="M158" i="131"/>
  <c r="K36" i="131"/>
  <c r="S36" i="131"/>
  <c r="P158" i="131"/>
  <c r="V33" i="131"/>
  <c r="I146" i="131"/>
  <c r="U158" i="131"/>
  <c r="AC164" i="131" s="1"/>
  <c r="B152" i="131"/>
  <c r="R152" i="131"/>
  <c r="R33" i="131"/>
  <c r="K137" i="131"/>
  <c r="C152" i="131"/>
  <c r="K152" i="131"/>
  <c r="S152" i="131"/>
  <c r="G146" i="131"/>
  <c r="O146" i="131"/>
  <c r="G164" i="131"/>
  <c r="O164" i="131"/>
  <c r="J152" i="131"/>
  <c r="J36" i="131"/>
  <c r="D152" i="131"/>
  <c r="L152" i="131"/>
  <c r="T152" i="131"/>
  <c r="H164" i="131"/>
  <c r="U152" i="131"/>
  <c r="E38" i="131"/>
  <c r="R36" i="131"/>
  <c r="E137" i="131"/>
  <c r="J136" i="131"/>
  <c r="R136" i="131"/>
  <c r="F152" i="131"/>
  <c r="N152" i="131"/>
  <c r="B146" i="131"/>
  <c r="J164" i="131"/>
  <c r="R164" i="131"/>
  <c r="I158" i="131"/>
  <c r="Q158" i="131"/>
  <c r="V36" i="131"/>
  <c r="I164" i="131"/>
  <c r="M137" i="131"/>
  <c r="K164" i="131"/>
  <c r="S164" i="131"/>
  <c r="M152" i="131"/>
  <c r="H137" i="131"/>
  <c r="P137" i="131"/>
  <c r="H152" i="131"/>
  <c r="P152" i="131"/>
  <c r="L164" i="131"/>
  <c r="T164" i="131"/>
  <c r="V27" i="131"/>
  <c r="V137" i="131"/>
  <c r="E152" i="131"/>
  <c r="D36" i="131"/>
  <c r="L36" i="131"/>
  <c r="T36" i="131"/>
  <c r="I152" i="131"/>
  <c r="E146" i="131"/>
  <c r="M146" i="131"/>
  <c r="U146" i="131"/>
  <c r="L189" i="131"/>
  <c r="T189" i="131"/>
  <c r="K195" i="131"/>
  <c r="S195" i="131"/>
  <c r="F195" i="131"/>
  <c r="M189" i="131"/>
  <c r="U189" i="131"/>
  <c r="V180" i="131"/>
  <c r="N189" i="131"/>
  <c r="V189" i="131"/>
  <c r="V195" i="131"/>
  <c r="G189" i="131"/>
  <c r="O189" i="131"/>
  <c r="G195" i="131"/>
  <c r="H189" i="131"/>
  <c r="P189" i="131"/>
  <c r="H195" i="131"/>
  <c r="I189" i="131"/>
  <c r="Q189" i="131"/>
  <c r="I195" i="131"/>
  <c r="V179" i="131"/>
  <c r="M216" i="131"/>
  <c r="P222" i="131"/>
  <c r="G216" i="131"/>
  <c r="O216" i="131"/>
  <c r="U216" i="131"/>
  <c r="V209" i="131"/>
  <c r="V222" i="131"/>
  <c r="U222" i="131"/>
  <c r="L216" i="131"/>
  <c r="T216" i="131"/>
  <c r="AB216" i="131" s="1"/>
  <c r="F222" i="131"/>
  <c r="N222" i="131"/>
  <c r="N425" i="131" s="1"/>
  <c r="V216" i="131"/>
  <c r="Z216" i="131" s="1"/>
  <c r="G222" i="131"/>
  <c r="I222" i="131"/>
  <c r="Q222" i="131"/>
  <c r="H216" i="131"/>
  <c r="J222" i="131"/>
  <c r="R222" i="131"/>
  <c r="K222" i="131"/>
  <c r="S222" i="131"/>
  <c r="R179" i="131"/>
  <c r="J179" i="131"/>
  <c r="T33" i="131"/>
  <c r="C36" i="131"/>
  <c r="F138" i="131"/>
  <c r="D33" i="131"/>
  <c r="F36" i="131"/>
  <c r="N36" i="131"/>
  <c r="S136" i="131"/>
  <c r="B38" i="131"/>
  <c r="I33" i="131"/>
  <c r="S137" i="131"/>
  <c r="S15" i="131"/>
  <c r="J208" i="131"/>
  <c r="T180" i="131"/>
  <c r="L180" i="131"/>
  <c r="B33" i="131"/>
  <c r="Q33" i="131"/>
  <c r="I36" i="131"/>
  <c r="U36" i="131"/>
  <c r="J137" i="131"/>
  <c r="G137" i="131"/>
  <c r="O137" i="131"/>
  <c r="G36" i="131"/>
  <c r="O36" i="131"/>
  <c r="U33" i="131"/>
  <c r="M36" i="131"/>
  <c r="N136" i="131"/>
  <c r="R137" i="131"/>
  <c r="P36" i="131"/>
  <c r="J33" i="131"/>
  <c r="Q36" i="131"/>
  <c r="U136" i="131"/>
  <c r="L33" i="131"/>
  <c r="E36" i="131"/>
  <c r="V136" i="131"/>
  <c r="H36" i="131"/>
  <c r="C136" i="131"/>
  <c r="L136" i="131"/>
  <c r="T136" i="131"/>
  <c r="I137" i="131"/>
  <c r="Q137" i="131"/>
  <c r="G136" i="131"/>
  <c r="O136" i="131"/>
  <c r="D137" i="131"/>
  <c r="L137" i="131"/>
  <c r="C137" i="131"/>
  <c r="H136" i="131"/>
  <c r="P136" i="131"/>
  <c r="I136" i="131"/>
  <c r="Q136" i="131"/>
  <c r="F137" i="131"/>
  <c r="N137" i="131"/>
  <c r="K136" i="131"/>
  <c r="B136" i="131"/>
  <c r="F136" i="131"/>
  <c r="B137" i="131"/>
  <c r="F33" i="131"/>
  <c r="N33" i="131"/>
  <c r="D38" i="131"/>
  <c r="G33" i="131"/>
  <c r="O33" i="131"/>
  <c r="H33" i="131"/>
  <c r="P33" i="131"/>
  <c r="F38" i="131"/>
  <c r="K33" i="131"/>
  <c r="S33" i="131"/>
  <c r="S179" i="131"/>
  <c r="L15" i="131"/>
  <c r="P180" i="131"/>
  <c r="G180" i="131"/>
  <c r="U180" i="131"/>
  <c r="M180" i="131"/>
  <c r="H180" i="131"/>
  <c r="K179" i="131"/>
  <c r="M20" i="131"/>
  <c r="N20" i="131"/>
  <c r="Q179" i="131"/>
  <c r="J14" i="131"/>
  <c r="M19" i="131"/>
  <c r="P19" i="131"/>
  <c r="O179" i="131"/>
  <c r="I181" i="131"/>
  <c r="L6" i="131"/>
  <c r="C181" i="131"/>
  <c r="M179" i="131"/>
  <c r="P179" i="131"/>
  <c r="B181" i="131"/>
  <c r="L179" i="131"/>
  <c r="U179" i="131"/>
  <c r="N180" i="131"/>
  <c r="F181" i="131"/>
  <c r="U20" i="131"/>
  <c r="E181" i="131"/>
  <c r="R180" i="131"/>
  <c r="J180" i="131"/>
  <c r="S180" i="131"/>
  <c r="K180" i="131"/>
  <c r="D181" i="131"/>
  <c r="Q180" i="131"/>
  <c r="I180" i="131"/>
  <c r="N179" i="131"/>
  <c r="F179" i="131"/>
  <c r="O180" i="131"/>
  <c r="T27" i="131"/>
  <c r="F180" i="131"/>
  <c r="R15" i="131"/>
  <c r="R14" i="131"/>
  <c r="L20" i="131"/>
  <c r="U19" i="131"/>
  <c r="Q6" i="131"/>
  <c r="K6" i="131"/>
  <c r="T20" i="131"/>
  <c r="K15" i="131"/>
  <c r="Q14" i="131"/>
  <c r="V14" i="131"/>
  <c r="Q19" i="131"/>
  <c r="T19" i="131"/>
  <c r="V20" i="131"/>
  <c r="N6" i="131"/>
  <c r="R20" i="131"/>
  <c r="Q20" i="131"/>
  <c r="M15" i="131"/>
  <c r="P20" i="131"/>
  <c r="M6" i="131"/>
  <c r="N15" i="131"/>
  <c r="P6" i="131"/>
  <c r="BF13" i="131"/>
  <c r="BF14" i="131" s="1"/>
  <c r="P25" i="131"/>
  <c r="U14" i="131"/>
  <c r="K20" i="131"/>
  <c r="M14" i="131"/>
  <c r="BH13" i="131"/>
  <c r="V6" i="131"/>
  <c r="K19" i="131"/>
  <c r="S6" i="131"/>
  <c r="W8" i="131" s="1"/>
  <c r="S20" i="131"/>
  <c r="BF18" i="131"/>
  <c r="BF19" i="131" s="1"/>
  <c r="J20" i="131"/>
  <c r="BH18" i="131"/>
  <c r="R19" i="131"/>
  <c r="V19" i="131"/>
  <c r="R6" i="131"/>
  <c r="S19" i="131"/>
  <c r="N19" i="131"/>
  <c r="BG18" i="131"/>
  <c r="O19" i="131"/>
  <c r="O20" i="131"/>
  <c r="J6" i="131"/>
  <c r="N14" i="131"/>
  <c r="J15" i="131"/>
  <c r="S14" i="131"/>
  <c r="U15" i="131"/>
  <c r="T15" i="131"/>
  <c r="T6" i="131"/>
  <c r="U6" i="131"/>
  <c r="V15" i="131"/>
  <c r="F210" i="131"/>
  <c r="F157" i="131"/>
  <c r="I188" i="131"/>
  <c r="B210" i="131"/>
  <c r="F194" i="131"/>
  <c r="F215" i="131"/>
  <c r="L14" i="131"/>
  <c r="T14" i="131"/>
  <c r="BG13" i="131"/>
  <c r="G14" i="131"/>
  <c r="O14" i="131"/>
  <c r="G15" i="131"/>
  <c r="O15" i="131"/>
  <c r="F28" i="131"/>
  <c r="I28" i="131"/>
  <c r="F163" i="131"/>
  <c r="B28" i="131"/>
  <c r="C210" i="131"/>
  <c r="F221" i="131"/>
  <c r="G6" i="131"/>
  <c r="O6" i="131"/>
  <c r="H14" i="131"/>
  <c r="P14" i="131"/>
  <c r="H15" i="131"/>
  <c r="P15" i="131"/>
  <c r="C28" i="131"/>
  <c r="I194" i="131"/>
  <c r="D210" i="131"/>
  <c r="I215" i="131"/>
  <c r="H6" i="131"/>
  <c r="I15" i="131"/>
  <c r="Q15" i="131"/>
  <c r="I157" i="131"/>
  <c r="D28" i="131"/>
  <c r="E210" i="131"/>
  <c r="I163" i="131"/>
  <c r="I221" i="131"/>
  <c r="D7" i="131"/>
  <c r="F188" i="131"/>
  <c r="I209" i="131"/>
  <c r="Q209" i="131"/>
  <c r="R208" i="131"/>
  <c r="Q208" i="131"/>
  <c r="K209" i="131"/>
  <c r="S209" i="131"/>
  <c r="I208" i="131"/>
  <c r="M209" i="131"/>
  <c r="O208" i="131"/>
  <c r="P208" i="131"/>
  <c r="U209" i="131"/>
  <c r="J209" i="131"/>
  <c r="R209" i="131"/>
  <c r="L209" i="131"/>
  <c r="T209" i="131"/>
  <c r="K208" i="131"/>
  <c r="S208" i="131"/>
  <c r="F209" i="131"/>
  <c r="N209" i="131"/>
  <c r="I210" i="131"/>
  <c r="L208" i="131"/>
  <c r="T208" i="131"/>
  <c r="G209" i="131"/>
  <c r="O209" i="131"/>
  <c r="M208" i="131"/>
  <c r="U208" i="131"/>
  <c r="H209" i="131"/>
  <c r="P209" i="131"/>
  <c r="F208" i="131"/>
  <c r="N208" i="131"/>
  <c r="V208" i="131"/>
  <c r="N25" i="131"/>
  <c r="O27" i="131"/>
  <c r="L27" i="131"/>
  <c r="M27" i="131"/>
  <c r="U27" i="131"/>
  <c r="J25" i="131"/>
  <c r="K27" i="131"/>
  <c r="S27" i="131"/>
  <c r="G27" i="131"/>
  <c r="F25" i="131"/>
  <c r="H27" i="131"/>
  <c r="F27" i="131"/>
  <c r="I27" i="131"/>
  <c r="R27" i="131"/>
  <c r="Q25" i="131"/>
  <c r="N27" i="131"/>
  <c r="R25" i="131"/>
  <c r="P27" i="131"/>
  <c r="L25" i="131"/>
  <c r="T25" i="131"/>
  <c r="S25" i="131"/>
  <c r="M25" i="131"/>
  <c r="U25" i="131"/>
  <c r="Q27" i="131"/>
  <c r="K25" i="131"/>
  <c r="G25" i="131"/>
  <c r="O25" i="131"/>
  <c r="J27" i="131"/>
  <c r="B16" i="131"/>
  <c r="BE19" i="131"/>
  <c r="F7" i="131"/>
  <c r="D21" i="131"/>
  <c r="E9" i="131"/>
  <c r="BE14" i="131"/>
  <c r="D16" i="131"/>
  <c r="F21" i="131"/>
  <c r="I7" i="131"/>
  <c r="D9" i="131"/>
  <c r="F16" i="131"/>
  <c r="BD6" i="131"/>
  <c r="F9" i="131"/>
  <c r="I21" i="131"/>
  <c r="C21" i="131"/>
  <c r="C9" i="131"/>
  <c r="E7" i="131"/>
  <c r="E16" i="131"/>
  <c r="I16" i="131"/>
  <c r="C16" i="131"/>
  <c r="B21" i="131"/>
  <c r="B7" i="131"/>
  <c r="E21" i="131"/>
  <c r="BD19" i="131"/>
  <c r="AF216" i="131" l="1"/>
  <c r="AB222" i="131"/>
  <c r="AD216" i="131"/>
  <c r="AD212" i="131" s="1"/>
  <c r="Z222" i="131"/>
  <c r="AR216" i="131"/>
  <c r="AP216" i="131"/>
  <c r="V8" i="131"/>
  <c r="V10" i="131"/>
  <c r="W10" i="131"/>
  <c r="I109" i="128"/>
  <c r="O169" i="131"/>
  <c r="P169" i="131"/>
  <c r="M168" i="131"/>
  <c r="T169" i="131"/>
  <c r="Q169" i="131"/>
  <c r="BD169" i="131"/>
  <c r="BD174" i="131"/>
  <c r="T168" i="131"/>
  <c r="T167" i="131"/>
  <c r="U168" i="131"/>
  <c r="U167" i="131"/>
  <c r="F167" i="131"/>
  <c r="BE166" i="131"/>
  <c r="BE167" i="131" s="1"/>
  <c r="F168" i="131"/>
  <c r="N167" i="131"/>
  <c r="J168" i="131"/>
  <c r="BF166" i="131"/>
  <c r="J167" i="131"/>
  <c r="BH166" i="131"/>
  <c r="R168" i="131"/>
  <c r="R167" i="131"/>
  <c r="V168" i="131"/>
  <c r="V167" i="131"/>
  <c r="Z167" i="131"/>
  <c r="O167" i="131"/>
  <c r="O168" i="131"/>
  <c r="L167" i="131"/>
  <c r="H167" i="131"/>
  <c r="H168" i="131"/>
  <c r="P167" i="131"/>
  <c r="P168" i="131"/>
  <c r="BE171" i="131"/>
  <c r="Q167" i="131"/>
  <c r="Q168" i="131"/>
  <c r="G167" i="131"/>
  <c r="G168" i="131"/>
  <c r="K168" i="131"/>
  <c r="K167" i="131"/>
  <c r="M167" i="131"/>
  <c r="I167" i="131"/>
  <c r="I168" i="131"/>
  <c r="S168" i="131"/>
  <c r="S167" i="131"/>
  <c r="L168" i="131"/>
  <c r="BG166" i="131"/>
  <c r="N168" i="131"/>
  <c r="G9" i="128"/>
  <c r="G169" i="131"/>
  <c r="H9" i="128"/>
  <c r="H169" i="131"/>
  <c r="J9" i="128"/>
  <c r="J109" i="128" s="1"/>
  <c r="J169" i="131"/>
  <c r="M9" i="128"/>
  <c r="M169" i="131"/>
  <c r="S9" i="128"/>
  <c r="S169" i="131"/>
  <c r="K9" i="128"/>
  <c r="K109" i="128" s="1"/>
  <c r="K169" i="131"/>
  <c r="V9" i="128"/>
  <c r="V169" i="131"/>
  <c r="U9" i="128"/>
  <c r="U169" i="131"/>
  <c r="N9" i="128"/>
  <c r="N169" i="131"/>
  <c r="L9" i="128"/>
  <c r="L169" i="131"/>
  <c r="R9" i="128"/>
  <c r="R169" i="131"/>
  <c r="BJ203" i="131"/>
  <c r="BG649" i="131"/>
  <c r="BG565" i="131" s="1"/>
  <c r="BG610" i="131"/>
  <c r="Q433" i="131"/>
  <c r="Q432" i="131"/>
  <c r="Q425" i="131"/>
  <c r="O433" i="131"/>
  <c r="P425" i="131"/>
  <c r="P433" i="131"/>
  <c r="P432" i="131"/>
  <c r="U594" i="131" a="1"/>
  <c r="U594" i="131" s="1"/>
  <c r="O427" i="131"/>
  <c r="O426" i="131"/>
  <c r="S433" i="131"/>
  <c r="S434" i="131"/>
  <c r="S435" i="131"/>
  <c r="S432" i="131"/>
  <c r="S425" i="131"/>
  <c r="Q594" i="131" a="1"/>
  <c r="Q594" i="131" s="1"/>
  <c r="U435" i="131"/>
  <c r="U432" i="131"/>
  <c r="U425" i="131"/>
  <c r="U433" i="131"/>
  <c r="U434" i="131"/>
  <c r="R433" i="131"/>
  <c r="R434" i="131"/>
  <c r="R435" i="131"/>
  <c r="R432" i="131"/>
  <c r="R425" i="131"/>
  <c r="Z218" i="131"/>
  <c r="Z18" i="131" s="1"/>
  <c r="Z569" i="131"/>
  <c r="T434" i="131"/>
  <c r="T435" i="131"/>
  <c r="T432" i="131"/>
  <c r="T425" i="131"/>
  <c r="X428" i="131" s="1"/>
  <c r="T433" i="131"/>
  <c r="X434" i="131"/>
  <c r="X435" i="131"/>
  <c r="AB425" i="131"/>
  <c r="AB434" i="131"/>
  <c r="AB435" i="131"/>
  <c r="U598" i="131"/>
  <c r="Q598" i="131"/>
  <c r="AM204" i="131"/>
  <c r="BM640" i="131"/>
  <c r="BN640" i="131" s="1"/>
  <c r="BO640" i="131" s="1"/>
  <c r="BP640" i="131" s="1"/>
  <c r="BD21" i="131"/>
  <c r="BL202" i="131"/>
  <c r="BM202" i="131"/>
  <c r="BH566" i="131"/>
  <c r="BH649" i="131"/>
  <c r="BH565" i="131" s="1"/>
  <c r="BF566" i="131"/>
  <c r="BF649" i="131"/>
  <c r="Q474" i="131"/>
  <c r="P474" i="131"/>
  <c r="K474" i="131"/>
  <c r="N474" i="131"/>
  <c r="G474" i="131"/>
  <c r="J474" i="131"/>
  <c r="O474" i="131"/>
  <c r="M474" i="131"/>
  <c r="R474" i="131"/>
  <c r="L474" i="131"/>
  <c r="H474" i="131"/>
  <c r="B109" i="128"/>
  <c r="F109" i="128"/>
  <c r="C109" i="128"/>
  <c r="E109" i="128"/>
  <c r="R569" i="131"/>
  <c r="P138" i="131"/>
  <c r="P9" i="128"/>
  <c r="T38" i="131"/>
  <c r="T9" i="128"/>
  <c r="O38" i="131"/>
  <c r="O9" i="128"/>
  <c r="Q138" i="131"/>
  <c r="Q9" i="128"/>
  <c r="BH474" i="131"/>
  <c r="BF474" i="131"/>
  <c r="BD33" i="131"/>
  <c r="BD473" i="131"/>
  <c r="BD474" i="131" s="1"/>
  <c r="BG474" i="131"/>
  <c r="T458" i="131"/>
  <c r="S460" i="131"/>
  <c r="S459" i="131"/>
  <c r="S473" i="131"/>
  <c r="I474" i="131"/>
  <c r="F474" i="131"/>
  <c r="BK203" i="131"/>
  <c r="N569" i="131"/>
  <c r="Q194" i="131"/>
  <c r="BG19" i="131"/>
  <c r="BF33" i="131"/>
  <c r="U569" i="131"/>
  <c r="K569" i="131"/>
  <c r="BG136" i="131"/>
  <c r="O569" i="131"/>
  <c r="J569" i="131"/>
  <c r="BI661" i="131"/>
  <c r="BD650" i="131"/>
  <c r="BD565" i="131"/>
  <c r="BG208" i="131"/>
  <c r="BF136" i="131"/>
  <c r="BD146" i="131"/>
  <c r="BH146" i="131"/>
  <c r="BG33" i="131"/>
  <c r="BF25" i="131"/>
  <c r="BF152" i="131"/>
  <c r="S569" i="131"/>
  <c r="Q569" i="131"/>
  <c r="V569" i="131"/>
  <c r="BE565" i="131"/>
  <c r="BE566" i="131"/>
  <c r="P569" i="131"/>
  <c r="BE179" i="131"/>
  <c r="BG566" i="131"/>
  <c r="T569" i="131"/>
  <c r="BD136" i="131"/>
  <c r="BH136" i="131"/>
  <c r="BH222" i="131"/>
  <c r="BH33" i="131"/>
  <c r="BG152" i="131"/>
  <c r="BF164" i="131"/>
  <c r="BE189" i="131"/>
  <c r="BD38" i="131"/>
  <c r="BH25" i="131"/>
  <c r="BH164" i="131"/>
  <c r="BG222" i="131"/>
  <c r="BE164" i="131"/>
  <c r="BG146" i="131"/>
  <c r="BD151" i="131"/>
  <c r="H7" i="131"/>
  <c r="BG216" i="131"/>
  <c r="BE158" i="131"/>
  <c r="BD92" i="131"/>
  <c r="BE216" i="131"/>
  <c r="BD68" i="131"/>
  <c r="BF208" i="131"/>
  <c r="BF222" i="131"/>
  <c r="BF216" i="131"/>
  <c r="BD210" i="131"/>
  <c r="BE146" i="131"/>
  <c r="BE152" i="131"/>
  <c r="BE136" i="131"/>
  <c r="BH208" i="131"/>
  <c r="BD145" i="131"/>
  <c r="BD28" i="131"/>
  <c r="BG164" i="131"/>
  <c r="BG25" i="131"/>
  <c r="BG158" i="131"/>
  <c r="BJ641" i="131"/>
  <c r="BD138" i="131"/>
  <c r="BE195" i="131"/>
  <c r="BD181" i="131"/>
  <c r="BE33" i="131"/>
  <c r="BH189" i="131"/>
  <c r="BH195" i="131"/>
  <c r="BH179" i="131"/>
  <c r="BF189" i="131"/>
  <c r="BF195" i="131"/>
  <c r="BG195" i="131"/>
  <c r="BG189" i="131"/>
  <c r="BE208" i="131"/>
  <c r="BG179" i="131"/>
  <c r="BF179" i="131"/>
  <c r="G38" i="131"/>
  <c r="L38" i="131"/>
  <c r="N138" i="131"/>
  <c r="G138" i="131"/>
  <c r="H151" i="131"/>
  <c r="H145" i="131"/>
  <c r="H138" i="131"/>
  <c r="G181" i="131"/>
  <c r="G151" i="131"/>
  <c r="G145" i="131"/>
  <c r="H38" i="131"/>
  <c r="AG164" i="131"/>
  <c r="V157" i="131"/>
  <c r="V38" i="131"/>
  <c r="V163" i="131"/>
  <c r="V28" i="131"/>
  <c r="V194" i="131"/>
  <c r="V181" i="131"/>
  <c r="V221" i="131"/>
  <c r="V215" i="131"/>
  <c r="V188" i="131"/>
  <c r="Y209" i="131"/>
  <c r="V210" i="131"/>
  <c r="Z212" i="131"/>
  <c r="Z13" i="131" s="1"/>
  <c r="Q28" i="131"/>
  <c r="S16" i="131"/>
  <c r="V145" i="131"/>
  <c r="V151" i="131"/>
  <c r="V138" i="131"/>
  <c r="L157" i="131"/>
  <c r="T157" i="131"/>
  <c r="O145" i="131"/>
  <c r="O151" i="131"/>
  <c r="J16" i="131"/>
  <c r="J38" i="131"/>
  <c r="J145" i="131"/>
  <c r="J151" i="131"/>
  <c r="J138" i="131"/>
  <c r="P145" i="131"/>
  <c r="P151" i="131"/>
  <c r="P38" i="131"/>
  <c r="K145" i="131"/>
  <c r="K151" i="131"/>
  <c r="K38" i="131"/>
  <c r="N38" i="131"/>
  <c r="Q21" i="131"/>
  <c r="Q221" i="131"/>
  <c r="Q188" i="131"/>
  <c r="O138" i="131"/>
  <c r="T21" i="131"/>
  <c r="T145" i="131"/>
  <c r="T151" i="131"/>
  <c r="T138" i="131"/>
  <c r="S210" i="131"/>
  <c r="S138" i="131"/>
  <c r="S145" i="131"/>
  <c r="S151" i="131"/>
  <c r="S38" i="131"/>
  <c r="M188" i="131"/>
  <c r="M145" i="131"/>
  <c r="M151" i="131"/>
  <c r="M138" i="131"/>
  <c r="M38" i="131"/>
  <c r="U145" i="131"/>
  <c r="U151" i="131"/>
  <c r="U38" i="131"/>
  <c r="U138" i="131"/>
  <c r="N188" i="131"/>
  <c r="N151" i="131"/>
  <c r="N145" i="131"/>
  <c r="Q145" i="131"/>
  <c r="Q151" i="131"/>
  <c r="Q38" i="131"/>
  <c r="Q215" i="131"/>
  <c r="R16" i="131"/>
  <c r="R138" i="131"/>
  <c r="R145" i="131"/>
  <c r="R151" i="131"/>
  <c r="L16" i="131"/>
  <c r="L145" i="131"/>
  <c r="L151" i="131"/>
  <c r="L138" i="131"/>
  <c r="K138" i="131"/>
  <c r="R38" i="131"/>
  <c r="L215" i="131"/>
  <c r="L221" i="131"/>
  <c r="L163" i="131"/>
  <c r="K163" i="131"/>
  <c r="Q210" i="131"/>
  <c r="Q157" i="131"/>
  <c r="Q16" i="131"/>
  <c r="P21" i="131"/>
  <c r="Q163" i="131"/>
  <c r="L21" i="131"/>
  <c r="L210" i="131"/>
  <c r="L194" i="131"/>
  <c r="L28" i="131"/>
  <c r="L188" i="131"/>
  <c r="M16" i="131"/>
  <c r="S21" i="131"/>
  <c r="N181" i="131"/>
  <c r="S28" i="131"/>
  <c r="Q181" i="131"/>
  <c r="L181" i="131"/>
  <c r="H28" i="131"/>
  <c r="H181" i="131"/>
  <c r="P221" i="131"/>
  <c r="P181" i="131"/>
  <c r="Q9" i="131"/>
  <c r="P215" i="131"/>
  <c r="H9" i="131"/>
  <c r="K157" i="131"/>
  <c r="K181" i="131"/>
  <c r="P194" i="131"/>
  <c r="M181" i="131"/>
  <c r="R181" i="131"/>
  <c r="U181" i="131"/>
  <c r="G16" i="131"/>
  <c r="G210" i="131"/>
  <c r="K215" i="131"/>
  <c r="K188" i="131"/>
  <c r="O28" i="131"/>
  <c r="O181" i="131"/>
  <c r="K221" i="131"/>
  <c r="T181" i="131"/>
  <c r="P28" i="131"/>
  <c r="K194" i="131"/>
  <c r="P163" i="131"/>
  <c r="G28" i="131"/>
  <c r="P157" i="131"/>
  <c r="S157" i="131"/>
  <c r="S181" i="131"/>
  <c r="J181" i="131"/>
  <c r="P7" i="131"/>
  <c r="K21" i="131"/>
  <c r="K210" i="131"/>
  <c r="P210" i="131"/>
  <c r="P188" i="131"/>
  <c r="R188" i="131"/>
  <c r="P16" i="131"/>
  <c r="K16" i="131"/>
  <c r="K28" i="131"/>
  <c r="J221" i="131"/>
  <c r="L9" i="131"/>
  <c r="T7" i="131"/>
  <c r="T188" i="131"/>
  <c r="J163" i="131"/>
  <c r="V21" i="131"/>
  <c r="J215" i="131"/>
  <c r="M7" i="131"/>
  <c r="M9" i="131"/>
  <c r="M163" i="131"/>
  <c r="M157" i="131"/>
  <c r="N215" i="131"/>
  <c r="M28" i="131"/>
  <c r="R7" i="131"/>
  <c r="K9" i="131"/>
  <c r="M221" i="131"/>
  <c r="J9" i="131"/>
  <c r="S9" i="131"/>
  <c r="M21" i="131"/>
  <c r="R9" i="131"/>
  <c r="N7" i="131"/>
  <c r="M215" i="131"/>
  <c r="BF6" i="131"/>
  <c r="Q7" i="131"/>
  <c r="M210" i="131"/>
  <c r="V16" i="131"/>
  <c r="R28" i="131"/>
  <c r="R157" i="131"/>
  <c r="M194" i="131"/>
  <c r="N9" i="131"/>
  <c r="N163" i="131"/>
  <c r="BG14" i="131"/>
  <c r="N210" i="131"/>
  <c r="R215" i="131"/>
  <c r="N16" i="131"/>
  <c r="N194" i="131"/>
  <c r="N21" i="131"/>
  <c r="BH19" i="131"/>
  <c r="N221" i="131"/>
  <c r="N28" i="131"/>
  <c r="N157" i="131"/>
  <c r="R21" i="131"/>
  <c r="J7" i="131"/>
  <c r="S215" i="131"/>
  <c r="R194" i="131"/>
  <c r="S221" i="131"/>
  <c r="V7" i="131"/>
  <c r="R221" i="131"/>
  <c r="R163" i="131"/>
  <c r="J194" i="131"/>
  <c r="J21" i="131"/>
  <c r="J28" i="131"/>
  <c r="R210" i="131"/>
  <c r="S194" i="131"/>
  <c r="J157" i="131"/>
  <c r="J210" i="131"/>
  <c r="S188" i="131"/>
  <c r="J188" i="131"/>
  <c r="S163" i="131"/>
  <c r="V9" i="131"/>
  <c r="U21" i="131"/>
  <c r="U16" i="131"/>
  <c r="U9" i="131"/>
  <c r="T215" i="131"/>
  <c r="U188" i="131"/>
  <c r="U163" i="131"/>
  <c r="T16" i="131"/>
  <c r="U221" i="131"/>
  <c r="T221" i="131"/>
  <c r="U210" i="131"/>
  <c r="T210" i="131"/>
  <c r="BH6" i="131"/>
  <c r="T28" i="131"/>
  <c r="U157" i="131"/>
  <c r="T9" i="131"/>
  <c r="T194" i="131"/>
  <c r="T163" i="131"/>
  <c r="U7" i="131"/>
  <c r="U215" i="131"/>
  <c r="U28" i="131"/>
  <c r="U194" i="131"/>
  <c r="O7" i="131"/>
  <c r="BH14" i="131"/>
  <c r="S7" i="131"/>
  <c r="BE6" i="131"/>
  <c r="O21" i="131"/>
  <c r="H21" i="131"/>
  <c r="G9" i="131"/>
  <c r="L7" i="131"/>
  <c r="O16" i="131"/>
  <c r="O221" i="131"/>
  <c r="O163" i="131"/>
  <c r="O215" i="131"/>
  <c r="O157" i="131"/>
  <c r="O194" i="131"/>
  <c r="O188" i="131"/>
  <c r="K7" i="131"/>
  <c r="H16" i="131"/>
  <c r="BG6" i="131"/>
  <c r="O9" i="131"/>
  <c r="P9" i="131"/>
  <c r="I9" i="131"/>
  <c r="H210" i="131"/>
  <c r="G215" i="131"/>
  <c r="G221" i="131"/>
  <c r="G163" i="131"/>
  <c r="G157" i="131"/>
  <c r="G188" i="131"/>
  <c r="G194" i="131"/>
  <c r="G7" i="131"/>
  <c r="G21" i="131"/>
  <c r="O210" i="131"/>
  <c r="H188" i="131"/>
  <c r="H221" i="131"/>
  <c r="H163" i="131"/>
  <c r="H157" i="131"/>
  <c r="H215" i="131"/>
  <c r="H194" i="131"/>
  <c r="BD7" i="131"/>
  <c r="BD16" i="131"/>
  <c r="AH216" i="131" l="1"/>
  <c r="AH222" i="131" s="1"/>
  <c r="AD222" i="131"/>
  <c r="AJ216" i="131"/>
  <c r="AJ222" i="131" s="1"/>
  <c r="AF222" i="131"/>
  <c r="AV216" i="131"/>
  <c r="AR222" i="131"/>
  <c r="AP212" i="131"/>
  <c r="AP222" i="131"/>
  <c r="AT216" i="131"/>
  <c r="S109" i="128"/>
  <c r="U109" i="128"/>
  <c r="M109" i="128"/>
  <c r="BG169" i="131"/>
  <c r="BE169" i="131"/>
  <c r="L109" i="128"/>
  <c r="R109" i="128"/>
  <c r="BG167" i="131"/>
  <c r="N109" i="128"/>
  <c r="H109" i="128"/>
  <c r="G109" i="128"/>
  <c r="BH171" i="131"/>
  <c r="V109" i="128"/>
  <c r="BE172" i="131"/>
  <c r="BE174" i="131"/>
  <c r="BG171" i="131"/>
  <c r="BH167" i="131"/>
  <c r="BF171" i="131"/>
  <c r="BF167" i="131"/>
  <c r="BF181" i="131"/>
  <c r="BF169" i="131"/>
  <c r="BH169" i="131"/>
  <c r="U595" i="131"/>
  <c r="BH595" i="131" s="1"/>
  <c r="BH594" i="131"/>
  <c r="Q595" i="131"/>
  <c r="BG595" i="131" s="1"/>
  <c r="BG594" i="131"/>
  <c r="Q452" i="131"/>
  <c r="U452" i="131"/>
  <c r="U427" i="131"/>
  <c r="U428" i="131"/>
  <c r="U429" i="131"/>
  <c r="U426" i="131"/>
  <c r="P426" i="131"/>
  <c r="P427" i="131"/>
  <c r="V425" i="131"/>
  <c r="V433" i="131"/>
  <c r="V434" i="131"/>
  <c r="V435" i="131"/>
  <c r="V432" i="131"/>
  <c r="Z425" i="131"/>
  <c r="Z435" i="131"/>
  <c r="Z434" i="131"/>
  <c r="S429" i="131"/>
  <c r="S426" i="131"/>
  <c r="S427" i="131"/>
  <c r="S428" i="131"/>
  <c r="AB429" i="131"/>
  <c r="AB428" i="131"/>
  <c r="R426" i="131"/>
  <c r="R427" i="131"/>
  <c r="R428" i="131"/>
  <c r="R429" i="131"/>
  <c r="X429" i="131"/>
  <c r="Q427" i="131"/>
  <c r="Q426" i="131"/>
  <c r="AD434" i="131"/>
  <c r="AD435" i="131"/>
  <c r="AD425" i="131"/>
  <c r="T427" i="131"/>
  <c r="T428" i="131"/>
  <c r="T429" i="131"/>
  <c r="T426" i="131"/>
  <c r="AF434" i="131"/>
  <c r="AF435" i="131"/>
  <c r="AF425" i="131"/>
  <c r="AT204" i="131"/>
  <c r="BH567" i="131"/>
  <c r="Z6" i="131"/>
  <c r="Z8" i="131" s="1"/>
  <c r="Z14" i="131"/>
  <c r="Z7" i="128"/>
  <c r="Z94" i="128" s="1"/>
  <c r="Z19" i="131"/>
  <c r="Z8" i="128"/>
  <c r="AD164" i="131"/>
  <c r="T109" i="128"/>
  <c r="Q109" i="128"/>
  <c r="P109" i="128"/>
  <c r="O109" i="128"/>
  <c r="BE474" i="131"/>
  <c r="BL203" i="131"/>
  <c r="S474" i="131"/>
  <c r="U458" i="131"/>
  <c r="T460" i="131"/>
  <c r="T459" i="131"/>
  <c r="T473" i="131"/>
  <c r="BE567" i="131"/>
  <c r="BG567" i="131"/>
  <c r="BJ661" i="131"/>
  <c r="BJ644" i="131"/>
  <c r="BE650" i="131"/>
  <c r="BI644" i="131"/>
  <c r="BI637" i="131"/>
  <c r="BF650" i="131"/>
  <c r="BF565" i="131"/>
  <c r="BF567" i="131" s="1"/>
  <c r="BE16" i="131"/>
  <c r="BE138" i="131"/>
  <c r="AD143" i="131"/>
  <c r="BL664" i="131"/>
  <c r="BM203" i="131"/>
  <c r="BE21" i="131"/>
  <c r="BE221" i="131"/>
  <c r="BE215" i="131"/>
  <c r="BE157" i="131"/>
  <c r="BE188" i="131"/>
  <c r="BE163" i="131"/>
  <c r="BE38" i="131"/>
  <c r="BE92" i="131"/>
  <c r="BE28" i="131"/>
  <c r="BE145" i="131"/>
  <c r="BE194" i="131"/>
  <c r="BE151" i="131"/>
  <c r="BE68" i="131"/>
  <c r="BH188" i="131"/>
  <c r="BH194" i="131"/>
  <c r="BH215" i="131"/>
  <c r="BH221" i="131"/>
  <c r="BE7" i="131"/>
  <c r="BG181" i="131"/>
  <c r="BG221" i="131"/>
  <c r="BG194" i="131"/>
  <c r="BG215" i="131"/>
  <c r="BG188" i="131"/>
  <c r="BF194" i="131"/>
  <c r="BF215" i="131"/>
  <c r="BF221" i="131"/>
  <c r="BF188" i="131"/>
  <c r="BE210" i="131"/>
  <c r="BE181" i="131"/>
  <c r="BG650" i="131"/>
  <c r="BH650" i="131"/>
  <c r="BG68" i="131"/>
  <c r="BG28" i="131"/>
  <c r="BG151" i="131"/>
  <c r="BG92" i="131"/>
  <c r="BG145" i="131"/>
  <c r="BG38" i="131"/>
  <c r="BG210" i="131"/>
  <c r="BG163" i="131"/>
  <c r="BG138" i="131"/>
  <c r="BG157" i="131"/>
  <c r="BF16" i="131"/>
  <c r="BF151" i="131"/>
  <c r="BF92" i="131"/>
  <c r="BF163" i="131"/>
  <c r="BF68" i="131"/>
  <c r="BF138" i="131"/>
  <c r="BF210" i="131"/>
  <c r="BF28" i="131"/>
  <c r="BF145" i="131"/>
  <c r="BF38" i="131"/>
  <c r="BF157" i="131"/>
  <c r="BH16" i="131"/>
  <c r="BH38" i="131"/>
  <c r="BH145" i="131"/>
  <c r="BH157" i="131"/>
  <c r="BH92" i="131"/>
  <c r="BH151" i="131"/>
  <c r="BH68" i="131"/>
  <c r="BH163" i="131"/>
  <c r="BH210" i="131"/>
  <c r="BH28" i="131"/>
  <c r="BH138" i="131"/>
  <c r="BH181" i="131"/>
  <c r="AK164" i="131"/>
  <c r="Y149" i="131"/>
  <c r="Y150" i="131"/>
  <c r="Y143" i="131"/>
  <c r="Y144" i="131"/>
  <c r="X143" i="131"/>
  <c r="Z213" i="131"/>
  <c r="AD213" i="131"/>
  <c r="AF218" i="131"/>
  <c r="AB212" i="131"/>
  <c r="AH212" i="131"/>
  <c r="Z219" i="131"/>
  <c r="AB218" i="131"/>
  <c r="BF7" i="131"/>
  <c r="BF21" i="131"/>
  <c r="BG7" i="131"/>
  <c r="BG16" i="131"/>
  <c r="BH7" i="131"/>
  <c r="BH21" i="131"/>
  <c r="BG21" i="131"/>
  <c r="AP13" i="131" l="1"/>
  <c r="AQ15" i="131" s="1"/>
  <c r="AQ214" i="131"/>
  <c r="AZ216" i="131"/>
  <c r="AZ222" i="131" s="1"/>
  <c r="AV222" i="131"/>
  <c r="AX216" i="131"/>
  <c r="AX222" i="131" s="1"/>
  <c r="AT222" i="131"/>
  <c r="AX204" i="131"/>
  <c r="AT202" i="131"/>
  <c r="AP7" i="128"/>
  <c r="Z95" i="128"/>
  <c r="AD218" i="131"/>
  <c r="AD219" i="131" s="1"/>
  <c r="Z169" i="131"/>
  <c r="BF172" i="131"/>
  <c r="BF174" i="131"/>
  <c r="BH172" i="131"/>
  <c r="BH174" i="131"/>
  <c r="BG172" i="131"/>
  <c r="BG174" i="131"/>
  <c r="AT207" i="131"/>
  <c r="AX207" i="131" s="1"/>
  <c r="AX212" i="131" s="1"/>
  <c r="U453" i="131"/>
  <c r="AD428" i="131"/>
  <c r="AD429" i="131"/>
  <c r="V427" i="131"/>
  <c r="V428" i="131"/>
  <c r="V429" i="131"/>
  <c r="V426" i="131"/>
  <c r="AF428" i="131"/>
  <c r="AF429" i="131"/>
  <c r="AH425" i="131"/>
  <c r="AH434" i="131"/>
  <c r="AH435" i="131"/>
  <c r="AJ434" i="131"/>
  <c r="AJ425" i="131"/>
  <c r="AJ435" i="131"/>
  <c r="Z429" i="131"/>
  <c r="Z428" i="131"/>
  <c r="Z210" i="131"/>
  <c r="Z157" i="131"/>
  <c r="Z205" i="131"/>
  <c r="Z7" i="131"/>
  <c r="Z9" i="128"/>
  <c r="Z188" i="131"/>
  <c r="Z145" i="131"/>
  <c r="Z163" i="131"/>
  <c r="Z151" i="131"/>
  <c r="Z138" i="131"/>
  <c r="Z28" i="131"/>
  <c r="Z38" i="131"/>
  <c r="Z194" i="131"/>
  <c r="Z181" i="131"/>
  <c r="Z16" i="131"/>
  <c r="Z21" i="131"/>
  <c r="AL164" i="131"/>
  <c r="AH164" i="131"/>
  <c r="BI567" i="131"/>
  <c r="BJ567" i="131" s="1"/>
  <c r="BK567" i="131" s="1"/>
  <c r="BL567" i="131" s="1"/>
  <c r="BM567" i="131" s="1"/>
  <c r="BN567" i="131" s="1"/>
  <c r="BO567" i="131" s="1"/>
  <c r="BP567" i="131" s="1"/>
  <c r="T474" i="131"/>
  <c r="V458" i="131"/>
  <c r="U459" i="131"/>
  <c r="U460" i="131"/>
  <c r="U473" i="131"/>
  <c r="BJ636" i="131"/>
  <c r="BJ637" i="131" s="1"/>
  <c r="BM664" i="131"/>
  <c r="AB143" i="131"/>
  <c r="AF219" i="131"/>
  <c r="AH213" i="131"/>
  <c r="AB219" i="131"/>
  <c r="AP218" i="131"/>
  <c r="AH218" i="131"/>
  <c r="AF212" i="131"/>
  <c r="AL212" i="131"/>
  <c r="AP213" i="131" s="1"/>
  <c r="AB213" i="131"/>
  <c r="AP18" i="131" l="1"/>
  <c r="AQ20" i="131" s="1"/>
  <c r="AQ220" i="131"/>
  <c r="AP107" i="128"/>
  <c r="AP94" i="128"/>
  <c r="AT212" i="131"/>
  <c r="AT213" i="131" s="1"/>
  <c r="BJ171" i="131"/>
  <c r="AD172" i="131"/>
  <c r="AS207" i="131"/>
  <c r="AS166" i="131" s="1"/>
  <c r="AJ428" i="131"/>
  <c r="AJ429" i="131"/>
  <c r="AL435" i="131"/>
  <c r="AL425" i="131"/>
  <c r="AL434" i="131"/>
  <c r="AH428" i="131"/>
  <c r="AH429" i="131"/>
  <c r="AT135" i="131"/>
  <c r="AX135" i="131" s="1"/>
  <c r="BM656" i="131"/>
  <c r="BM661" i="131" s="1"/>
  <c r="BN664" i="131"/>
  <c r="AL218" i="131"/>
  <c r="AP219" i="131" s="1"/>
  <c r="Z73" i="130"/>
  <c r="Z64" i="129"/>
  <c r="Z76" i="129" s="1"/>
  <c r="Z97" i="128"/>
  <c r="Z98" i="128"/>
  <c r="Z99" i="128"/>
  <c r="Z16" i="128"/>
  <c r="Z100" i="128"/>
  <c r="U474" i="131"/>
  <c r="W458" i="131"/>
  <c r="X458" i="131" s="1"/>
  <c r="V460" i="131"/>
  <c r="V459" i="131"/>
  <c r="V473" i="131"/>
  <c r="Z473" i="131" s="1"/>
  <c r="BL661" i="131"/>
  <c r="BM639" i="131"/>
  <c r="BN639" i="131" s="1"/>
  <c r="BO639" i="131" s="1"/>
  <c r="BP639" i="131" s="1"/>
  <c r="AJ218" i="131"/>
  <c r="AJ212" i="131"/>
  <c r="AH219" i="131"/>
  <c r="AF213" i="131"/>
  <c r="AL213" i="131"/>
  <c r="AP8" i="128" l="1"/>
  <c r="AP6" i="131"/>
  <c r="AX213" i="131"/>
  <c r="AT209" i="131"/>
  <c r="AW207" i="131"/>
  <c r="BA207" i="131" s="1"/>
  <c r="BK172" i="131"/>
  <c r="AL429" i="131"/>
  <c r="AL428" i="131"/>
  <c r="AL219" i="131"/>
  <c r="BN656" i="131"/>
  <c r="BN661" i="131" s="1"/>
  <c r="BO664" i="131"/>
  <c r="AJ219" i="131"/>
  <c r="AR207" i="131"/>
  <c r="X460" i="131"/>
  <c r="Y458" i="131"/>
  <c r="Y473" i="131" s="1"/>
  <c r="X473" i="131"/>
  <c r="X459" i="131"/>
  <c r="Z73" i="129"/>
  <c r="Z80" i="129"/>
  <c r="Z70" i="129"/>
  <c r="Z80" i="130"/>
  <c r="Z81" i="129"/>
  <c r="Z82" i="129"/>
  <c r="Z79" i="129"/>
  <c r="Z75" i="129"/>
  <c r="Z78" i="129"/>
  <c r="Z96" i="128"/>
  <c r="Z58" i="128"/>
  <c r="Z24" i="128"/>
  <c r="V474" i="131"/>
  <c r="AD473" i="131"/>
  <c r="X24" i="131"/>
  <c r="W460" i="131"/>
  <c r="W459" i="131"/>
  <c r="AN218" i="131"/>
  <c r="AJ213" i="131"/>
  <c r="AN212" i="131"/>
  <c r="AQ10" i="131" l="1"/>
  <c r="AQ9" i="131"/>
  <c r="AP21" i="131"/>
  <c r="AP163" i="131"/>
  <c r="AP391" i="131"/>
  <c r="AP181" i="131"/>
  <c r="AP157" i="131"/>
  <c r="AP169" i="131"/>
  <c r="AP210" i="131"/>
  <c r="AP205" i="131"/>
  <c r="AP145" i="131"/>
  <c r="AP200" i="131"/>
  <c r="AP38" i="131"/>
  <c r="AP174" i="131"/>
  <c r="AP188" i="131"/>
  <c r="AP9" i="128"/>
  <c r="AP138" i="131"/>
  <c r="AP151" i="131"/>
  <c r="AP194" i="131"/>
  <c r="AP28" i="131"/>
  <c r="AP215" i="131"/>
  <c r="AP16" i="131"/>
  <c r="AP221" i="131"/>
  <c r="AP108" i="128"/>
  <c r="AP95" i="128"/>
  <c r="AX209" i="131"/>
  <c r="AV207" i="131"/>
  <c r="AZ207" i="131" s="1"/>
  <c r="AZ218" i="131" s="1"/>
  <c r="BO656" i="131"/>
  <c r="BO661" i="131" s="1"/>
  <c r="BP664" i="131"/>
  <c r="BP656" i="131" s="1"/>
  <c r="AT218" i="131"/>
  <c r="AT219" i="131" s="1"/>
  <c r="AX218" i="131"/>
  <c r="AR212" i="131"/>
  <c r="AR218" i="131"/>
  <c r="AS209" i="131"/>
  <c r="Z87" i="130"/>
  <c r="Z94" i="130"/>
  <c r="Z90" i="130"/>
  <c r="AH473" i="131"/>
  <c r="X474" i="131"/>
  <c r="AB473" i="131"/>
  <c r="Z67" i="129"/>
  <c r="Z83" i="130" s="1"/>
  <c r="Z88" i="130"/>
  <c r="Z101" i="128"/>
  <c r="Z30" i="128"/>
  <c r="Y27" i="131"/>
  <c r="X158" i="131"/>
  <c r="AB158" i="131" s="1"/>
  <c r="X164" i="131"/>
  <c r="AN219" i="131"/>
  <c r="X33" i="131"/>
  <c r="AN213" i="131"/>
  <c r="AQ82" i="128" l="1"/>
  <c r="AP64" i="129"/>
  <c r="AP98" i="128"/>
  <c r="AP16" i="128"/>
  <c r="AP109" i="128"/>
  <c r="AP116" i="128" s="1"/>
  <c r="AP100" i="128"/>
  <c r="AP97" i="128"/>
  <c r="AT97" i="128" s="1"/>
  <c r="AP99" i="128"/>
  <c r="BA209" i="131"/>
  <c r="AZ212" i="131"/>
  <c r="AW209" i="131"/>
  <c r="AV212" i="131"/>
  <c r="AV218" i="131"/>
  <c r="AV219" i="131" s="1"/>
  <c r="BP661" i="131"/>
  <c r="AX219" i="131"/>
  <c r="AR219" i="131"/>
  <c r="AR213" i="131"/>
  <c r="AL473" i="131"/>
  <c r="AP473" i="131" s="1"/>
  <c r="AB68" i="131"/>
  <c r="AF158" i="131"/>
  <c r="AB164" i="131"/>
  <c r="AF473" i="131"/>
  <c r="Z91" i="130"/>
  <c r="Z33" i="128"/>
  <c r="Z32" i="128"/>
  <c r="BI458" i="131"/>
  <c r="BI459" i="131" s="1"/>
  <c r="X25" i="131"/>
  <c r="X18" i="131"/>
  <c r="X8" i="128" s="1"/>
  <c r="Z458" i="131"/>
  <c r="AA458" i="131" s="1"/>
  <c r="Y459" i="131"/>
  <c r="Y460" i="131"/>
  <c r="AB185" i="131"/>
  <c r="AB180" i="131"/>
  <c r="AB191" i="131"/>
  <c r="AB570" i="131"/>
  <c r="AC185" i="131"/>
  <c r="AC191" i="131"/>
  <c r="BJ178" i="131"/>
  <c r="AA180" i="131"/>
  <c r="AQ84" i="128" l="1"/>
  <c r="AP125" i="128"/>
  <c r="BN116" i="128"/>
  <c r="AP24" i="128"/>
  <c r="AP58" i="128"/>
  <c r="AP96" i="128"/>
  <c r="AP73" i="129"/>
  <c r="AP79" i="129"/>
  <c r="AP70" i="129"/>
  <c r="AP81" i="129"/>
  <c r="AP74" i="129"/>
  <c r="AP75" i="129"/>
  <c r="AP76" i="129"/>
  <c r="AP80" i="130"/>
  <c r="AP80" i="129"/>
  <c r="AP82" i="129"/>
  <c r="AP78" i="129"/>
  <c r="AZ213" i="131"/>
  <c r="AZ219" i="131"/>
  <c r="AV213" i="131"/>
  <c r="BJ649" i="131"/>
  <c r="BJ565" i="131" s="1"/>
  <c r="BJ568" i="131" s="1"/>
  <c r="AJ158" i="131"/>
  <c r="AA459" i="131"/>
  <c r="AA460" i="131"/>
  <c r="AJ473" i="131"/>
  <c r="AN473" i="131" s="1"/>
  <c r="Z68" i="129"/>
  <c r="Z84" i="130" s="1"/>
  <c r="Z102" i="128"/>
  <c r="Z35" i="128"/>
  <c r="AF164" i="131"/>
  <c r="Y33" i="131"/>
  <c r="Y87" i="131"/>
  <c r="Y36" i="131"/>
  <c r="X13" i="131"/>
  <c r="X7" i="128" s="1"/>
  <c r="Z460" i="131"/>
  <c r="Z459" i="131"/>
  <c r="AC187" i="131"/>
  <c r="BJ185" i="131"/>
  <c r="BJ191" i="131"/>
  <c r="AB192" i="131"/>
  <c r="AB193" i="131"/>
  <c r="AG569" i="131"/>
  <c r="AC193" i="131"/>
  <c r="AB186" i="131"/>
  <c r="AB187" i="131"/>
  <c r="AQ89" i="128" l="1"/>
  <c r="AP94" i="130"/>
  <c r="AP88" i="130"/>
  <c r="AP87" i="130"/>
  <c r="AP90" i="130"/>
  <c r="AP67" i="129"/>
  <c r="AP83" i="130" s="1"/>
  <c r="AP59" i="128"/>
  <c r="AP101" i="128"/>
  <c r="AP30" i="128"/>
  <c r="BN125" i="128"/>
  <c r="AP129" i="128"/>
  <c r="AR473" i="131"/>
  <c r="AV473" i="131" s="1"/>
  <c r="AZ473" i="131" s="1"/>
  <c r="AT473" i="131"/>
  <c r="AX473" i="131" s="1"/>
  <c r="AJ164" i="131"/>
  <c r="AJ160" i="131" s="1"/>
  <c r="AJ154" i="131"/>
  <c r="AE570" i="131"/>
  <c r="AD570" i="131"/>
  <c r="BK178" i="131"/>
  <c r="X108" i="128"/>
  <c r="X107" i="128"/>
  <c r="X6" i="131"/>
  <c r="BI86" i="131"/>
  <c r="Y90" i="131"/>
  <c r="BI63" i="131"/>
  <c r="BI64" i="131" s="1"/>
  <c r="AB458" i="131"/>
  <c r="X19" i="131"/>
  <c r="X14" i="131"/>
  <c r="AF569" i="131"/>
  <c r="BJ189" i="131"/>
  <c r="AG185" i="131"/>
  <c r="AG191" i="131"/>
  <c r="AG179" i="131"/>
  <c r="BJ195" i="131"/>
  <c r="AP91" i="130" l="1"/>
  <c r="AP33" i="128"/>
  <c r="AP32" i="128"/>
  <c r="AP131" i="128"/>
  <c r="AP132" i="128"/>
  <c r="BN129" i="128"/>
  <c r="BN131" i="128" s="1"/>
  <c r="X10" i="131"/>
  <c r="X8" i="131"/>
  <c r="X9" i="128"/>
  <c r="BK649" i="131"/>
  <c r="BK650" i="131" s="1"/>
  <c r="BI76" i="131"/>
  <c r="BI84" i="131" s="1"/>
  <c r="BI87" i="131"/>
  <c r="BI100" i="131"/>
  <c r="X157" i="131"/>
  <c r="X163" i="131"/>
  <c r="X188" i="131"/>
  <c r="X181" i="131"/>
  <c r="X221" i="131"/>
  <c r="X194" i="131"/>
  <c r="X210" i="131"/>
  <c r="X215" i="131"/>
  <c r="X138" i="131"/>
  <c r="X151" i="131"/>
  <c r="X16" i="131"/>
  <c r="X145" i="131"/>
  <c r="X205" i="131"/>
  <c r="X7" i="131"/>
  <c r="X38" i="131"/>
  <c r="X28" i="131"/>
  <c r="X21" i="131"/>
  <c r="AC458" i="131"/>
  <c r="AB460" i="131"/>
  <c r="AB459" i="131"/>
  <c r="AG570" i="131"/>
  <c r="AG192" i="131"/>
  <c r="AG186" i="131"/>
  <c r="AF570" i="131"/>
  <c r="AF191" i="131"/>
  <c r="AG193" i="131" s="1"/>
  <c r="AF179" i="131"/>
  <c r="AF180" i="131"/>
  <c r="AF185" i="131"/>
  <c r="AD191" i="131"/>
  <c r="AD180" i="131"/>
  <c r="AD179" i="131"/>
  <c r="AD185" i="131"/>
  <c r="AG180" i="131"/>
  <c r="AE180" i="131"/>
  <c r="AE185" i="131"/>
  <c r="AE179" i="131"/>
  <c r="AE191" i="131"/>
  <c r="AQ90" i="128" l="1"/>
  <c r="AR32" i="128"/>
  <c r="AP135" i="128"/>
  <c r="BN132" i="128"/>
  <c r="AP68" i="129"/>
  <c r="AP84" i="130" s="1"/>
  <c r="AP61" i="128"/>
  <c r="AP35" i="128"/>
  <c r="AP102" i="128"/>
  <c r="X64" i="129"/>
  <c r="X81" i="129" s="1"/>
  <c r="X16" i="128"/>
  <c r="X24" i="128" s="1"/>
  <c r="BK565" i="131"/>
  <c r="BK569" i="131" s="1"/>
  <c r="X167" i="131"/>
  <c r="X169" i="131"/>
  <c r="AB167" i="131"/>
  <c r="BJ458" i="131"/>
  <c r="BJ459" i="131" s="1"/>
  <c r="AB33" i="131"/>
  <c r="X109" i="128"/>
  <c r="X116" i="128" s="1"/>
  <c r="AD458" i="131"/>
  <c r="AC460" i="131"/>
  <c r="AC459" i="131"/>
  <c r="AB160" i="131"/>
  <c r="AB25" i="131"/>
  <c r="AB154" i="131"/>
  <c r="AB13" i="131" s="1"/>
  <c r="AH569" i="131"/>
  <c r="AD186" i="131"/>
  <c r="AD187" i="131"/>
  <c r="BK185" i="131"/>
  <c r="AF192" i="131"/>
  <c r="AF193" i="131"/>
  <c r="AE193" i="131"/>
  <c r="AE192" i="131"/>
  <c r="AE187" i="131"/>
  <c r="AE186" i="131"/>
  <c r="BK179" i="131"/>
  <c r="AF187" i="131"/>
  <c r="AF186" i="131"/>
  <c r="AD193" i="131"/>
  <c r="AD192" i="131"/>
  <c r="BK191" i="131"/>
  <c r="AG187" i="131"/>
  <c r="AQ91" i="128" l="1"/>
  <c r="AP62" i="128"/>
  <c r="AP6" i="130"/>
  <c r="X75" i="129"/>
  <c r="BN137" i="128"/>
  <c r="BN138" i="128"/>
  <c r="AP137" i="128"/>
  <c r="AP138" i="128"/>
  <c r="X78" i="129"/>
  <c r="X79" i="129"/>
  <c r="X76" i="129"/>
  <c r="X70" i="129"/>
  <c r="X73" i="129"/>
  <c r="X82" i="129"/>
  <c r="X80" i="129"/>
  <c r="X74" i="129"/>
  <c r="X67" i="129"/>
  <c r="AB18" i="131"/>
  <c r="AB8" i="128" s="1"/>
  <c r="AB108" i="128" s="1"/>
  <c r="X26" i="128"/>
  <c r="X30" i="128"/>
  <c r="X125" i="128"/>
  <c r="X129" i="128" s="1"/>
  <c r="Z215" i="131"/>
  <c r="Z221" i="131"/>
  <c r="AB161" i="131"/>
  <c r="AE458" i="131"/>
  <c r="AD459" i="131"/>
  <c r="AD460" i="131"/>
  <c r="AB155" i="131"/>
  <c r="AI569" i="131"/>
  <c r="BK195" i="131"/>
  <c r="BK192" i="131"/>
  <c r="BK189" i="131"/>
  <c r="BK186" i="131"/>
  <c r="AJ569" i="131"/>
  <c r="AI185" i="131"/>
  <c r="AI191" i="131"/>
  <c r="AK569" i="131"/>
  <c r="AH191" i="131"/>
  <c r="AH185" i="131"/>
  <c r="AP29" i="130" l="1"/>
  <c r="AP68" i="130" s="1"/>
  <c r="AQ6" i="130"/>
  <c r="AQ29" i="130" s="1"/>
  <c r="AQ68" i="130" s="1"/>
  <c r="Z116" i="128"/>
  <c r="Z125" i="128" s="1"/>
  <c r="Z129" i="128" s="1"/>
  <c r="X33" i="128"/>
  <c r="X32" i="128"/>
  <c r="X132" i="128"/>
  <c r="X135" i="128" s="1"/>
  <c r="X138" i="128" s="1"/>
  <c r="X131" i="128"/>
  <c r="AB7" i="128"/>
  <c r="AB107" i="128" s="1"/>
  <c r="AB6" i="131"/>
  <c r="AB8" i="131" s="1"/>
  <c r="AB19" i="131"/>
  <c r="AB14" i="131"/>
  <c r="AF458" i="131"/>
  <c r="AE460" i="131"/>
  <c r="AE459" i="131"/>
  <c r="AI570" i="131"/>
  <c r="AH570" i="131"/>
  <c r="AI192" i="131"/>
  <c r="AI193" i="131"/>
  <c r="AH186" i="131"/>
  <c r="AH187" i="131"/>
  <c r="AI186" i="131"/>
  <c r="AI187" i="131"/>
  <c r="AH192" i="131"/>
  <c r="AH193" i="131"/>
  <c r="AK570" i="131"/>
  <c r="AK191" i="131"/>
  <c r="AK179" i="131"/>
  <c r="AK185" i="131"/>
  <c r="AK180" i="131"/>
  <c r="BL178" i="131"/>
  <c r="AJ570" i="131"/>
  <c r="AJ191" i="131"/>
  <c r="AJ18" i="131" s="1"/>
  <c r="AJ8" i="128" s="1"/>
  <c r="AJ95" i="128" s="1"/>
  <c r="AJ185" i="131"/>
  <c r="AJ13" i="131" s="1"/>
  <c r="AJ7" i="128" s="1"/>
  <c r="AJ94" i="128" s="1"/>
  <c r="AP59" i="130" l="1"/>
  <c r="AQ59" i="130"/>
  <c r="AP72" i="130"/>
  <c r="AP73" i="130"/>
  <c r="AP71" i="130"/>
  <c r="AB169" i="131"/>
  <c r="BL649" i="131"/>
  <c r="BL650" i="131" s="1"/>
  <c r="AB205" i="131"/>
  <c r="AB391" i="131"/>
  <c r="AD160" i="131"/>
  <c r="AB151" i="131"/>
  <c r="AB138" i="131"/>
  <c r="AB9" i="128"/>
  <c r="Z132" i="128"/>
  <c r="Z135" i="128" s="1"/>
  <c r="Z131" i="128"/>
  <c r="X68" i="129"/>
  <c r="X137" i="128"/>
  <c r="AB16" i="131"/>
  <c r="AB7" i="131"/>
  <c r="AB215" i="131"/>
  <c r="AB194" i="131"/>
  <c r="AB38" i="131"/>
  <c r="AB210" i="131"/>
  <c r="AB181" i="131"/>
  <c r="AB188" i="131"/>
  <c r="AB145" i="131"/>
  <c r="AB28" i="131"/>
  <c r="AB221" i="131"/>
  <c r="AB157" i="131"/>
  <c r="AB163" i="131"/>
  <c r="AB21" i="131"/>
  <c r="AG458" i="131"/>
  <c r="AF460" i="131"/>
  <c r="AF459" i="131"/>
  <c r="AD154" i="131"/>
  <c r="AD13" i="131" s="1"/>
  <c r="AD25" i="131"/>
  <c r="BL191" i="131"/>
  <c r="BL195" i="131" s="1"/>
  <c r="AJ187" i="131"/>
  <c r="AJ186" i="131"/>
  <c r="AJ192" i="131"/>
  <c r="AJ193" i="131"/>
  <c r="AK186" i="131"/>
  <c r="AK187" i="131"/>
  <c r="AR179" i="131"/>
  <c r="AK192" i="131"/>
  <c r="AK193" i="131"/>
  <c r="BL179" i="131"/>
  <c r="BL185" i="131"/>
  <c r="AQ72" i="130" l="1"/>
  <c r="AQ71" i="130"/>
  <c r="AQ73" i="130"/>
  <c r="BL565" i="131"/>
  <c r="BL568" i="131" s="1"/>
  <c r="BL569" i="131" s="1"/>
  <c r="BM649" i="131"/>
  <c r="BM565" i="131" s="1"/>
  <c r="AH68" i="131"/>
  <c r="AD18" i="131"/>
  <c r="AD8" i="128" s="1"/>
  <c r="AB16" i="128"/>
  <c r="AB69" i="128"/>
  <c r="AB64" i="129"/>
  <c r="AB80" i="130" s="1"/>
  <c r="AB94" i="130" s="1"/>
  <c r="AB109" i="128"/>
  <c r="AB116" i="128" s="1"/>
  <c r="AB125" i="128" s="1"/>
  <c r="AB129" i="128" s="1"/>
  <c r="Z138" i="128"/>
  <c r="Z137" i="128"/>
  <c r="BK458" i="131"/>
  <c r="BK459" i="131" s="1"/>
  <c r="BL192" i="131"/>
  <c r="AD155" i="131"/>
  <c r="AD161" i="131"/>
  <c r="AG460" i="131"/>
  <c r="AG459" i="131"/>
  <c r="AN191" i="131"/>
  <c r="AR192" i="131" s="1"/>
  <c r="AN185" i="131"/>
  <c r="AN179" i="131"/>
  <c r="AL569" i="131"/>
  <c r="AM569" i="131"/>
  <c r="BL186" i="131"/>
  <c r="BL189" i="131"/>
  <c r="AR186" i="131" l="1"/>
  <c r="AN13" i="131"/>
  <c r="BN649" i="131"/>
  <c r="BO649" i="131" s="1"/>
  <c r="AD6" i="131"/>
  <c r="AD108" i="128"/>
  <c r="AD95" i="128"/>
  <c r="AB87" i="130"/>
  <c r="AB88" i="130"/>
  <c r="AB90" i="130"/>
  <c r="AB58" i="128"/>
  <c r="AB24" i="128"/>
  <c r="AB132" i="128"/>
  <c r="AB135" i="128" s="1"/>
  <c r="AB131" i="128"/>
  <c r="AB78" i="129"/>
  <c r="AB70" i="129"/>
  <c r="AB79" i="129"/>
  <c r="AB74" i="129"/>
  <c r="AB73" i="129"/>
  <c r="AB75" i="129"/>
  <c r="AB81" i="129"/>
  <c r="AB82" i="129"/>
  <c r="AB76" i="129"/>
  <c r="AB80" i="129"/>
  <c r="AD7" i="128"/>
  <c r="AD19" i="131"/>
  <c r="AD14" i="131"/>
  <c r="AI458" i="131"/>
  <c r="AH459" i="131"/>
  <c r="AH460" i="131"/>
  <c r="AL185" i="131"/>
  <c r="AP186" i="131" s="1"/>
  <c r="AL191" i="131"/>
  <c r="AP192" i="131" s="1"/>
  <c r="AN186" i="131"/>
  <c r="AM185" i="131"/>
  <c r="AQ186" i="131" s="1"/>
  <c r="AM180" i="131"/>
  <c r="AM179" i="131"/>
  <c r="AN180" i="131"/>
  <c r="AN192" i="131"/>
  <c r="AN7" i="128" l="1"/>
  <c r="AN94" i="128" s="1"/>
  <c r="AR94" i="128" s="1"/>
  <c r="AV94" i="128" s="1"/>
  <c r="AZ94" i="128" s="1"/>
  <c r="BN565" i="131"/>
  <c r="AD8" i="131"/>
  <c r="AD200" i="131"/>
  <c r="AD174" i="131"/>
  <c r="AD138" i="131"/>
  <c r="AD169" i="131"/>
  <c r="AD210" i="131"/>
  <c r="AD391" i="131"/>
  <c r="AD151" i="131"/>
  <c r="BO565" i="131"/>
  <c r="BP649" i="131"/>
  <c r="BP565" i="131" s="1"/>
  <c r="AN193" i="131"/>
  <c r="AD107" i="128"/>
  <c r="AD94" i="128"/>
  <c r="AB138" i="128"/>
  <c r="AB137" i="128"/>
  <c r="AB30" i="128"/>
  <c r="AH33" i="131"/>
  <c r="AD9" i="128"/>
  <c r="AJ458" i="131"/>
  <c r="AI460" i="131"/>
  <c r="AI459" i="131"/>
  <c r="AD16" i="131"/>
  <c r="AD38" i="131"/>
  <c r="AD205" i="131"/>
  <c r="AD7" i="131"/>
  <c r="AD221" i="131"/>
  <c r="AD145" i="131"/>
  <c r="AD194" i="131"/>
  <c r="AD28" i="131"/>
  <c r="AD188" i="131"/>
  <c r="AD215" i="131"/>
  <c r="AD181" i="131"/>
  <c r="AD163" i="131"/>
  <c r="AD157" i="131"/>
  <c r="AD21" i="131"/>
  <c r="AL193" i="131"/>
  <c r="AL192" i="131"/>
  <c r="AM187" i="131"/>
  <c r="AM186" i="131"/>
  <c r="AM192" i="131"/>
  <c r="AM193" i="131"/>
  <c r="AN187" i="131"/>
  <c r="AL187" i="131"/>
  <c r="AL186" i="131"/>
  <c r="BP569" i="131" l="1"/>
  <c r="AH160" i="131"/>
  <c r="AH154" i="131"/>
  <c r="AI156" i="131" s="1"/>
  <c r="AH25" i="131"/>
  <c r="AD97" i="128"/>
  <c r="AD99" i="128"/>
  <c r="AD98" i="128"/>
  <c r="AD64" i="129"/>
  <c r="AD109" i="128"/>
  <c r="AD116" i="128" s="1"/>
  <c r="AD125" i="128" s="1"/>
  <c r="AD129" i="128" s="1"/>
  <c r="AB91" i="130"/>
  <c r="AB33" i="128"/>
  <c r="AB32" i="128"/>
  <c r="AK458" i="131"/>
  <c r="AJ460" i="131"/>
  <c r="AJ459" i="131"/>
  <c r="AH18" i="131" l="1"/>
  <c r="AH155" i="131"/>
  <c r="AH13" i="131"/>
  <c r="AH161" i="131"/>
  <c r="AD76" i="129"/>
  <c r="AD70" i="129"/>
  <c r="AD78" i="129"/>
  <c r="AD74" i="129"/>
  <c r="AD79" i="129"/>
  <c r="AD81" i="129"/>
  <c r="AD80" i="130"/>
  <c r="AD80" i="129"/>
  <c r="AD82" i="129"/>
  <c r="AD73" i="129"/>
  <c r="AD75" i="129"/>
  <c r="AD131" i="128"/>
  <c r="AD132" i="128"/>
  <c r="AD135" i="128" s="1"/>
  <c r="BL458" i="131"/>
  <c r="BL459" i="131" s="1"/>
  <c r="AL458" i="131"/>
  <c r="AK459" i="131"/>
  <c r="AK460" i="131"/>
  <c r="AH7" i="128" l="1"/>
  <c r="AH94" i="128" s="1"/>
  <c r="AH8" i="128"/>
  <c r="AH95" i="128" s="1"/>
  <c r="AH19" i="131"/>
  <c r="AH14" i="131"/>
  <c r="AH6" i="131"/>
  <c r="AD138" i="128"/>
  <c r="AD137" i="128"/>
  <c r="AD94" i="130"/>
  <c r="AD88" i="130"/>
  <c r="AD90" i="130"/>
  <c r="AD87" i="130"/>
  <c r="AM458" i="131"/>
  <c r="AL460" i="131"/>
  <c r="AL459" i="131"/>
  <c r="AH8" i="131" l="1"/>
  <c r="AH200" i="131"/>
  <c r="AH174" i="131"/>
  <c r="AH210" i="131"/>
  <c r="AH169" i="131"/>
  <c r="AH108" i="128"/>
  <c r="AH107" i="128"/>
  <c r="AH7" i="131"/>
  <c r="AH205" i="131"/>
  <c r="AH163" i="131"/>
  <c r="AH157" i="131"/>
  <c r="AH145" i="131"/>
  <c r="AH28" i="131"/>
  <c r="AH151" i="131"/>
  <c r="AH38" i="131"/>
  <c r="AH188" i="131"/>
  <c r="AH221" i="131"/>
  <c r="AH215" i="131"/>
  <c r="AH391" i="131"/>
  <c r="AH181" i="131"/>
  <c r="AH21" i="131"/>
  <c r="AH9" i="128"/>
  <c r="AH138" i="131"/>
  <c r="AH194" i="131"/>
  <c r="AH16" i="131"/>
  <c r="AL160" i="131"/>
  <c r="AL18" i="131" s="1"/>
  <c r="AL33" i="131"/>
  <c r="AN458" i="131"/>
  <c r="AM460" i="131"/>
  <c r="AM459" i="131"/>
  <c r="AL8" i="128" l="1"/>
  <c r="AP161" i="131"/>
  <c r="AH64" i="129"/>
  <c r="AH82" i="129" s="1"/>
  <c r="AH98" i="128"/>
  <c r="AH97" i="128"/>
  <c r="AH99" i="128"/>
  <c r="AH16" i="128"/>
  <c r="AH24" i="128" s="1"/>
  <c r="AH69" i="128"/>
  <c r="AH109" i="128"/>
  <c r="AH116" i="128" s="1"/>
  <c r="AH125" i="128" s="1"/>
  <c r="AH129" i="128" s="1"/>
  <c r="AL25" i="131"/>
  <c r="AO458" i="131"/>
  <c r="AP458" i="131" s="1"/>
  <c r="AQ458" i="131" s="1"/>
  <c r="AN460" i="131"/>
  <c r="AN459" i="131"/>
  <c r="AL161" i="131"/>
  <c r="AQ460" i="131" l="1"/>
  <c r="AQ459" i="131"/>
  <c r="AP460" i="131"/>
  <c r="AP459" i="131"/>
  <c r="AL13" i="131"/>
  <c r="AL7" i="128" s="1"/>
  <c r="AP155" i="131"/>
  <c r="AL19" i="131"/>
  <c r="AP19" i="131"/>
  <c r="AN425" i="131"/>
  <c r="AH75" i="129"/>
  <c r="AH80" i="129"/>
  <c r="AH73" i="129"/>
  <c r="AH78" i="129"/>
  <c r="AH70" i="129"/>
  <c r="AH74" i="129"/>
  <c r="AH79" i="129"/>
  <c r="AH81" i="129"/>
  <c r="AH76" i="129"/>
  <c r="AL108" i="128"/>
  <c r="AL95" i="128"/>
  <c r="AT95" i="128" s="1"/>
  <c r="AX95" i="128" s="1"/>
  <c r="AH96" i="128"/>
  <c r="AH132" i="128"/>
  <c r="AH135" i="128" s="1"/>
  <c r="AH131" i="128"/>
  <c r="AL155" i="131"/>
  <c r="BM458" i="131"/>
  <c r="BM459" i="131" s="1"/>
  <c r="AO460" i="131"/>
  <c r="AO459" i="131"/>
  <c r="BM67" i="128"/>
  <c r="BL67" i="128"/>
  <c r="BK67" i="128"/>
  <c r="BJ67" i="128"/>
  <c r="BI67" i="128"/>
  <c r="BH67" i="128"/>
  <c r="BG67" i="128"/>
  <c r="BF67" i="128"/>
  <c r="BE67" i="128"/>
  <c r="BD67" i="128"/>
  <c r="BM4" i="130"/>
  <c r="BL4" i="130"/>
  <c r="BK4" i="130"/>
  <c r="BJ4" i="130"/>
  <c r="BI4" i="130"/>
  <c r="BH4" i="130"/>
  <c r="BF4" i="130"/>
  <c r="BE4" i="130"/>
  <c r="BD4" i="130"/>
  <c r="BG4" i="130"/>
  <c r="BM4" i="129"/>
  <c r="BL4" i="129"/>
  <c r="BK4" i="129"/>
  <c r="BJ4" i="129"/>
  <c r="BI4" i="129"/>
  <c r="BH4" i="129"/>
  <c r="BG4" i="129"/>
  <c r="BF4" i="129"/>
  <c r="BE4" i="129"/>
  <c r="BD4" i="129"/>
  <c r="BC4" i="129"/>
  <c r="BD21" i="129"/>
  <c r="BE21" i="129"/>
  <c r="AM39" i="129"/>
  <c r="BD48" i="129"/>
  <c r="BE48" i="129"/>
  <c r="BF48" i="129"/>
  <c r="BG48" i="129"/>
  <c r="BH48" i="129"/>
  <c r="BD29" i="129"/>
  <c r="BE29" i="129"/>
  <c r="BF29" i="129"/>
  <c r="BG29" i="129"/>
  <c r="BH29" i="129"/>
  <c r="BD30" i="129"/>
  <c r="BE30" i="129"/>
  <c r="BF30" i="129"/>
  <c r="BG30" i="129"/>
  <c r="BH30" i="129"/>
  <c r="BD31" i="129"/>
  <c r="BE31" i="129"/>
  <c r="BF31" i="129"/>
  <c r="BG31" i="129"/>
  <c r="BH31" i="129"/>
  <c r="BD32" i="129"/>
  <c r="BE32" i="129"/>
  <c r="BF32" i="129"/>
  <c r="BG32" i="129"/>
  <c r="BH32" i="129"/>
  <c r="BD34" i="129"/>
  <c r="BE34" i="129"/>
  <c r="BF34" i="129"/>
  <c r="BG34" i="129"/>
  <c r="BH34" i="129"/>
  <c r="BD11" i="129"/>
  <c r="BE11" i="129"/>
  <c r="BF11" i="129"/>
  <c r="BG11" i="129"/>
  <c r="BH11" i="129"/>
  <c r="BI11" i="129"/>
  <c r="BJ11" i="129"/>
  <c r="BK11" i="129"/>
  <c r="BL11" i="129"/>
  <c r="BM11" i="129"/>
  <c r="BD12" i="129"/>
  <c r="BE12" i="129"/>
  <c r="BF12" i="129"/>
  <c r="BG12" i="129"/>
  <c r="BH12" i="129"/>
  <c r="BI12" i="129"/>
  <c r="BJ12" i="129"/>
  <c r="BK12" i="129"/>
  <c r="BL12" i="129"/>
  <c r="BM12" i="129"/>
  <c r="BD14" i="129"/>
  <c r="BE14" i="129"/>
  <c r="BF14" i="129"/>
  <c r="BG14" i="129"/>
  <c r="BH14" i="129"/>
  <c r="BD16" i="130"/>
  <c r="BE16" i="130"/>
  <c r="BF16" i="130"/>
  <c r="BG16" i="130"/>
  <c r="BH16" i="130"/>
  <c r="BI16" i="130"/>
  <c r="BJ16" i="130"/>
  <c r="BK16" i="130"/>
  <c r="BD17" i="130"/>
  <c r="BE17" i="130"/>
  <c r="BF17" i="130"/>
  <c r="BG17" i="130"/>
  <c r="BH17" i="130"/>
  <c r="BI17" i="130"/>
  <c r="BJ17" i="130"/>
  <c r="BK17" i="130"/>
  <c r="BD18" i="130"/>
  <c r="BE18" i="130"/>
  <c r="BF18" i="130"/>
  <c r="BG18" i="130"/>
  <c r="BH18" i="130"/>
  <c r="BI18" i="130"/>
  <c r="BJ18" i="130"/>
  <c r="BK18" i="130"/>
  <c r="BD41" i="130"/>
  <c r="BE41" i="130"/>
  <c r="BD38" i="130"/>
  <c r="BE38" i="130"/>
  <c r="BF38" i="130"/>
  <c r="BG38" i="130"/>
  <c r="BH38" i="130"/>
  <c r="BI38" i="130"/>
  <c r="BJ38" i="130"/>
  <c r="BK38" i="130"/>
  <c r="BL38" i="130"/>
  <c r="BD39" i="130"/>
  <c r="BE39" i="130"/>
  <c r="BF39" i="130"/>
  <c r="BG39" i="130"/>
  <c r="BH39" i="130"/>
  <c r="BI39" i="130"/>
  <c r="BJ39" i="130"/>
  <c r="BK39" i="130"/>
  <c r="BL39" i="130"/>
  <c r="AL6" i="131" l="1"/>
  <c r="AP8" i="131" s="1"/>
  <c r="AL14" i="131"/>
  <c r="AP14" i="131"/>
  <c r="AN429" i="131"/>
  <c r="AN428" i="131"/>
  <c r="AL107" i="128"/>
  <c r="AL94" i="128"/>
  <c r="AT94" i="128" s="1"/>
  <c r="AX94" i="128" s="1"/>
  <c r="AL205" i="131"/>
  <c r="AH137" i="128"/>
  <c r="AH138" i="128"/>
  <c r="BN39" i="129"/>
  <c r="BN7" i="129"/>
  <c r="AD85" i="129"/>
  <c r="AE85" i="129"/>
  <c r="AB85" i="129"/>
  <c r="AC85" i="129"/>
  <c r="AL194" i="131"/>
  <c r="AL215" i="131"/>
  <c r="AN85" i="129"/>
  <c r="AM85" i="129"/>
  <c r="AL85" i="129"/>
  <c r="AA85" i="129"/>
  <c r="Y85" i="129"/>
  <c r="X85" i="129"/>
  <c r="AL16" i="131" l="1"/>
  <c r="AL181" i="131"/>
  <c r="AL210" i="131"/>
  <c r="AL7" i="131"/>
  <c r="AL157" i="131"/>
  <c r="AL391" i="131"/>
  <c r="AL28" i="131"/>
  <c r="AL221" i="131"/>
  <c r="AL38" i="131"/>
  <c r="AL188" i="131"/>
  <c r="AL174" i="131"/>
  <c r="AL145" i="131"/>
  <c r="AL200" i="131"/>
  <c r="AL151" i="131"/>
  <c r="AL9" i="128"/>
  <c r="AL109" i="128" s="1"/>
  <c r="AL116" i="128" s="1"/>
  <c r="AL125" i="128" s="1"/>
  <c r="AL129" i="128" s="1"/>
  <c r="AL163" i="131"/>
  <c r="AL138" i="131"/>
  <c r="AL21" i="131"/>
  <c r="AL8" i="131"/>
  <c r="AP7" i="131"/>
  <c r="AL167" i="131"/>
  <c r="AL169" i="131"/>
  <c r="AR7" i="129"/>
  <c r="AS7" i="129" s="1"/>
  <c r="AT7" i="129" s="1"/>
  <c r="AU7" i="129" s="1"/>
  <c r="AV7" i="129" s="1"/>
  <c r="AW7" i="129" s="1"/>
  <c r="AX7" i="129" s="1"/>
  <c r="AY7" i="129" s="1"/>
  <c r="AZ7" i="129" s="1"/>
  <c r="BA7" i="129" s="1"/>
  <c r="BP7" i="129" s="1"/>
  <c r="AR39" i="129"/>
  <c r="AS39" i="129" s="1"/>
  <c r="AT39" i="129" s="1"/>
  <c r="AU39" i="129" s="1"/>
  <c r="AV39" i="129" s="1"/>
  <c r="AW39" i="129" s="1"/>
  <c r="AX39" i="129" s="1"/>
  <c r="AY39" i="129" s="1"/>
  <c r="AZ39" i="129" s="1"/>
  <c r="BA39" i="129" s="1"/>
  <c r="BP39" i="129" s="1"/>
  <c r="AR458" i="131"/>
  <c r="Y150" i="128"/>
  <c r="Y45" i="128" s="1"/>
  <c r="Y43" i="128" s="1"/>
  <c r="Y48" i="129"/>
  <c r="Z48" i="129" s="1"/>
  <c r="AA48" i="129" s="1"/>
  <c r="Y47" i="129"/>
  <c r="Y46" i="129"/>
  <c r="X45" i="129"/>
  <c r="Y45" i="129" s="1"/>
  <c r="Z45" i="129" s="1"/>
  <c r="AA45" i="129" s="1"/>
  <c r="AB45" i="129" s="1"/>
  <c r="AC45" i="129" s="1"/>
  <c r="AH45" i="129" s="1"/>
  <c r="AI45" i="129" s="1"/>
  <c r="X31" i="129"/>
  <c r="Y31" i="129" s="1"/>
  <c r="AD30" i="129"/>
  <c r="BN30" i="129" s="1"/>
  <c r="AE30" i="129"/>
  <c r="AH26" i="129"/>
  <c r="AI26" i="129" s="1"/>
  <c r="AJ26" i="129" s="1"/>
  <c r="BN26" i="129" s="1"/>
  <c r="AL98" i="128" l="1"/>
  <c r="AL97" i="128"/>
  <c r="AL99" i="128"/>
  <c r="AP69" i="128"/>
  <c r="AT98" i="128"/>
  <c r="AX98" i="128" s="1"/>
  <c r="AT99" i="128"/>
  <c r="AX99" i="128" s="1"/>
  <c r="BO39" i="129"/>
  <c r="BO7" i="129"/>
  <c r="AL132" i="128"/>
  <c r="AL135" i="128" s="1"/>
  <c r="AL131" i="128"/>
  <c r="AJ45" i="129"/>
  <c r="AR27" i="130"/>
  <c r="BN17" i="129"/>
  <c r="BN19" i="129"/>
  <c r="BN38" i="129"/>
  <c r="AR460" i="131"/>
  <c r="AS458" i="131"/>
  <c r="AR459" i="131"/>
  <c r="Z46" i="129"/>
  <c r="Y49" i="129"/>
  <c r="Z47" i="129"/>
  <c r="AA47" i="129" s="1"/>
  <c r="AB47" i="129" s="1"/>
  <c r="AD47" i="129" s="1"/>
  <c r="AE47" i="129" s="1"/>
  <c r="AE46" i="129"/>
  <c r="AO150" i="128"/>
  <c r="AO45" i="128" s="1"/>
  <c r="Z150" i="128"/>
  <c r="Z45" i="128" s="1"/>
  <c r="Z43" i="128" s="1"/>
  <c r="AL150" i="128"/>
  <c r="AL45" i="128" s="1"/>
  <c r="AA150" i="128"/>
  <c r="AA45" i="128" s="1"/>
  <c r="AA43" i="128" s="1"/>
  <c r="AD150" i="128"/>
  <c r="W150" i="128"/>
  <c r="W45" i="128" s="1"/>
  <c r="W43" i="128" s="1"/>
  <c r="X150" i="128"/>
  <c r="X45" i="128" s="1"/>
  <c r="X43" i="128" s="1"/>
  <c r="AF150" i="128"/>
  <c r="AF45" i="128" s="1"/>
  <c r="AH150" i="128"/>
  <c r="AH45" i="128" s="1"/>
  <c r="AH43" i="128" s="1"/>
  <c r="AB150" i="128"/>
  <c r="AB45" i="128" s="1"/>
  <c r="AB43" i="128" s="1"/>
  <c r="AJ150" i="128"/>
  <c r="AJ45" i="128" s="1"/>
  <c r="AJ43" i="128" s="1"/>
  <c r="AK150" i="128"/>
  <c r="AK45" i="128" s="1"/>
  <c r="AC30" i="129"/>
  <c r="BI30" i="129"/>
  <c r="AB48" i="129"/>
  <c r="BI48" i="129"/>
  <c r="AA31" i="129"/>
  <c r="AC31" i="129" s="1"/>
  <c r="BI31" i="129"/>
  <c r="U56" i="130"/>
  <c r="T56" i="130"/>
  <c r="S56" i="130"/>
  <c r="R56" i="130"/>
  <c r="Q56" i="130"/>
  <c r="P56" i="130"/>
  <c r="O56" i="130"/>
  <c r="N56" i="130"/>
  <c r="M56" i="130"/>
  <c r="L56" i="130"/>
  <c r="K56" i="130"/>
  <c r="J56" i="130"/>
  <c r="I56" i="130"/>
  <c r="H56" i="130"/>
  <c r="G56" i="130"/>
  <c r="F56" i="130"/>
  <c r="E56" i="130"/>
  <c r="D56" i="130"/>
  <c r="C56" i="130"/>
  <c r="B56" i="130"/>
  <c r="V56" i="130"/>
  <c r="V19" i="130"/>
  <c r="U19" i="130"/>
  <c r="T19" i="130"/>
  <c r="S19" i="130"/>
  <c r="R19" i="130"/>
  <c r="Q19" i="130"/>
  <c r="P19" i="130"/>
  <c r="O19" i="130"/>
  <c r="N19" i="130"/>
  <c r="M19" i="130"/>
  <c r="L19" i="130"/>
  <c r="K19" i="130"/>
  <c r="J19" i="130"/>
  <c r="I19" i="130"/>
  <c r="H19" i="130"/>
  <c r="G19" i="130"/>
  <c r="F19" i="130"/>
  <c r="E19" i="130"/>
  <c r="D19" i="130"/>
  <c r="C19" i="130"/>
  <c r="B19" i="130"/>
  <c r="F3" i="130"/>
  <c r="BW3" i="130" s="1"/>
  <c r="J3" i="130"/>
  <c r="CA3" i="130" s="1"/>
  <c r="N3" i="130"/>
  <c r="CE3" i="130" s="1"/>
  <c r="R3" i="130"/>
  <c r="CI3" i="130" s="1"/>
  <c r="V3" i="130"/>
  <c r="CM3" i="130" s="1"/>
  <c r="Z3" i="130"/>
  <c r="CQ3" i="130" s="1"/>
  <c r="AD3" i="130"/>
  <c r="CU3" i="130" s="1"/>
  <c r="AH3" i="130"/>
  <c r="CY3" i="130" s="1"/>
  <c r="AL3" i="130"/>
  <c r="DC3" i="130" s="1"/>
  <c r="AO4" i="130"/>
  <c r="DF4" i="130" s="1"/>
  <c r="AN4" i="130"/>
  <c r="DE4" i="130" s="1"/>
  <c r="AM4" i="130"/>
  <c r="DD4" i="130" s="1"/>
  <c r="AL4" i="130"/>
  <c r="DC4" i="130" s="1"/>
  <c r="AK4" i="130"/>
  <c r="DB4" i="130" s="1"/>
  <c r="AJ4" i="130"/>
  <c r="DA4" i="130" s="1"/>
  <c r="AI4" i="130"/>
  <c r="CZ4" i="130" s="1"/>
  <c r="AH4" i="130"/>
  <c r="CY4" i="130" s="1"/>
  <c r="AG4" i="130"/>
  <c r="CX4" i="130" s="1"/>
  <c r="AF4" i="130"/>
  <c r="CW4" i="130" s="1"/>
  <c r="AE4" i="130"/>
  <c r="CV4" i="130" s="1"/>
  <c r="AD4" i="130"/>
  <c r="CU4" i="130" s="1"/>
  <c r="AC4" i="130"/>
  <c r="CT4" i="130" s="1"/>
  <c r="AB4" i="130"/>
  <c r="CS4" i="130" s="1"/>
  <c r="AA4" i="130"/>
  <c r="CR4" i="130" s="1"/>
  <c r="Z4" i="130"/>
  <c r="CQ4" i="130" s="1"/>
  <c r="Y4" i="130"/>
  <c r="CP4" i="130" s="1"/>
  <c r="X4" i="130"/>
  <c r="CO4" i="130" s="1"/>
  <c r="W4" i="130"/>
  <c r="CN4" i="130" s="1"/>
  <c r="V4" i="130"/>
  <c r="CM4" i="130" s="1"/>
  <c r="U4" i="130"/>
  <c r="CL4" i="130" s="1"/>
  <c r="T4" i="130"/>
  <c r="CK4" i="130" s="1"/>
  <c r="S4" i="130"/>
  <c r="CJ4" i="130" s="1"/>
  <c r="R4" i="130"/>
  <c r="CI4" i="130" s="1"/>
  <c r="Q4" i="130"/>
  <c r="CH4" i="130" s="1"/>
  <c r="P4" i="130"/>
  <c r="CG4" i="130" s="1"/>
  <c r="O4" i="130"/>
  <c r="CF4" i="130" s="1"/>
  <c r="N4" i="130"/>
  <c r="CE4" i="130" s="1"/>
  <c r="M4" i="130"/>
  <c r="CD4" i="130" s="1"/>
  <c r="L4" i="130"/>
  <c r="CC4" i="130" s="1"/>
  <c r="K4" i="130"/>
  <c r="CB4" i="130" s="1"/>
  <c r="J4" i="130"/>
  <c r="CA4" i="130" s="1"/>
  <c r="I4" i="130"/>
  <c r="BZ4" i="130" s="1"/>
  <c r="H4" i="130"/>
  <c r="BY4" i="130" s="1"/>
  <c r="G4" i="130"/>
  <c r="BX4" i="130" s="1"/>
  <c r="F4" i="130"/>
  <c r="BW4" i="130" s="1"/>
  <c r="E4" i="130"/>
  <c r="BV4" i="130" s="1"/>
  <c r="D4" i="130"/>
  <c r="BU4" i="130" s="1"/>
  <c r="C4" i="130"/>
  <c r="BT4" i="130" s="1"/>
  <c r="B4" i="130"/>
  <c r="BS4" i="130" s="1"/>
  <c r="B3" i="130"/>
  <c r="BS3" i="130" s="1"/>
  <c r="A1" i="130"/>
  <c r="BD69" i="130"/>
  <c r="BL66" i="130"/>
  <c r="BK66" i="130"/>
  <c r="BJ66" i="130"/>
  <c r="W66" i="130"/>
  <c r="V66" i="130"/>
  <c r="U66" i="130"/>
  <c r="T66" i="130"/>
  <c r="S66" i="130"/>
  <c r="R66" i="130"/>
  <c r="Q66" i="130"/>
  <c r="P66" i="130"/>
  <c r="O66" i="130"/>
  <c r="N66" i="130"/>
  <c r="BL65" i="130"/>
  <c r="BK65" i="130"/>
  <c r="BJ65" i="130"/>
  <c r="W65" i="130"/>
  <c r="V65" i="130"/>
  <c r="U65" i="130"/>
  <c r="T65" i="130"/>
  <c r="S65" i="130"/>
  <c r="R65" i="130"/>
  <c r="Q65" i="130"/>
  <c r="P65" i="130"/>
  <c r="O65" i="130"/>
  <c r="N65" i="130"/>
  <c r="BD61" i="130"/>
  <c r="BL58" i="130"/>
  <c r="BK58" i="130"/>
  <c r="BJ58" i="130"/>
  <c r="DF56" i="130"/>
  <c r="DE56" i="130"/>
  <c r="DC56" i="130"/>
  <c r="DA56" i="130"/>
  <c r="CZ56" i="130"/>
  <c r="CY56" i="130"/>
  <c r="CX56" i="130"/>
  <c r="CW56" i="130"/>
  <c r="CV56" i="130"/>
  <c r="CU56" i="130"/>
  <c r="CT56" i="130"/>
  <c r="CS56" i="130"/>
  <c r="CR56" i="130"/>
  <c r="CQ56" i="130"/>
  <c r="CO56" i="130"/>
  <c r="CN56" i="130"/>
  <c r="CM56" i="130"/>
  <c r="CL56" i="130"/>
  <c r="CK56" i="130"/>
  <c r="CJ56" i="130"/>
  <c r="CI56" i="130"/>
  <c r="CH56" i="130"/>
  <c r="CG56" i="130"/>
  <c r="CF56" i="130"/>
  <c r="CE56" i="130"/>
  <c r="CD56" i="130"/>
  <c r="CC56" i="130"/>
  <c r="CB56" i="130"/>
  <c r="CA56" i="130"/>
  <c r="BZ56" i="130"/>
  <c r="BY56" i="130"/>
  <c r="BX56" i="130"/>
  <c r="BW56" i="130"/>
  <c r="BV56" i="130"/>
  <c r="BU56" i="130"/>
  <c r="BT56" i="130"/>
  <c r="BS56" i="130"/>
  <c r="BL55" i="130"/>
  <c r="BK55" i="130"/>
  <c r="BJ55" i="130"/>
  <c r="BL54" i="130"/>
  <c r="BK54" i="130"/>
  <c r="BJ54" i="130"/>
  <c r="BE54" i="130"/>
  <c r="BL53" i="130"/>
  <c r="BK53" i="130"/>
  <c r="BJ53" i="130"/>
  <c r="BL52" i="130"/>
  <c r="BK52" i="130"/>
  <c r="BJ52" i="130"/>
  <c r="BL51" i="130"/>
  <c r="BK51" i="130"/>
  <c r="BJ51" i="130"/>
  <c r="BL50" i="130"/>
  <c r="BK50" i="130"/>
  <c r="BJ50" i="130"/>
  <c r="BL49" i="130"/>
  <c r="BK49" i="130"/>
  <c r="BJ49" i="130"/>
  <c r="BL48" i="130"/>
  <c r="BK48" i="130"/>
  <c r="BJ48" i="130"/>
  <c r="BH47" i="130"/>
  <c r="BF47" i="130"/>
  <c r="BL46" i="130"/>
  <c r="BK46" i="130"/>
  <c r="BJ46" i="130"/>
  <c r="BL45" i="130"/>
  <c r="BK45" i="130"/>
  <c r="BJ45" i="130"/>
  <c r="DF42" i="130"/>
  <c r="DE42" i="130"/>
  <c r="DC42" i="130"/>
  <c r="DA42" i="130"/>
  <c r="CZ42" i="130"/>
  <c r="CY42" i="130"/>
  <c r="CX42" i="130"/>
  <c r="CW42" i="130"/>
  <c r="CV42" i="130"/>
  <c r="CU42" i="130"/>
  <c r="CT42" i="130"/>
  <c r="CS42" i="130"/>
  <c r="CR42" i="130"/>
  <c r="CQ42" i="130"/>
  <c r="CO42" i="130"/>
  <c r="CN42" i="130"/>
  <c r="CM42" i="130"/>
  <c r="CL42" i="130"/>
  <c r="CK42" i="130"/>
  <c r="CJ42" i="130"/>
  <c r="CI42" i="130"/>
  <c r="CH42" i="130"/>
  <c r="CG42" i="130"/>
  <c r="CF42" i="130"/>
  <c r="CE42" i="130"/>
  <c r="CD42" i="130"/>
  <c r="CC42" i="130"/>
  <c r="CB42" i="130"/>
  <c r="CA42" i="130"/>
  <c r="BZ42" i="130"/>
  <c r="BY42" i="130"/>
  <c r="BX42" i="130"/>
  <c r="BW42" i="130"/>
  <c r="BV42" i="130"/>
  <c r="BU42" i="130"/>
  <c r="BT42" i="130"/>
  <c r="BS42" i="130"/>
  <c r="BL41" i="130"/>
  <c r="BK41" i="130"/>
  <c r="BJ41" i="130"/>
  <c r="BL40" i="130"/>
  <c r="BK40" i="130"/>
  <c r="BJ40" i="130"/>
  <c r="BL37" i="130"/>
  <c r="BK37" i="130"/>
  <c r="BJ37" i="130"/>
  <c r="BL34" i="130"/>
  <c r="BK34" i="130"/>
  <c r="BJ34" i="130"/>
  <c r="BL33" i="130"/>
  <c r="BK33" i="130"/>
  <c r="BJ33" i="130"/>
  <c r="BL32" i="130"/>
  <c r="BK32" i="130"/>
  <c r="BJ32" i="130"/>
  <c r="DF19" i="130"/>
  <c r="DF29" i="130" s="1"/>
  <c r="DE19" i="130"/>
  <c r="DE29" i="130" s="1"/>
  <c r="DC19" i="130"/>
  <c r="DC29" i="130" s="1"/>
  <c r="DA19" i="130"/>
  <c r="DA29" i="130" s="1"/>
  <c r="CZ19" i="130"/>
  <c r="CZ29" i="130" s="1"/>
  <c r="CY19" i="130"/>
  <c r="CY29" i="130" s="1"/>
  <c r="CX19" i="130"/>
  <c r="CX29" i="130" s="1"/>
  <c r="CW29" i="130"/>
  <c r="CU19" i="130"/>
  <c r="CU29" i="130" s="1"/>
  <c r="CT19" i="130"/>
  <c r="CT29" i="130" s="1"/>
  <c r="CS19" i="130"/>
  <c r="CS29" i="130" s="1"/>
  <c r="CR19" i="130"/>
  <c r="CR29" i="130" s="1"/>
  <c r="CQ19" i="130"/>
  <c r="CQ29" i="130" s="1"/>
  <c r="CO19" i="130"/>
  <c r="CO29" i="130" s="1"/>
  <c r="CN19" i="130"/>
  <c r="CN29" i="130" s="1"/>
  <c r="CM19" i="130"/>
  <c r="CM29" i="130" s="1"/>
  <c r="CL19" i="130"/>
  <c r="CL29" i="130" s="1"/>
  <c r="CK19" i="130"/>
  <c r="CK29" i="130" s="1"/>
  <c r="CJ19" i="130"/>
  <c r="CI19" i="130"/>
  <c r="CI29" i="130" s="1"/>
  <c r="CH19" i="130"/>
  <c r="CH29" i="130" s="1"/>
  <c r="CG19" i="130"/>
  <c r="CG29" i="130" s="1"/>
  <c r="CF19" i="130"/>
  <c r="CE19" i="130"/>
  <c r="CD19" i="130"/>
  <c r="CD29" i="130" s="1"/>
  <c r="CC19" i="130"/>
  <c r="CC29" i="130" s="1"/>
  <c r="CB19" i="130"/>
  <c r="CA19" i="130"/>
  <c r="CA29" i="130" s="1"/>
  <c r="BZ19" i="130"/>
  <c r="BZ29" i="130" s="1"/>
  <c r="BY19" i="130"/>
  <c r="BX19" i="130"/>
  <c r="BW19" i="130"/>
  <c r="BV19" i="130"/>
  <c r="BV29" i="130" s="1"/>
  <c r="BU19" i="130"/>
  <c r="BU29" i="130" s="1"/>
  <c r="BT19" i="130"/>
  <c r="BS19" i="130"/>
  <c r="BS29" i="130" s="1"/>
  <c r="BK15" i="130"/>
  <c r="BJ15" i="130"/>
  <c r="BL14" i="130"/>
  <c r="BK14" i="130"/>
  <c r="BJ14" i="130"/>
  <c r="BK10" i="130"/>
  <c r="BJ10" i="130"/>
  <c r="BL9" i="130"/>
  <c r="BK9" i="130"/>
  <c r="BJ9" i="130"/>
  <c r="BE6" i="130"/>
  <c r="V33" i="129"/>
  <c r="V35" i="129" s="1"/>
  <c r="U33" i="129"/>
  <c r="T33" i="129"/>
  <c r="T35" i="129" s="1"/>
  <c r="T42" i="129" s="1"/>
  <c r="S33" i="129"/>
  <c r="S35" i="129" s="1"/>
  <c r="S42" i="129" s="1"/>
  <c r="R33" i="129"/>
  <c r="R35" i="129" s="1"/>
  <c r="R42" i="129" s="1"/>
  <c r="Q33" i="129"/>
  <c r="P33" i="129"/>
  <c r="P35" i="129" s="1"/>
  <c r="P42" i="129" s="1"/>
  <c r="O33" i="129"/>
  <c r="O35" i="129" s="1"/>
  <c r="O42" i="129" s="1"/>
  <c r="N33" i="129"/>
  <c r="N35" i="129" s="1"/>
  <c r="N42" i="129" s="1"/>
  <c r="M33" i="129"/>
  <c r="L33" i="129"/>
  <c r="L35" i="129" s="1"/>
  <c r="L42" i="129" s="1"/>
  <c r="K33" i="129"/>
  <c r="K35" i="129" s="1"/>
  <c r="J33" i="129"/>
  <c r="J35" i="129" s="1"/>
  <c r="J42" i="129" s="1"/>
  <c r="I33" i="129"/>
  <c r="H33" i="129"/>
  <c r="H35" i="129" s="1"/>
  <c r="G33" i="129"/>
  <c r="G35" i="129" s="1"/>
  <c r="F33" i="129"/>
  <c r="F35" i="129" s="1"/>
  <c r="E33" i="129"/>
  <c r="D33" i="129"/>
  <c r="D35" i="129" s="1"/>
  <c r="D42" i="129" s="1"/>
  <c r="C33" i="129"/>
  <c r="C35" i="129" s="1"/>
  <c r="C42" i="129" s="1"/>
  <c r="B33" i="129"/>
  <c r="B35" i="129" s="1"/>
  <c r="B42" i="129" s="1"/>
  <c r="V13" i="129"/>
  <c r="V15" i="129" s="1"/>
  <c r="U13" i="129"/>
  <c r="T13" i="129"/>
  <c r="T15" i="129" s="1"/>
  <c r="T23" i="129" s="1"/>
  <c r="S13" i="129"/>
  <c r="S15" i="129" s="1"/>
  <c r="S23" i="129" s="1"/>
  <c r="R13" i="129"/>
  <c r="R15" i="129" s="1"/>
  <c r="R23" i="129" s="1"/>
  <c r="Q13" i="129"/>
  <c r="P13" i="129"/>
  <c r="P15" i="129" s="1"/>
  <c r="P23" i="129" s="1"/>
  <c r="O13" i="129"/>
  <c r="O15" i="129" s="1"/>
  <c r="O23" i="129" s="1"/>
  <c r="N13" i="129"/>
  <c r="N15" i="129" s="1"/>
  <c r="M13" i="129"/>
  <c r="L13" i="129"/>
  <c r="L15" i="129" s="1"/>
  <c r="K13" i="129"/>
  <c r="K15" i="129" s="1"/>
  <c r="K23" i="129" s="1"/>
  <c r="J13" i="129"/>
  <c r="J15" i="129" s="1"/>
  <c r="I13" i="129"/>
  <c r="H13" i="129"/>
  <c r="H15" i="129" s="1"/>
  <c r="H23" i="129" s="1"/>
  <c r="G13" i="129"/>
  <c r="G15" i="129" s="1"/>
  <c r="G23" i="129" s="1"/>
  <c r="F13" i="129"/>
  <c r="F15" i="129" s="1"/>
  <c r="E13" i="129"/>
  <c r="D13" i="129"/>
  <c r="D15" i="129" s="1"/>
  <c r="C13" i="129"/>
  <c r="C15" i="129" s="1"/>
  <c r="C23" i="129" s="1"/>
  <c r="B13" i="129"/>
  <c r="B15" i="129" s="1"/>
  <c r="F3" i="129"/>
  <c r="J3" i="129"/>
  <c r="N3" i="129"/>
  <c r="R3" i="129"/>
  <c r="V3" i="129"/>
  <c r="Z3" i="129"/>
  <c r="AD3" i="129"/>
  <c r="AH3" i="129"/>
  <c r="AL3" i="129"/>
  <c r="AO4" i="129"/>
  <c r="AN4" i="129"/>
  <c r="AM4" i="129"/>
  <c r="AL4" i="129"/>
  <c r="AK4" i="129"/>
  <c r="AJ4" i="129"/>
  <c r="AI4" i="129"/>
  <c r="AH4" i="129"/>
  <c r="AG4" i="129"/>
  <c r="AF4" i="129"/>
  <c r="AE4" i="129"/>
  <c r="AD4" i="129"/>
  <c r="AC4" i="129"/>
  <c r="AB4" i="129"/>
  <c r="AA4" i="129"/>
  <c r="Z4" i="129"/>
  <c r="Y4" i="129"/>
  <c r="X4" i="129"/>
  <c r="W4" i="129"/>
  <c r="V4" i="129"/>
  <c r="U4" i="129"/>
  <c r="T4" i="129"/>
  <c r="S4" i="129"/>
  <c r="R4" i="129"/>
  <c r="Q4" i="129"/>
  <c r="P4" i="129"/>
  <c r="O4" i="129"/>
  <c r="N4" i="129"/>
  <c r="M4" i="129"/>
  <c r="L4" i="129"/>
  <c r="K4" i="129"/>
  <c r="J4" i="129"/>
  <c r="I4" i="129"/>
  <c r="H4" i="129"/>
  <c r="G4" i="129"/>
  <c r="F4" i="129"/>
  <c r="E4" i="129"/>
  <c r="D4" i="129"/>
  <c r="C4" i="129"/>
  <c r="B4" i="129"/>
  <c r="B3" i="129"/>
  <c r="A1" i="129"/>
  <c r="BC61" i="129"/>
  <c r="V50" i="129"/>
  <c r="U50" i="129"/>
  <c r="BH50" i="129" s="1"/>
  <c r="T50" i="129"/>
  <c r="S50" i="129"/>
  <c r="R50" i="129"/>
  <c r="Q50" i="129"/>
  <c r="BG50" i="129" s="1"/>
  <c r="P50" i="129"/>
  <c r="O50" i="129"/>
  <c r="N50" i="129"/>
  <c r="M50" i="129"/>
  <c r="BF50" i="129" s="1"/>
  <c r="L50" i="129"/>
  <c r="K50" i="129"/>
  <c r="J50" i="129"/>
  <c r="I50" i="129"/>
  <c r="H50" i="129"/>
  <c r="G50" i="129"/>
  <c r="F50" i="129"/>
  <c r="E50" i="129"/>
  <c r="BD50" i="129" s="1"/>
  <c r="D50" i="129"/>
  <c r="C50" i="129"/>
  <c r="B50" i="129"/>
  <c r="BH49" i="129"/>
  <c r="BG49" i="129"/>
  <c r="BF49" i="129"/>
  <c r="BE49" i="129"/>
  <c r="BD49" i="129"/>
  <c r="BI47" i="129"/>
  <c r="BH47" i="129"/>
  <c r="BG47" i="129"/>
  <c r="BF47" i="129"/>
  <c r="BE47" i="129"/>
  <c r="BD47" i="129"/>
  <c r="BJ47" i="129"/>
  <c r="BI46" i="129"/>
  <c r="BH46" i="129"/>
  <c r="BG46" i="129"/>
  <c r="BF46" i="129"/>
  <c r="BE46" i="129"/>
  <c r="BD46" i="129"/>
  <c r="BI45" i="129"/>
  <c r="BH45" i="129"/>
  <c r="BG45" i="129"/>
  <c r="BF45" i="129"/>
  <c r="BE45" i="129"/>
  <c r="BD45" i="129"/>
  <c r="BH41" i="129"/>
  <c r="BG41" i="129"/>
  <c r="BF41" i="129"/>
  <c r="BE41" i="129"/>
  <c r="BD41" i="129"/>
  <c r="BI40" i="129"/>
  <c r="BH40" i="129"/>
  <c r="BG40" i="129"/>
  <c r="BF40" i="129"/>
  <c r="BE40" i="129"/>
  <c r="BD40" i="129"/>
  <c r="BM39" i="129"/>
  <c r="BL39" i="129"/>
  <c r="BK39" i="129"/>
  <c r="BJ39" i="129"/>
  <c r="BI39" i="129"/>
  <c r="BH39" i="129"/>
  <c r="BG39" i="129"/>
  <c r="BF39" i="129"/>
  <c r="BE39" i="129"/>
  <c r="BD39" i="129"/>
  <c r="BI38" i="129"/>
  <c r="BH38" i="129"/>
  <c r="BG38" i="129"/>
  <c r="BF38" i="129"/>
  <c r="BE38" i="129"/>
  <c r="BD38" i="129"/>
  <c r="BH28" i="129"/>
  <c r="BG28" i="129"/>
  <c r="BF28" i="129"/>
  <c r="BE28" i="129"/>
  <c r="BH27" i="129"/>
  <c r="BG27" i="129"/>
  <c r="BF27" i="129"/>
  <c r="BE27" i="129"/>
  <c r="BD27" i="129"/>
  <c r="BI26" i="129"/>
  <c r="BH26" i="129"/>
  <c r="BG26" i="129"/>
  <c r="BF26" i="129"/>
  <c r="BE26" i="129"/>
  <c r="BD26" i="129"/>
  <c r="BH22" i="129"/>
  <c r="BG22" i="129"/>
  <c r="BF22" i="129"/>
  <c r="BE22" i="129"/>
  <c r="BD22" i="129"/>
  <c r="BH21" i="129"/>
  <c r="BG21" i="129"/>
  <c r="BF21" i="129"/>
  <c r="BH20" i="129"/>
  <c r="BG20" i="129"/>
  <c r="BF20" i="129"/>
  <c r="BE20" i="129"/>
  <c r="BD20" i="129"/>
  <c r="BI19" i="129"/>
  <c r="BH19" i="129"/>
  <c r="BG19" i="129"/>
  <c r="BF19" i="129"/>
  <c r="BE19" i="129"/>
  <c r="BD19" i="129"/>
  <c r="BH18" i="129"/>
  <c r="BG18" i="129"/>
  <c r="BF18" i="129"/>
  <c r="BE18" i="129"/>
  <c r="BD18" i="129"/>
  <c r="BI17" i="129"/>
  <c r="BH17" i="129"/>
  <c r="BG17" i="129"/>
  <c r="BF17" i="129"/>
  <c r="BE17" i="129"/>
  <c r="BD17" i="129"/>
  <c r="BH10" i="129"/>
  <c r="BG10" i="129"/>
  <c r="BF10" i="129"/>
  <c r="BE10" i="129"/>
  <c r="BD10" i="129"/>
  <c r="BH9" i="129"/>
  <c r="BG9" i="129"/>
  <c r="BF9" i="129"/>
  <c r="BE9" i="129"/>
  <c r="BD9" i="129"/>
  <c r="BH8" i="129"/>
  <c r="BG8" i="129"/>
  <c r="BF8" i="129"/>
  <c r="BE8" i="129"/>
  <c r="BD8" i="129"/>
  <c r="BH7" i="129"/>
  <c r="BG7" i="129"/>
  <c r="BF7" i="129"/>
  <c r="BE7" i="129"/>
  <c r="BD7" i="129"/>
  <c r="BH6" i="129"/>
  <c r="BG6" i="129"/>
  <c r="BF6" i="129"/>
  <c r="BE6" i="129"/>
  <c r="BD6" i="129"/>
  <c r="BM166" i="128"/>
  <c r="BL166" i="128"/>
  <c r="BK166" i="128"/>
  <c r="BJ166" i="128"/>
  <c r="BI166" i="128"/>
  <c r="BH166" i="128"/>
  <c r="BG166" i="128"/>
  <c r="BE166" i="128"/>
  <c r="BD166" i="128"/>
  <c r="BM162" i="128"/>
  <c r="BL162" i="128"/>
  <c r="BK162" i="128"/>
  <c r="BJ162" i="128"/>
  <c r="BI162" i="128"/>
  <c r="BH162" i="128"/>
  <c r="BG162" i="128"/>
  <c r="BF162" i="128"/>
  <c r="BE162" i="128"/>
  <c r="BD162" i="128"/>
  <c r="BM157" i="128"/>
  <c r="BL157" i="128"/>
  <c r="BK157" i="128"/>
  <c r="BJ157" i="128"/>
  <c r="BI157" i="128"/>
  <c r="BH157" i="128"/>
  <c r="BG157" i="128"/>
  <c r="BF157" i="128"/>
  <c r="BE157" i="128"/>
  <c r="BD157" i="128"/>
  <c r="BM156" i="128"/>
  <c r="BL156" i="128"/>
  <c r="BK156" i="128"/>
  <c r="BJ156" i="128"/>
  <c r="BI156" i="128"/>
  <c r="BH156" i="128"/>
  <c r="BG156" i="128"/>
  <c r="BF156" i="128"/>
  <c r="BE156" i="128"/>
  <c r="BD156" i="128"/>
  <c r="BM155" i="128"/>
  <c r="BL155" i="128"/>
  <c r="BK155" i="128"/>
  <c r="BJ155" i="128"/>
  <c r="BI155" i="128"/>
  <c r="BH155" i="128"/>
  <c r="BG155" i="128"/>
  <c r="BF155" i="128"/>
  <c r="BE155" i="128"/>
  <c r="BD155" i="128"/>
  <c r="BM154" i="128"/>
  <c r="BL154" i="128"/>
  <c r="BK154" i="128"/>
  <c r="BJ154" i="128"/>
  <c r="BI154" i="128"/>
  <c r="BH154" i="128"/>
  <c r="BG154" i="128"/>
  <c r="BF154" i="128"/>
  <c r="BE154" i="128"/>
  <c r="BD154" i="128"/>
  <c r="BM149" i="128"/>
  <c r="BL149" i="128"/>
  <c r="BK149" i="128"/>
  <c r="BJ149" i="128"/>
  <c r="BI149" i="128"/>
  <c r="BH149" i="128"/>
  <c r="BG149" i="128"/>
  <c r="BF149" i="128"/>
  <c r="BE149" i="128"/>
  <c r="BD149" i="128"/>
  <c r="BM148" i="128"/>
  <c r="BL148" i="128"/>
  <c r="BK148" i="128"/>
  <c r="BJ148" i="128"/>
  <c r="BI148" i="128"/>
  <c r="BH148" i="128"/>
  <c r="BG148" i="128"/>
  <c r="BF148" i="128"/>
  <c r="BE148" i="128"/>
  <c r="BD148" i="128"/>
  <c r="BK147" i="128"/>
  <c r="BJ147" i="128"/>
  <c r="BI147" i="128"/>
  <c r="BH147" i="128"/>
  <c r="BG147" i="128"/>
  <c r="BF147" i="128"/>
  <c r="BE147" i="128"/>
  <c r="BD147" i="128"/>
  <c r="BM146" i="128"/>
  <c r="BL146" i="128"/>
  <c r="BK146" i="128"/>
  <c r="BJ146" i="128"/>
  <c r="BI146" i="128"/>
  <c r="BH146" i="128"/>
  <c r="BG146" i="128"/>
  <c r="BF146" i="128"/>
  <c r="BE146" i="128"/>
  <c r="BD146" i="128"/>
  <c r="BM141" i="128"/>
  <c r="BL141" i="128"/>
  <c r="BK141" i="128"/>
  <c r="BJ141" i="128"/>
  <c r="BI141" i="128"/>
  <c r="BH141" i="128"/>
  <c r="BG141" i="128"/>
  <c r="BF141" i="128"/>
  <c r="BE141" i="128"/>
  <c r="BD141" i="128"/>
  <c r="BM140" i="128"/>
  <c r="BL140" i="128"/>
  <c r="BK140" i="128"/>
  <c r="BJ140" i="128"/>
  <c r="BI140" i="128"/>
  <c r="BH140" i="128"/>
  <c r="BG140" i="128"/>
  <c r="BF140" i="128"/>
  <c r="BE140" i="128"/>
  <c r="BD140" i="128"/>
  <c r="BM130" i="128"/>
  <c r="BL130" i="128"/>
  <c r="BK130" i="128"/>
  <c r="BJ130" i="128"/>
  <c r="BI130" i="128"/>
  <c r="BH130" i="128"/>
  <c r="BG130" i="128"/>
  <c r="BF130" i="128"/>
  <c r="BE130" i="128"/>
  <c r="BD130" i="128"/>
  <c r="BM128" i="128"/>
  <c r="BL128" i="128"/>
  <c r="BK128" i="128"/>
  <c r="BJ128" i="128"/>
  <c r="BI128" i="128"/>
  <c r="BH128" i="128"/>
  <c r="BG128" i="128"/>
  <c r="BF128" i="128"/>
  <c r="BE128" i="128"/>
  <c r="BD128" i="128"/>
  <c r="BM127" i="128"/>
  <c r="BL127" i="128"/>
  <c r="BK127" i="128"/>
  <c r="BJ127" i="128"/>
  <c r="BI127" i="128"/>
  <c r="BH127" i="128"/>
  <c r="BG127" i="128"/>
  <c r="BF127" i="128"/>
  <c r="BE127" i="128"/>
  <c r="BD127" i="128"/>
  <c r="BM124" i="128"/>
  <c r="BL124" i="128"/>
  <c r="BK124" i="128"/>
  <c r="BJ124" i="128"/>
  <c r="BM123" i="128"/>
  <c r="BL123" i="128"/>
  <c r="BK123" i="128"/>
  <c r="BJ123" i="128"/>
  <c r="BI123" i="128"/>
  <c r="BH123" i="128"/>
  <c r="BG123" i="128"/>
  <c r="BF123" i="128"/>
  <c r="BE123" i="128"/>
  <c r="BD123" i="128"/>
  <c r="BM122" i="128"/>
  <c r="BL122" i="128"/>
  <c r="BK122" i="128"/>
  <c r="BJ122" i="128"/>
  <c r="BI122" i="128"/>
  <c r="BH122" i="128"/>
  <c r="BG122" i="128"/>
  <c r="BF122" i="128"/>
  <c r="BE122" i="128"/>
  <c r="BD122" i="128"/>
  <c r="BM121" i="128"/>
  <c r="BL121" i="128"/>
  <c r="BK121" i="128"/>
  <c r="BJ121" i="128"/>
  <c r="BI121" i="128"/>
  <c r="BH121" i="128"/>
  <c r="BG121" i="128"/>
  <c r="BF121" i="128"/>
  <c r="BE121" i="128"/>
  <c r="BD121" i="128"/>
  <c r="BM120" i="128"/>
  <c r="BL120" i="128"/>
  <c r="BK120" i="128"/>
  <c r="BJ120" i="128"/>
  <c r="BI120" i="128"/>
  <c r="BH120" i="128"/>
  <c r="BG120" i="128"/>
  <c r="BF120" i="128"/>
  <c r="BE120" i="128"/>
  <c r="BD120" i="128"/>
  <c r="BM119" i="128"/>
  <c r="BL119" i="128"/>
  <c r="BK119" i="128"/>
  <c r="BJ119" i="128"/>
  <c r="BI119" i="128"/>
  <c r="BH119" i="128"/>
  <c r="BG119" i="128"/>
  <c r="BF119" i="128"/>
  <c r="BE119" i="128"/>
  <c r="BD119" i="128"/>
  <c r="BM115" i="128"/>
  <c r="BL115" i="128"/>
  <c r="BK115" i="128"/>
  <c r="BJ115" i="128"/>
  <c r="BM114" i="128"/>
  <c r="BL114" i="128"/>
  <c r="BK114" i="128"/>
  <c r="BJ114" i="128"/>
  <c r="BI114" i="128"/>
  <c r="BH114" i="128"/>
  <c r="BG114" i="128"/>
  <c r="BF114" i="128"/>
  <c r="BE114" i="128"/>
  <c r="BD114" i="128"/>
  <c r="BM113" i="128"/>
  <c r="BL113" i="128"/>
  <c r="BK113" i="128"/>
  <c r="BJ113" i="128"/>
  <c r="BI113" i="128"/>
  <c r="BH113" i="128"/>
  <c r="BG113" i="128"/>
  <c r="BF113" i="128"/>
  <c r="BE113" i="128"/>
  <c r="BD113" i="128"/>
  <c r="BM112" i="128"/>
  <c r="BL112" i="128"/>
  <c r="BK112" i="128"/>
  <c r="BJ112" i="128"/>
  <c r="BI112" i="128"/>
  <c r="BH112" i="128"/>
  <c r="BG112" i="128"/>
  <c r="BF112" i="128"/>
  <c r="BE112" i="128"/>
  <c r="BD112" i="128"/>
  <c r="AX97" i="128" l="1"/>
  <c r="AO43" i="128"/>
  <c r="AD45" i="128"/>
  <c r="AD43" i="128" s="1"/>
  <c r="AL43" i="128"/>
  <c r="AK43" i="128"/>
  <c r="AL137" i="128"/>
  <c r="AL138" i="128"/>
  <c r="AR38" i="129"/>
  <c r="AS38" i="129" s="1"/>
  <c r="AT38" i="129" s="1"/>
  <c r="AU38" i="129" s="1"/>
  <c r="AV38" i="129" s="1"/>
  <c r="AW38" i="129" s="1"/>
  <c r="AX38" i="129" s="1"/>
  <c r="AY38" i="129" s="1"/>
  <c r="AZ38" i="129" s="1"/>
  <c r="BA38" i="129" s="1"/>
  <c r="BP38" i="129" s="1"/>
  <c r="AR19" i="129"/>
  <c r="AS19" i="129" s="1"/>
  <c r="AT19" i="129" s="1"/>
  <c r="AU19" i="129" s="1"/>
  <c r="AV19" i="129" s="1"/>
  <c r="AW19" i="129" s="1"/>
  <c r="AX19" i="129" s="1"/>
  <c r="AY19" i="129" s="1"/>
  <c r="AZ19" i="129" s="1"/>
  <c r="BA19" i="129" s="1"/>
  <c r="BP19" i="129" s="1"/>
  <c r="AR17" i="129"/>
  <c r="AS17" i="129" s="1"/>
  <c r="AT17" i="129" s="1"/>
  <c r="AU17" i="129" s="1"/>
  <c r="AV17" i="129" s="1"/>
  <c r="AW17" i="129" s="1"/>
  <c r="AX17" i="129" s="1"/>
  <c r="AY17" i="129" s="1"/>
  <c r="AZ17" i="129" s="1"/>
  <c r="BA17" i="129" s="1"/>
  <c r="BP17" i="129" s="1"/>
  <c r="AK45" i="129"/>
  <c r="BN458" i="131"/>
  <c r="BN459" i="131" s="1"/>
  <c r="AT458" i="131"/>
  <c r="BM26" i="130"/>
  <c r="BN40" i="129"/>
  <c r="AR26" i="129"/>
  <c r="AS460" i="131"/>
  <c r="AS459" i="131"/>
  <c r="AF46" i="129"/>
  <c r="AH46" i="129" s="1"/>
  <c r="AI46" i="129" s="1"/>
  <c r="AF47" i="129"/>
  <c r="AH47" i="129" s="1"/>
  <c r="AI47" i="129" s="1"/>
  <c r="AJ47" i="129" s="1"/>
  <c r="AK47" i="129" s="1"/>
  <c r="AL47" i="129" s="1"/>
  <c r="AM47" i="129" s="1"/>
  <c r="CS59" i="130"/>
  <c r="CT59" i="130"/>
  <c r="AA46" i="129"/>
  <c r="AB46" i="129" s="1"/>
  <c r="AB49" i="129" s="1"/>
  <c r="Z49" i="129"/>
  <c r="AA49" i="129" s="1"/>
  <c r="CR59" i="130"/>
  <c r="CQ59" i="130"/>
  <c r="AG150" i="128"/>
  <c r="AG45" i="128" s="1"/>
  <c r="AC150" i="128"/>
  <c r="AC45" i="128" s="1"/>
  <c r="AC43" i="128" s="1"/>
  <c r="AE150" i="128"/>
  <c r="AE45" i="128" s="1"/>
  <c r="AG30" i="129"/>
  <c r="BJ30" i="129"/>
  <c r="BJ27" i="130"/>
  <c r="AD27" i="130"/>
  <c r="AE27" i="130" s="1"/>
  <c r="AD48" i="129"/>
  <c r="AD49" i="129" s="1"/>
  <c r="BJ48" i="129"/>
  <c r="E35" i="129"/>
  <c r="E42" i="129" s="1"/>
  <c r="BD33" i="129"/>
  <c r="M35" i="129"/>
  <c r="M42" i="129" s="1"/>
  <c r="BF42" i="129" s="1"/>
  <c r="BF33" i="129"/>
  <c r="U35" i="129"/>
  <c r="U42" i="129" s="1"/>
  <c r="BH33" i="129"/>
  <c r="AD31" i="129"/>
  <c r="AE31" i="129" s="1"/>
  <c r="AF31" i="129" s="1"/>
  <c r="AG31" i="129" s="1"/>
  <c r="BJ31" i="129"/>
  <c r="I35" i="129"/>
  <c r="BE35" i="129" s="1"/>
  <c r="BE33" i="129"/>
  <c r="Q35" i="129"/>
  <c r="BG35" i="129" s="1"/>
  <c r="BG33" i="129"/>
  <c r="I15" i="129"/>
  <c r="I23" i="129" s="1"/>
  <c r="BE23" i="129" s="1"/>
  <c r="BE13" i="129"/>
  <c r="Q15" i="129"/>
  <c r="Q23" i="129" s="1"/>
  <c r="BG23" i="129" s="1"/>
  <c r="BG13" i="129"/>
  <c r="E15" i="129"/>
  <c r="BD15" i="129" s="1"/>
  <c r="BD13" i="129"/>
  <c r="M15" i="129"/>
  <c r="M23" i="129" s="1"/>
  <c r="BF23" i="129" s="1"/>
  <c r="BF13" i="129"/>
  <c r="U15" i="129"/>
  <c r="BH15" i="129" s="1"/>
  <c r="BH13" i="129"/>
  <c r="W56" i="130"/>
  <c r="X56" i="130"/>
  <c r="BJ7" i="129"/>
  <c r="BI7" i="129"/>
  <c r="BI21" i="129"/>
  <c r="BI20" i="129"/>
  <c r="BE37" i="130"/>
  <c r="BG37" i="130"/>
  <c r="BI37" i="130"/>
  <c r="BH40" i="130"/>
  <c r="BE46" i="130"/>
  <c r="BH48" i="130"/>
  <c r="BG49" i="130"/>
  <c r="BI49" i="130"/>
  <c r="BH52" i="130"/>
  <c r="BG53" i="130"/>
  <c r="BI15" i="130"/>
  <c r="BH65" i="130"/>
  <c r="BH66" i="130"/>
  <c r="BG8" i="130"/>
  <c r="BI66" i="130"/>
  <c r="BI26" i="130"/>
  <c r="BF49" i="130"/>
  <c r="BH49" i="130"/>
  <c r="BE50" i="130"/>
  <c r="BE58" i="130"/>
  <c r="R29" i="130"/>
  <c r="R68" i="130" s="1"/>
  <c r="U29" i="130"/>
  <c r="U68" i="130" s="1"/>
  <c r="BE45" i="130"/>
  <c r="BG45" i="130"/>
  <c r="BI45" i="130"/>
  <c r="BI48" i="130"/>
  <c r="BI52" i="130"/>
  <c r="BE9" i="130"/>
  <c r="BI9" i="130"/>
  <c r="B42" i="130"/>
  <c r="BH34" i="130"/>
  <c r="BH41" i="130"/>
  <c r="J29" i="130"/>
  <c r="J68" i="130" s="1"/>
  <c r="L42" i="130"/>
  <c r="T42" i="130"/>
  <c r="BE33" i="130"/>
  <c r="BG33" i="130"/>
  <c r="BG10" i="130"/>
  <c r="BI10" i="130"/>
  <c r="BG36" i="130"/>
  <c r="BI34" i="130"/>
  <c r="BD37" i="130"/>
  <c r="BE8" i="130"/>
  <c r="BG15" i="130"/>
  <c r="BF6" i="130"/>
  <c r="BH6" i="130"/>
  <c r="CJ29" i="130"/>
  <c r="CJ59" i="130" s="1"/>
  <c r="E42" i="130"/>
  <c r="M42" i="130"/>
  <c r="U42" i="130"/>
  <c r="BD40" i="130"/>
  <c r="BF51" i="130"/>
  <c r="BH51" i="130"/>
  <c r="BD58" i="130"/>
  <c r="BI35" i="130"/>
  <c r="BD33" i="130"/>
  <c r="V42" i="130"/>
  <c r="BF36" i="130"/>
  <c r="BG41" i="130"/>
  <c r="BI41" i="130"/>
  <c r="BE47" i="130"/>
  <c r="BG47" i="130"/>
  <c r="BI47" i="130"/>
  <c r="BE49" i="130"/>
  <c r="BD50" i="130"/>
  <c r="BG54" i="130"/>
  <c r="BI54" i="130"/>
  <c r="BE11" i="130"/>
  <c r="BG11" i="130"/>
  <c r="BG21" i="130"/>
  <c r="BE22" i="130"/>
  <c r="BG22" i="130"/>
  <c r="BE26" i="130"/>
  <c r="O42" i="130"/>
  <c r="BF40" i="130"/>
  <c r="BD52" i="130"/>
  <c r="BF52" i="130"/>
  <c r="BD55" i="130"/>
  <c r="BF55" i="130"/>
  <c r="BH55" i="130"/>
  <c r="S29" i="130"/>
  <c r="S68" i="130" s="1"/>
  <c r="S73" i="130" s="1"/>
  <c r="BD49" i="130"/>
  <c r="BH9" i="130"/>
  <c r="B29" i="130"/>
  <c r="B68" i="130" s="1"/>
  <c r="I29" i="130"/>
  <c r="I68" i="130" s="1"/>
  <c r="I42" i="130"/>
  <c r="Q42" i="130"/>
  <c r="BF45" i="130"/>
  <c r="BG46" i="130"/>
  <c r="BI46" i="130"/>
  <c r="BE53" i="130"/>
  <c r="BI53" i="130"/>
  <c r="BD34" i="130"/>
  <c r="BF41" i="130"/>
  <c r="BD47" i="130"/>
  <c r="BD48" i="130"/>
  <c r="BF48" i="130"/>
  <c r="BG50" i="130"/>
  <c r="BI50" i="130"/>
  <c r="BD54" i="130"/>
  <c r="BG58" i="130"/>
  <c r="BI58" i="130"/>
  <c r="BG66" i="130"/>
  <c r="BI14" i="130"/>
  <c r="BH20" i="130"/>
  <c r="BH24" i="130"/>
  <c r="BD26" i="130"/>
  <c r="BF26" i="130"/>
  <c r="BH26" i="130"/>
  <c r="BJ26" i="130"/>
  <c r="BD28" i="130"/>
  <c r="BF28" i="130"/>
  <c r="BH28" i="130"/>
  <c r="BF34" i="130"/>
  <c r="F42" i="130"/>
  <c r="BH35" i="130"/>
  <c r="BD51" i="130"/>
  <c r="T29" i="130"/>
  <c r="T68" i="130" s="1"/>
  <c r="T73" i="130" s="1"/>
  <c r="BD12" i="130"/>
  <c r="BF12" i="130"/>
  <c r="BH12" i="130"/>
  <c r="BJ12" i="130"/>
  <c r="BI13" i="130"/>
  <c r="BF15" i="130"/>
  <c r="BD20" i="130"/>
  <c r="BF20" i="130"/>
  <c r="BD24" i="130"/>
  <c r="BF24" i="130"/>
  <c r="BI27" i="130"/>
  <c r="E29" i="130"/>
  <c r="E68" i="130" s="1"/>
  <c r="BD13" i="130"/>
  <c r="BF13" i="130"/>
  <c r="BH13" i="130"/>
  <c r="BK35" i="130"/>
  <c r="BH11" i="130"/>
  <c r="BD11" i="130"/>
  <c r="BG7" i="130"/>
  <c r="BF11" i="130"/>
  <c r="BF14" i="130"/>
  <c r="BH14" i="130"/>
  <c r="BE15" i="130"/>
  <c r="BD22" i="130"/>
  <c r="BF22" i="130"/>
  <c r="BH22" i="130"/>
  <c r="BE23" i="130"/>
  <c r="BG23" i="130"/>
  <c r="BD8" i="130"/>
  <c r="M29" i="130"/>
  <c r="M68" i="130" s="1"/>
  <c r="BF21" i="130"/>
  <c r="BH21" i="130"/>
  <c r="BF25" i="130"/>
  <c r="BH25" i="130"/>
  <c r="BD27" i="130"/>
  <c r="BF27" i="130"/>
  <c r="BH27" i="130"/>
  <c r="BF8" i="130"/>
  <c r="BE14" i="130"/>
  <c r="BG14" i="130"/>
  <c r="BD23" i="130"/>
  <c r="BF23" i="130"/>
  <c r="BH23" i="130"/>
  <c r="BD9" i="130"/>
  <c r="BF10" i="130"/>
  <c r="BH10" i="130"/>
  <c r="BE12" i="130"/>
  <c r="BG12" i="130"/>
  <c r="BK12" i="130"/>
  <c r="BE13" i="130"/>
  <c r="BD15" i="130"/>
  <c r="BE21" i="130"/>
  <c r="BE25" i="130"/>
  <c r="BG25" i="130"/>
  <c r="BG26" i="130"/>
  <c r="BK26" i="130"/>
  <c r="BH69" i="130"/>
  <c r="BL69" i="130"/>
  <c r="BF69" i="130"/>
  <c r="BJ69" i="130"/>
  <c r="BE69" i="130"/>
  <c r="BG69" i="130"/>
  <c r="BI69" i="130"/>
  <c r="BK69" i="130"/>
  <c r="BE7" i="130"/>
  <c r="BH8" i="130"/>
  <c r="BF9" i="130"/>
  <c r="BD10" i="130"/>
  <c r="Q29" i="130"/>
  <c r="Q68" i="130" s="1"/>
  <c r="BW29" i="130"/>
  <c r="BW59" i="130" s="1"/>
  <c r="F29" i="130"/>
  <c r="F68" i="130" s="1"/>
  <c r="CE29" i="130"/>
  <c r="CE59" i="130" s="1"/>
  <c r="N29" i="130"/>
  <c r="N68" i="130" s="1"/>
  <c r="CM59" i="130"/>
  <c r="V29" i="130"/>
  <c r="V68" i="130" s="1"/>
  <c r="BE20" i="130"/>
  <c r="BG20" i="130"/>
  <c r="BY29" i="130"/>
  <c r="BY59" i="130" s="1"/>
  <c r="H42" i="130"/>
  <c r="BE32" i="130"/>
  <c r="P42" i="130"/>
  <c r="BG32" i="130"/>
  <c r="BE51" i="130"/>
  <c r="BG51" i="130"/>
  <c r="BI51" i="130"/>
  <c r="BF53" i="130"/>
  <c r="C29" i="130"/>
  <c r="C68" i="130" s="1"/>
  <c r="H29" i="130"/>
  <c r="H68" i="130" s="1"/>
  <c r="J42" i="130"/>
  <c r="BF32" i="130"/>
  <c r="CO59" i="130"/>
  <c r="BG6" i="130"/>
  <c r="BH7" i="130"/>
  <c r="CN59" i="130"/>
  <c r="K29" i="130"/>
  <c r="K68" i="130" s="1"/>
  <c r="BG9" i="130"/>
  <c r="BE10" i="130"/>
  <c r="BE27" i="130"/>
  <c r="BG27" i="130"/>
  <c r="O29" i="130"/>
  <c r="O68" i="130" s="1"/>
  <c r="CF29" i="130"/>
  <c r="CF59" i="130" s="1"/>
  <c r="BD32" i="130"/>
  <c r="CG59" i="130"/>
  <c r="BT29" i="130"/>
  <c r="BT59" i="130" s="1"/>
  <c r="D29" i="130"/>
  <c r="D68" i="130" s="1"/>
  <c r="BF19" i="130"/>
  <c r="CB29" i="130"/>
  <c r="CB59" i="130" s="1"/>
  <c r="R42" i="130"/>
  <c r="BH32" i="130"/>
  <c r="G29" i="130"/>
  <c r="G68" i="130" s="1"/>
  <c r="BG13" i="130"/>
  <c r="BD14" i="130"/>
  <c r="BH15" i="130"/>
  <c r="BD25" i="130"/>
  <c r="BE28" i="130"/>
  <c r="BG28" i="130"/>
  <c r="BF7" i="130"/>
  <c r="BD7" i="130"/>
  <c r="BI12" i="130"/>
  <c r="P29" i="130"/>
  <c r="P68" i="130" s="1"/>
  <c r="BD21" i="130"/>
  <c r="BE24" i="130"/>
  <c r="BG24" i="130"/>
  <c r="BX29" i="130"/>
  <c r="BX59" i="130" s="1"/>
  <c r="BI32" i="130"/>
  <c r="C42" i="130"/>
  <c r="K42" i="130"/>
  <c r="S42" i="130"/>
  <c r="BF33" i="130"/>
  <c r="BH33" i="130"/>
  <c r="BZ59" i="130"/>
  <c r="CH59" i="130"/>
  <c r="D42" i="130"/>
  <c r="BE35" i="130"/>
  <c r="BG35" i="130"/>
  <c r="BF37" i="130"/>
  <c r="BH37" i="130"/>
  <c r="G42" i="130"/>
  <c r="BE52" i="130"/>
  <c r="BG52" i="130"/>
  <c r="BF54" i="130"/>
  <c r="BH54" i="130"/>
  <c r="BS59" i="130"/>
  <c r="CA59" i="130"/>
  <c r="CI59" i="130"/>
  <c r="BF58" i="130"/>
  <c r="BH58" i="130"/>
  <c r="N42" i="130"/>
  <c r="BD6" i="130"/>
  <c r="BE34" i="130"/>
  <c r="BG34" i="130"/>
  <c r="BE40" i="130"/>
  <c r="BG40" i="130"/>
  <c r="BI40" i="130"/>
  <c r="BF46" i="130"/>
  <c r="BH46" i="130"/>
  <c r="BD46" i="130"/>
  <c r="BE48" i="130"/>
  <c r="BG48" i="130"/>
  <c r="BF50" i="130"/>
  <c r="BH50" i="130"/>
  <c r="BD53" i="130"/>
  <c r="BH53" i="130"/>
  <c r="BE55" i="130"/>
  <c r="BG55" i="130"/>
  <c r="BI55" i="130"/>
  <c r="BU59" i="130"/>
  <c r="CC59" i="130"/>
  <c r="CK59" i="130"/>
  <c r="BI33" i="130"/>
  <c r="BD45" i="130"/>
  <c r="BH45" i="130"/>
  <c r="BV59" i="130"/>
  <c r="CD59" i="130"/>
  <c r="CL59" i="130"/>
  <c r="BH36" i="130"/>
  <c r="BD35" i="130"/>
  <c r="BF35" i="130"/>
  <c r="BD36" i="130"/>
  <c r="BG65" i="130"/>
  <c r="BI65" i="130"/>
  <c r="BE36" i="130"/>
  <c r="V42" i="129"/>
  <c r="V51" i="129" s="1"/>
  <c r="C51" i="129"/>
  <c r="C60" i="129" s="1"/>
  <c r="C61" i="129" s="1"/>
  <c r="S51" i="129"/>
  <c r="S60" i="129" s="1"/>
  <c r="S61" i="129" s="1"/>
  <c r="D51" i="129"/>
  <c r="L51" i="129"/>
  <c r="T51" i="129"/>
  <c r="T60" i="129" s="1"/>
  <c r="T61" i="129" s="1"/>
  <c r="O51" i="129"/>
  <c r="O60" i="129" s="1"/>
  <c r="O61" i="129" s="1"/>
  <c r="K42" i="129"/>
  <c r="K51" i="129" s="1"/>
  <c r="K60" i="129" s="1"/>
  <c r="K61" i="129" s="1"/>
  <c r="BJ17" i="129"/>
  <c r="BJ46" i="129"/>
  <c r="BJ19" i="129"/>
  <c r="J23" i="129"/>
  <c r="BD28" i="129"/>
  <c r="F23" i="129"/>
  <c r="N51" i="129"/>
  <c r="G42" i="129"/>
  <c r="G51" i="129" s="1"/>
  <c r="G60" i="129" s="1"/>
  <c r="G61" i="129" s="1"/>
  <c r="BJ38" i="129"/>
  <c r="B23" i="129"/>
  <c r="H42" i="129"/>
  <c r="H51" i="129" s="1"/>
  <c r="H60" i="129" s="1"/>
  <c r="H61" i="129" s="1"/>
  <c r="BK26" i="129"/>
  <c r="L23" i="129"/>
  <c r="B51" i="129"/>
  <c r="J51" i="129"/>
  <c r="R51" i="129"/>
  <c r="R60" i="129" s="1"/>
  <c r="R61" i="129" s="1"/>
  <c r="BM26" i="129"/>
  <c r="F42" i="129"/>
  <c r="F51" i="129" s="1"/>
  <c r="D23" i="129"/>
  <c r="N23" i="129"/>
  <c r="V23" i="129"/>
  <c r="P51" i="129"/>
  <c r="P60" i="129" s="1"/>
  <c r="P61" i="129" s="1"/>
  <c r="BE50" i="129"/>
  <c r="BF25" i="128"/>
  <c r="BE25" i="128"/>
  <c r="BD25" i="128"/>
  <c r="BO17" i="129" l="1"/>
  <c r="BO19" i="129"/>
  <c r="BO38" i="129"/>
  <c r="AJ46" i="129"/>
  <c r="AL45" i="129"/>
  <c r="AU458" i="131"/>
  <c r="AT460" i="131"/>
  <c r="AT459" i="131"/>
  <c r="AR40" i="129"/>
  <c r="BN20" i="129"/>
  <c r="BN47" i="129"/>
  <c r="AS26" i="129"/>
  <c r="AT26" i="129" s="1"/>
  <c r="BJ150" i="128"/>
  <c r="Q42" i="129"/>
  <c r="BG42" i="129" s="1"/>
  <c r="BH35" i="129"/>
  <c r="P73" i="130"/>
  <c r="AE43" i="128"/>
  <c r="C73" i="130"/>
  <c r="G73" i="130"/>
  <c r="Q73" i="130"/>
  <c r="M73" i="130"/>
  <c r="J73" i="130"/>
  <c r="O73" i="130"/>
  <c r="K73" i="130"/>
  <c r="Z70" i="130"/>
  <c r="V73" i="130"/>
  <c r="I73" i="130"/>
  <c r="E23" i="129"/>
  <c r="BD23" i="129" s="1"/>
  <c r="F73" i="130"/>
  <c r="E73" i="130"/>
  <c r="B73" i="130"/>
  <c r="U73" i="130"/>
  <c r="H73" i="130"/>
  <c r="BD35" i="129"/>
  <c r="D73" i="130"/>
  <c r="N73" i="130"/>
  <c r="R73" i="130"/>
  <c r="AE48" i="129"/>
  <c r="M51" i="129"/>
  <c r="BF51" i="129" s="1"/>
  <c r="BF60" i="129" s="1"/>
  <c r="BF61" i="129" s="1"/>
  <c r="BF35" i="129"/>
  <c r="I42" i="129"/>
  <c r="BE42" i="129" s="1"/>
  <c r="BG15" i="129"/>
  <c r="BJ20" i="129"/>
  <c r="BK150" i="128"/>
  <c r="BE15" i="129"/>
  <c r="U23" i="129"/>
  <c r="BH23" i="129" s="1"/>
  <c r="AI150" i="128"/>
  <c r="BL147" i="128"/>
  <c r="BK30" i="129"/>
  <c r="BK27" i="130"/>
  <c r="BJ21" i="129"/>
  <c r="AH31" i="129"/>
  <c r="AI31" i="129" s="1"/>
  <c r="AJ31" i="129" s="1"/>
  <c r="AK31" i="129" s="1"/>
  <c r="BK31" i="129"/>
  <c r="BF15" i="129"/>
  <c r="BL35" i="130"/>
  <c r="BL26" i="129"/>
  <c r="BJ26" i="129"/>
  <c r="BE42" i="130"/>
  <c r="E59" i="130"/>
  <c r="R59" i="130"/>
  <c r="BH19" i="130"/>
  <c r="J59" i="130"/>
  <c r="U59" i="130"/>
  <c r="BJ35" i="130"/>
  <c r="M59" i="130"/>
  <c r="T59" i="130"/>
  <c r="BG42" i="130"/>
  <c r="BE56" i="130"/>
  <c r="BD42" i="130"/>
  <c r="BG56" i="130"/>
  <c r="BD29" i="130"/>
  <c r="L29" i="130"/>
  <c r="BD19" i="130"/>
  <c r="Q59" i="130"/>
  <c r="V59" i="130"/>
  <c r="H59" i="130"/>
  <c r="BH42" i="130"/>
  <c r="BH56" i="130"/>
  <c r="N59" i="130"/>
  <c r="BG29" i="130"/>
  <c r="BF42" i="130"/>
  <c r="BG19" i="130"/>
  <c r="U71" i="130"/>
  <c r="BF56" i="130"/>
  <c r="BE19" i="130"/>
  <c r="BI56" i="130"/>
  <c r="BD56" i="130"/>
  <c r="T71" i="130"/>
  <c r="S59" i="130"/>
  <c r="B59" i="130"/>
  <c r="C59" i="130"/>
  <c r="M70" i="130"/>
  <c r="I59" i="130"/>
  <c r="E70" i="130"/>
  <c r="O59" i="130"/>
  <c r="B71" i="130"/>
  <c r="B70" i="130"/>
  <c r="K59" i="130"/>
  <c r="J70" i="130"/>
  <c r="F59" i="130"/>
  <c r="BE29" i="130"/>
  <c r="G59" i="130"/>
  <c r="BH29" i="130"/>
  <c r="E71" i="130"/>
  <c r="D59" i="130"/>
  <c r="P59" i="130"/>
  <c r="D60" i="129"/>
  <c r="D61" i="129" s="1"/>
  <c r="L60" i="129"/>
  <c r="L61" i="129" s="1"/>
  <c r="N60" i="129"/>
  <c r="N61" i="129" s="1"/>
  <c r="B60" i="129"/>
  <c r="B61" i="129" s="1"/>
  <c r="BH42" i="129"/>
  <c r="U51" i="129"/>
  <c r="BK46" i="129"/>
  <c r="BK17" i="129"/>
  <c r="V60" i="129"/>
  <c r="V61" i="129" s="1"/>
  <c r="J60" i="129"/>
  <c r="J61" i="129" s="1"/>
  <c r="F60" i="129"/>
  <c r="F61" i="129" s="1"/>
  <c r="BK7" i="129"/>
  <c r="E51" i="129"/>
  <c r="BD51" i="129" s="1"/>
  <c r="BD42" i="129"/>
  <c r="BK47" i="129"/>
  <c r="BK20" i="129"/>
  <c r="BK38" i="129"/>
  <c r="BK19" i="129"/>
  <c r="BM25" i="128"/>
  <c r="BL25" i="128"/>
  <c r="BK25" i="128"/>
  <c r="BJ25" i="128"/>
  <c r="BI25" i="128"/>
  <c r="BH25" i="128"/>
  <c r="BG25" i="128"/>
  <c r="BD17" i="128"/>
  <c r="AU26" i="129" l="1"/>
  <c r="AR47" i="129"/>
  <c r="AS47" i="129" s="1"/>
  <c r="AT47" i="129" s="1"/>
  <c r="AU47" i="129" s="1"/>
  <c r="AV47" i="129" s="1"/>
  <c r="AW47" i="129" s="1"/>
  <c r="AX47" i="129" s="1"/>
  <c r="AY47" i="129" s="1"/>
  <c r="AZ47" i="129" s="1"/>
  <c r="BA47" i="129" s="1"/>
  <c r="BP47" i="129" s="1"/>
  <c r="AR20" i="129"/>
  <c r="AS20" i="129" s="1"/>
  <c r="AT20" i="129" s="1"/>
  <c r="AU20" i="129" s="1"/>
  <c r="AV20" i="129" s="1"/>
  <c r="AW20" i="129" s="1"/>
  <c r="AX20" i="129" s="1"/>
  <c r="AY20" i="129" s="1"/>
  <c r="AZ20" i="129" s="1"/>
  <c r="BA20" i="129" s="1"/>
  <c r="BP20" i="129" s="1"/>
  <c r="AK46" i="129"/>
  <c r="BL46" i="129" s="1"/>
  <c r="AV458" i="131"/>
  <c r="AU459" i="131"/>
  <c r="AU460" i="131"/>
  <c r="BL150" i="128"/>
  <c r="AI45" i="128"/>
  <c r="AI43" i="128" s="1"/>
  <c r="I51" i="129"/>
  <c r="BE51" i="129" s="1"/>
  <c r="BE60" i="129" s="1"/>
  <c r="BE61" i="129" s="1"/>
  <c r="AS40" i="129"/>
  <c r="AT40" i="129" s="1"/>
  <c r="AR26" i="130"/>
  <c r="Q51" i="129"/>
  <c r="BG51" i="129" s="1"/>
  <c r="BG60" i="129" s="1"/>
  <c r="BG61" i="129" s="1"/>
  <c r="M60" i="129"/>
  <c r="M61" i="129" s="1"/>
  <c r="AF48" i="129"/>
  <c r="AF49" i="129" s="1"/>
  <c r="AF43" i="128"/>
  <c r="BM147" i="128"/>
  <c r="BK21" i="129"/>
  <c r="BL30" i="129"/>
  <c r="AL31" i="129"/>
  <c r="AM31" i="129" s="1"/>
  <c r="AO31" i="129" s="1"/>
  <c r="AP31" i="129" s="1"/>
  <c r="BL31" i="129"/>
  <c r="BF29" i="130"/>
  <c r="L68" i="130"/>
  <c r="BH59" i="130"/>
  <c r="J71" i="130"/>
  <c r="L59" i="130"/>
  <c r="N70" i="130"/>
  <c r="BG68" i="130"/>
  <c r="N71" i="130"/>
  <c r="Q71" i="130"/>
  <c r="Q70" i="130"/>
  <c r="B62" i="130"/>
  <c r="BD59" i="130"/>
  <c r="BD62" i="130" s="1"/>
  <c r="V70" i="130"/>
  <c r="V71" i="130"/>
  <c r="H71" i="130"/>
  <c r="H70" i="130"/>
  <c r="R70" i="130"/>
  <c r="D71" i="130"/>
  <c r="D70" i="130"/>
  <c r="BE59" i="130"/>
  <c r="U70" i="130"/>
  <c r="K71" i="130"/>
  <c r="K70" i="130"/>
  <c r="C71" i="130"/>
  <c r="C70" i="130"/>
  <c r="BD68" i="130"/>
  <c r="P71" i="130"/>
  <c r="T70" i="130"/>
  <c r="BH68" i="130"/>
  <c r="F70" i="130"/>
  <c r="F71" i="130"/>
  <c r="BE68" i="130"/>
  <c r="O71" i="130"/>
  <c r="O70" i="130"/>
  <c r="I70" i="130"/>
  <c r="I71" i="130"/>
  <c r="BG59" i="130"/>
  <c r="S71" i="130"/>
  <c r="S70" i="130"/>
  <c r="G71" i="130"/>
  <c r="G70" i="130"/>
  <c r="R71" i="130"/>
  <c r="BD60" i="129"/>
  <c r="BD61" i="129" s="1"/>
  <c r="E60" i="129"/>
  <c r="E61" i="129" s="1"/>
  <c r="BL17" i="129"/>
  <c r="BM17" i="129"/>
  <c r="BH51" i="129"/>
  <c r="BH60" i="129" s="1"/>
  <c r="BH61" i="129" s="1"/>
  <c r="U60" i="129"/>
  <c r="U61" i="129" s="1"/>
  <c r="BJ45" i="129"/>
  <c r="BL19" i="129"/>
  <c r="BM19" i="129"/>
  <c r="BL7" i="129"/>
  <c r="BM7" i="129"/>
  <c r="BM47" i="129"/>
  <c r="BL47" i="129"/>
  <c r="BM38" i="129"/>
  <c r="BL38" i="129"/>
  <c r="BL20" i="129"/>
  <c r="BM20" i="129"/>
  <c r="BE17" i="128"/>
  <c r="BG17" i="128"/>
  <c r="BI17" i="128"/>
  <c r="BK17" i="128"/>
  <c r="BF17" i="128"/>
  <c r="BH17" i="128"/>
  <c r="BJ17" i="128"/>
  <c r="BL17" i="128"/>
  <c r="BM17" i="128"/>
  <c r="BL60" i="128"/>
  <c r="BK60" i="128"/>
  <c r="BJ60" i="128"/>
  <c r="BI60" i="128"/>
  <c r="BH60" i="128"/>
  <c r="BG60" i="128"/>
  <c r="BF60" i="128"/>
  <c r="BE60" i="128"/>
  <c r="BD60" i="128"/>
  <c r="BK37" i="128"/>
  <c r="BJ37" i="128"/>
  <c r="BM36" i="128"/>
  <c r="BL36" i="128"/>
  <c r="BK36" i="128"/>
  <c r="BJ36" i="128"/>
  <c r="BI36" i="128"/>
  <c r="BG36" i="128"/>
  <c r="BF36" i="128"/>
  <c r="BE36" i="128"/>
  <c r="BD36" i="128"/>
  <c r="BM29" i="128"/>
  <c r="BL29" i="128"/>
  <c r="BK29" i="128"/>
  <c r="BJ29" i="128"/>
  <c r="BM28" i="128"/>
  <c r="BL28" i="128"/>
  <c r="BK28" i="128"/>
  <c r="BJ28" i="128"/>
  <c r="AP33" i="129" l="1"/>
  <c r="AP35" i="129" s="1"/>
  <c r="AP42" i="129" s="1"/>
  <c r="AP51" i="129" s="1"/>
  <c r="AP60" i="129" s="1"/>
  <c r="AP61" i="129" s="1"/>
  <c r="AQ31" i="129"/>
  <c r="AQ33" i="129" s="1"/>
  <c r="AQ35" i="129" s="1"/>
  <c r="AQ42" i="129" s="1"/>
  <c r="AQ51" i="129" s="1"/>
  <c r="AQ60" i="129" s="1"/>
  <c r="AQ61" i="129" s="1"/>
  <c r="BN45" i="129"/>
  <c r="I60" i="129"/>
  <c r="I61" i="129" s="1"/>
  <c r="BO20" i="129"/>
  <c r="BO47" i="129"/>
  <c r="AU40" i="129"/>
  <c r="AT26" i="130"/>
  <c r="AV26" i="129"/>
  <c r="AR45" i="129"/>
  <c r="AS45" i="129" s="1"/>
  <c r="AT45" i="129" s="1"/>
  <c r="AU45" i="129" s="1"/>
  <c r="AV45" i="129" s="1"/>
  <c r="AW45" i="129" s="1"/>
  <c r="AX45" i="129" s="1"/>
  <c r="AY45" i="129" s="1"/>
  <c r="AZ45" i="129" s="1"/>
  <c r="BA45" i="129" s="1"/>
  <c r="BP45" i="129" s="1"/>
  <c r="AS26" i="130"/>
  <c r="AL46" i="129"/>
  <c r="AW458" i="131"/>
  <c r="AV460" i="131"/>
  <c r="AV459" i="131"/>
  <c r="Q60" i="129"/>
  <c r="Q61" i="129" s="1"/>
  <c r="AS27" i="130"/>
  <c r="BN41" i="129"/>
  <c r="BN22" i="129"/>
  <c r="BM31" i="129"/>
  <c r="BN31" i="129"/>
  <c r="BM150" i="128"/>
  <c r="L73" i="130"/>
  <c r="AG43" i="128"/>
  <c r="BK43" i="128" s="1"/>
  <c r="BM30" i="129"/>
  <c r="BM27" i="130"/>
  <c r="BL21" i="129"/>
  <c r="L70" i="130"/>
  <c r="BF59" i="130"/>
  <c r="M71" i="130"/>
  <c r="L71" i="130"/>
  <c r="P70" i="130"/>
  <c r="BF68" i="130"/>
  <c r="BH70" i="130"/>
  <c r="BE70" i="130"/>
  <c r="AD56" i="130"/>
  <c r="BJ56" i="130"/>
  <c r="BJ47" i="130"/>
  <c r="BD70" i="130"/>
  <c r="BD76" i="130"/>
  <c r="BE61" i="130"/>
  <c r="BE62" i="130" s="1"/>
  <c r="C61" i="130"/>
  <c r="C62" i="130" s="1"/>
  <c r="B76" i="130"/>
  <c r="BH36" i="128"/>
  <c r="BO45" i="129" l="1"/>
  <c r="AM46" i="129"/>
  <c r="AX458" i="131"/>
  <c r="BO458" i="131"/>
  <c r="BO459" i="131" s="1"/>
  <c r="AU26" i="130"/>
  <c r="AV40" i="129"/>
  <c r="AW26" i="129"/>
  <c r="AX26" i="129" s="1"/>
  <c r="BN26" i="130"/>
  <c r="AW460" i="131"/>
  <c r="AW459" i="131"/>
  <c r="BN27" i="130"/>
  <c r="BN32" i="129"/>
  <c r="BM21" i="129"/>
  <c r="AH48" i="129"/>
  <c r="AI48" i="129" s="1"/>
  <c r="BK48" i="129"/>
  <c r="BF70" i="130"/>
  <c r="BG70" i="130"/>
  <c r="D61" i="130"/>
  <c r="D62" i="130" s="1"/>
  <c r="C76" i="130"/>
  <c r="AE56" i="130"/>
  <c r="BJ13" i="130"/>
  <c r="BE76" i="130"/>
  <c r="BF61" i="130"/>
  <c r="BF62" i="130" s="1"/>
  <c r="AY26" i="129" l="1"/>
  <c r="BM46" i="129"/>
  <c r="AY458" i="131"/>
  <c r="AX460" i="131"/>
  <c r="AX459" i="131"/>
  <c r="AV26" i="130"/>
  <c r="AW40" i="129"/>
  <c r="AX40" i="129" s="1"/>
  <c r="BO26" i="129"/>
  <c r="AJ48" i="129"/>
  <c r="AI49" i="129"/>
  <c r="BN46" i="129"/>
  <c r="BN21" i="129"/>
  <c r="AR31" i="129"/>
  <c r="BF76" i="130"/>
  <c r="BG61" i="130"/>
  <c r="BG62" i="130" s="1"/>
  <c r="AF56" i="130"/>
  <c r="D76" i="130"/>
  <c r="E61" i="130"/>
  <c r="E62" i="130" s="1"/>
  <c r="AY40" i="129" l="1"/>
  <c r="AX26" i="130"/>
  <c r="AZ26" i="129"/>
  <c r="AZ458" i="131"/>
  <c r="AY460" i="131"/>
  <c r="AY459" i="131"/>
  <c r="AW26" i="130"/>
  <c r="BO26" i="130" s="1"/>
  <c r="BO40" i="129"/>
  <c r="AR46" i="129"/>
  <c r="AS46" i="129" s="1"/>
  <c r="AT46" i="129" s="1"/>
  <c r="AU46" i="129" s="1"/>
  <c r="AV46" i="129" s="1"/>
  <c r="AW46" i="129" s="1"/>
  <c r="AX46" i="129" s="1"/>
  <c r="AY46" i="129" s="1"/>
  <c r="AZ46" i="129" s="1"/>
  <c r="BA46" i="129" s="1"/>
  <c r="BP46" i="129" s="1"/>
  <c r="AR21" i="129"/>
  <c r="AS21" i="129" s="1"/>
  <c r="AT21" i="129" s="1"/>
  <c r="AU21" i="129" s="1"/>
  <c r="AV21" i="129" s="1"/>
  <c r="AW21" i="129" s="1"/>
  <c r="AX21" i="129" s="1"/>
  <c r="AY21" i="129" s="1"/>
  <c r="AZ21" i="129" s="1"/>
  <c r="BA21" i="129" s="1"/>
  <c r="BP21" i="129" s="1"/>
  <c r="AK48" i="129"/>
  <c r="AJ49" i="129"/>
  <c r="AS31" i="129"/>
  <c r="AT31" i="129" s="1"/>
  <c r="BH61" i="130"/>
  <c r="BG76" i="130"/>
  <c r="F61" i="130"/>
  <c r="F62" i="130" s="1"/>
  <c r="E76" i="130"/>
  <c r="BJ40" i="129"/>
  <c r="BK45" i="129"/>
  <c r="AZ40" i="129" l="1"/>
  <c r="AY26" i="130"/>
  <c r="BA26" i="129"/>
  <c r="AU31" i="129"/>
  <c r="BO46" i="129"/>
  <c r="BO21" i="129"/>
  <c r="BA458" i="131"/>
  <c r="BP458" i="131" s="1"/>
  <c r="BP459" i="131" s="1"/>
  <c r="AZ460" i="131"/>
  <c r="AZ459" i="131"/>
  <c r="AK49" i="129"/>
  <c r="AL48" i="129"/>
  <c r="BL48" i="129"/>
  <c r="F76" i="130"/>
  <c r="G61" i="130"/>
  <c r="G62" i="130" s="1"/>
  <c r="BK56" i="130"/>
  <c r="AH56" i="130"/>
  <c r="BK47" i="130"/>
  <c r="AZ26" i="130" l="1"/>
  <c r="BA40" i="129"/>
  <c r="BP26" i="129"/>
  <c r="AM48" i="129"/>
  <c r="AL49" i="129"/>
  <c r="AV31" i="129"/>
  <c r="BA460" i="131"/>
  <c r="BA459" i="131"/>
  <c r="BK13" i="130"/>
  <c r="G76" i="130"/>
  <c r="H61" i="130"/>
  <c r="H62" i="130" s="1"/>
  <c r="BM48" i="129" l="1"/>
  <c r="BA26" i="130"/>
  <c r="BP26" i="130" s="1"/>
  <c r="BP40" i="129"/>
  <c r="AW31" i="129"/>
  <c r="AX31" i="129" s="1"/>
  <c r="BN48" i="129"/>
  <c r="H76" i="130"/>
  <c r="I61" i="130"/>
  <c r="I62" i="130" s="1"/>
  <c r="AY31" i="129" l="1"/>
  <c r="BO31" i="129"/>
  <c r="AR48" i="129"/>
  <c r="AS48" i="129" s="1"/>
  <c r="AT48" i="129" s="1"/>
  <c r="AU48" i="129" s="1"/>
  <c r="AV48" i="129" s="1"/>
  <c r="AW48" i="129" s="1"/>
  <c r="AX48" i="129" s="1"/>
  <c r="AY48" i="129" s="1"/>
  <c r="AZ48" i="129" s="1"/>
  <c r="BA48" i="129" s="1"/>
  <c r="BP48" i="129" s="1"/>
  <c r="I76" i="130"/>
  <c r="J61" i="130"/>
  <c r="J62" i="130" s="1"/>
  <c r="BL47" i="130"/>
  <c r="BL45" i="129"/>
  <c r="AZ31" i="129" l="1"/>
  <c r="BO48" i="129"/>
  <c r="J76" i="130"/>
  <c r="K61" i="130"/>
  <c r="K62" i="130" s="1"/>
  <c r="AL56" i="130"/>
  <c r="BL56" i="130"/>
  <c r="BA31" i="129" l="1"/>
  <c r="K76" i="130"/>
  <c r="L61" i="130"/>
  <c r="L62" i="130" s="1"/>
  <c r="BP31" i="129" l="1"/>
  <c r="L76" i="130"/>
  <c r="M61" i="130"/>
  <c r="M62" i="130" s="1"/>
  <c r="BM56" i="130" l="1"/>
  <c r="N61" i="130"/>
  <c r="N62" i="130" s="1"/>
  <c r="M76" i="130"/>
  <c r="BM45" i="129"/>
  <c r="BK40" i="129"/>
  <c r="N76" i="130" l="1"/>
  <c r="O61" i="130"/>
  <c r="O62" i="130" s="1"/>
  <c r="O76" i="130" l="1"/>
  <c r="P61" i="130"/>
  <c r="P62" i="130" s="1"/>
  <c r="P76" i="130" l="1"/>
  <c r="Q61" i="130"/>
  <c r="Q62" i="130" s="1"/>
  <c r="R61" i="130" l="1"/>
  <c r="R62" i="130" s="1"/>
  <c r="Q76" i="130"/>
  <c r="S61" i="130" l="1"/>
  <c r="S62" i="130" s="1"/>
  <c r="R76" i="130"/>
  <c r="T61" i="130" l="1"/>
  <c r="T62" i="130" s="1"/>
  <c r="S76" i="130"/>
  <c r="T76" i="130" l="1"/>
  <c r="U61" i="130"/>
  <c r="U62" i="130" s="1"/>
  <c r="BH62" i="130" l="1"/>
  <c r="V61" i="130"/>
  <c r="V62" i="130" s="1"/>
  <c r="U76" i="130"/>
  <c r="BL40" i="129"/>
  <c r="V76" i="130" l="1"/>
  <c r="W61" i="130"/>
  <c r="BH76" i="130"/>
  <c r="BI61" i="130"/>
  <c r="BM40" i="129" l="1"/>
  <c r="BK56" i="128" l="1"/>
  <c r="BJ53" i="128"/>
  <c r="BL53" i="128"/>
  <c r="BK50" i="128"/>
  <c r="BM50" i="128"/>
  <c r="BJ45" i="128"/>
  <c r="BL45" i="128"/>
  <c r="BK44" i="128"/>
  <c r="BJ50" i="128"/>
  <c r="BL50" i="128"/>
  <c r="BJ56" i="128"/>
  <c r="BL56" i="128"/>
  <c r="BK45" i="128"/>
  <c r="BK53" i="128"/>
  <c r="BM53" i="128"/>
  <c r="BJ44" i="128"/>
  <c r="BL44" i="128"/>
  <c r="W151" i="128"/>
  <c r="X151" i="128"/>
  <c r="Y151" i="128"/>
  <c r="Z151" i="128"/>
  <c r="AA151" i="128"/>
  <c r="AB151" i="128"/>
  <c r="AC151" i="128"/>
  <c r="AD151" i="128"/>
  <c r="AE151" i="128"/>
  <c r="AF151" i="128"/>
  <c r="AG151" i="128"/>
  <c r="AH151" i="128"/>
  <c r="AI151" i="128"/>
  <c r="AJ151" i="128"/>
  <c r="AK151" i="128"/>
  <c r="AL151" i="128"/>
  <c r="AO151" i="128"/>
  <c r="U64" i="128"/>
  <c r="T64" i="128"/>
  <c r="S64" i="128"/>
  <c r="R64" i="128"/>
  <c r="Q64" i="128"/>
  <c r="P64" i="128"/>
  <c r="O64" i="128"/>
  <c r="N64" i="128"/>
  <c r="M64" i="128"/>
  <c r="L64" i="128"/>
  <c r="K64" i="128"/>
  <c r="J64" i="128"/>
  <c r="I64" i="128"/>
  <c r="H64" i="128"/>
  <c r="G64" i="128"/>
  <c r="F64" i="128"/>
  <c r="E64" i="128"/>
  <c r="D64" i="128"/>
  <c r="C64" i="128"/>
  <c r="B64" i="128"/>
  <c r="U56" i="128"/>
  <c r="T56" i="128"/>
  <c r="S56" i="128"/>
  <c r="R56" i="128"/>
  <c r="Q56" i="128"/>
  <c r="P56" i="128"/>
  <c r="O56" i="128"/>
  <c r="N56" i="128"/>
  <c r="V56" i="128"/>
  <c r="BI56" i="128" s="1"/>
  <c r="BI53" i="128"/>
  <c r="BF64" i="128" l="1"/>
  <c r="BH64" i="128"/>
  <c r="BD64" i="128"/>
  <c r="BE64" i="128"/>
  <c r="BG64" i="128"/>
  <c r="BD53" i="128"/>
  <c r="BF53" i="128"/>
  <c r="BH53" i="128"/>
  <c r="BE56" i="128"/>
  <c r="BH56" i="128"/>
  <c r="BM151" i="128"/>
  <c r="BK151" i="128"/>
  <c r="BE53" i="128"/>
  <c r="BG53" i="128"/>
  <c r="BD56" i="128"/>
  <c r="BG56" i="128"/>
  <c r="BL151" i="128"/>
  <c r="BJ151" i="128"/>
  <c r="V50" i="128"/>
  <c r="V48" i="128"/>
  <c r="U48" i="128"/>
  <c r="T48" i="128"/>
  <c r="S48" i="128"/>
  <c r="R48" i="128"/>
  <c r="Q48" i="128"/>
  <c r="P48" i="128"/>
  <c r="O48" i="128"/>
  <c r="N48" i="128"/>
  <c r="M48" i="128"/>
  <c r="L48" i="128"/>
  <c r="K48" i="128"/>
  <c r="J48" i="128"/>
  <c r="I48" i="128"/>
  <c r="H48" i="128"/>
  <c r="G48" i="128"/>
  <c r="F48" i="128"/>
  <c r="E48" i="128"/>
  <c r="D48" i="128"/>
  <c r="C48" i="128"/>
  <c r="V47" i="128"/>
  <c r="U47" i="128"/>
  <c r="T47" i="128"/>
  <c r="S47" i="128"/>
  <c r="R47" i="128"/>
  <c r="Q47" i="128"/>
  <c r="P47" i="128"/>
  <c r="O47" i="128"/>
  <c r="N47" i="128"/>
  <c r="M47" i="128"/>
  <c r="L47" i="128"/>
  <c r="K47" i="128"/>
  <c r="J47" i="128"/>
  <c r="I47" i="128"/>
  <c r="H47" i="128"/>
  <c r="G47" i="128"/>
  <c r="F47" i="128"/>
  <c r="E47" i="128"/>
  <c r="D47" i="128"/>
  <c r="C47" i="128"/>
  <c r="V44" i="128"/>
  <c r="U44" i="128"/>
  <c r="T44" i="128"/>
  <c r="S44" i="128"/>
  <c r="R44" i="128"/>
  <c r="Q44" i="128"/>
  <c r="P44" i="128"/>
  <c r="O44" i="128"/>
  <c r="N44" i="128"/>
  <c r="M44" i="128"/>
  <c r="L44" i="128"/>
  <c r="K44" i="128"/>
  <c r="J44" i="128"/>
  <c r="I44" i="128"/>
  <c r="H44" i="128"/>
  <c r="G44" i="128"/>
  <c r="F44" i="128"/>
  <c r="E44" i="128"/>
  <c r="D44" i="128"/>
  <c r="C44" i="128"/>
  <c r="B47" i="128"/>
  <c r="B48" i="128"/>
  <c r="B44" i="128"/>
  <c r="U37" i="128"/>
  <c r="T37" i="128"/>
  <c r="S37" i="128"/>
  <c r="R37" i="128"/>
  <c r="Q37" i="128"/>
  <c r="P37" i="128"/>
  <c r="O37" i="128"/>
  <c r="N37" i="128"/>
  <c r="M37" i="128"/>
  <c r="L37" i="128"/>
  <c r="K37" i="128"/>
  <c r="J37" i="128"/>
  <c r="I37" i="128"/>
  <c r="H37" i="128"/>
  <c r="G37" i="128"/>
  <c r="F37" i="128"/>
  <c r="E37" i="128"/>
  <c r="D37" i="128"/>
  <c r="C37" i="128"/>
  <c r="B37" i="128"/>
  <c r="V37" i="128"/>
  <c r="U31" i="128"/>
  <c r="S31" i="128"/>
  <c r="R31" i="128"/>
  <c r="Q31" i="128"/>
  <c r="P31" i="128"/>
  <c r="O31" i="128"/>
  <c r="N31" i="128"/>
  <c r="J31" i="128"/>
  <c r="I31" i="128"/>
  <c r="H31" i="128"/>
  <c r="G31" i="128"/>
  <c r="F31" i="128"/>
  <c r="E31" i="128"/>
  <c r="D31" i="128"/>
  <c r="C31" i="128"/>
  <c r="B31" i="128"/>
  <c r="U29" i="128"/>
  <c r="T29" i="128"/>
  <c r="S29" i="128"/>
  <c r="R29" i="128"/>
  <c r="M29" i="128"/>
  <c r="L29" i="128"/>
  <c r="K29" i="128"/>
  <c r="J29" i="128"/>
  <c r="I29" i="128"/>
  <c r="H29" i="128"/>
  <c r="G29" i="128"/>
  <c r="F29" i="128"/>
  <c r="E29" i="128"/>
  <c r="D29" i="128"/>
  <c r="C29" i="128"/>
  <c r="B29" i="128"/>
  <c r="V31" i="128"/>
  <c r="V29" i="128"/>
  <c r="BI29" i="128" s="1"/>
  <c r="U21" i="128"/>
  <c r="T21" i="128"/>
  <c r="S21" i="128"/>
  <c r="R21" i="128"/>
  <c r="Q21" i="128"/>
  <c r="P21" i="128"/>
  <c r="O21" i="128"/>
  <c r="N21" i="128"/>
  <c r="M21" i="128"/>
  <c r="L21" i="128"/>
  <c r="K21" i="128"/>
  <c r="J21" i="128"/>
  <c r="I21" i="128"/>
  <c r="H21" i="128"/>
  <c r="G21" i="128"/>
  <c r="F21" i="128"/>
  <c r="E21" i="128"/>
  <c r="D21" i="128"/>
  <c r="C21" i="128"/>
  <c r="B21" i="128"/>
  <c r="U20" i="128"/>
  <c r="T20" i="128"/>
  <c r="S20" i="128"/>
  <c r="R20" i="128"/>
  <c r="Q20" i="128"/>
  <c r="P20" i="128"/>
  <c r="O20" i="128"/>
  <c r="N20" i="128"/>
  <c r="M20" i="128"/>
  <c r="L20" i="128"/>
  <c r="K20" i="128"/>
  <c r="J20" i="128"/>
  <c r="I20" i="128"/>
  <c r="H20" i="128"/>
  <c r="G20" i="128"/>
  <c r="F20" i="128"/>
  <c r="E20" i="128"/>
  <c r="D20" i="128"/>
  <c r="C20" i="128"/>
  <c r="B20" i="128"/>
  <c r="U14" i="128"/>
  <c r="U95" i="128" s="1"/>
  <c r="T14" i="128"/>
  <c r="T95" i="128" s="1"/>
  <c r="S14" i="128"/>
  <c r="S95" i="128" s="1"/>
  <c r="R14" i="128"/>
  <c r="Q14" i="128"/>
  <c r="P14" i="128"/>
  <c r="O14" i="128"/>
  <c r="N14" i="128"/>
  <c r="M14" i="128"/>
  <c r="M95" i="128" s="1"/>
  <c r="L14" i="128"/>
  <c r="L95" i="128" s="1"/>
  <c r="K14" i="128"/>
  <c r="K95" i="128" s="1"/>
  <c r="J14" i="128"/>
  <c r="I14" i="128"/>
  <c r="H14" i="128"/>
  <c r="G14" i="128"/>
  <c r="F14" i="128"/>
  <c r="E14" i="128"/>
  <c r="E95" i="128" s="1"/>
  <c r="D14" i="128"/>
  <c r="D95" i="128" s="1"/>
  <c r="C14" i="128"/>
  <c r="C95" i="128" s="1"/>
  <c r="B14" i="128"/>
  <c r="T13" i="128"/>
  <c r="S13" i="128"/>
  <c r="R13" i="128"/>
  <c r="Q13" i="128"/>
  <c r="P13" i="128"/>
  <c r="O13" i="128"/>
  <c r="N13" i="128"/>
  <c r="M13" i="128"/>
  <c r="L13" i="128"/>
  <c r="K13" i="128"/>
  <c r="J13" i="128"/>
  <c r="I13" i="128"/>
  <c r="H13" i="128"/>
  <c r="G13" i="128"/>
  <c r="F13" i="128"/>
  <c r="E13" i="128"/>
  <c r="D13" i="128"/>
  <c r="C13" i="128"/>
  <c r="B13" i="128"/>
  <c r="V20" i="128"/>
  <c r="V14" i="128"/>
  <c r="V13" i="128"/>
  <c r="AO158" i="128"/>
  <c r="AO51" i="128" s="1"/>
  <c r="AO49" i="128" s="1"/>
  <c r="AL158" i="128"/>
  <c r="AL51" i="128" s="1"/>
  <c r="AL49" i="128" s="1"/>
  <c r="AK158" i="128"/>
  <c r="AK51" i="128" s="1"/>
  <c r="AK49" i="128" s="1"/>
  <c r="AJ158" i="128"/>
  <c r="AJ51" i="128" s="1"/>
  <c r="AJ49" i="128" s="1"/>
  <c r="AI158" i="128"/>
  <c r="AI51" i="128" s="1"/>
  <c r="AI49" i="128" s="1"/>
  <c r="AH158" i="128"/>
  <c r="AH51" i="128" s="1"/>
  <c r="AH49" i="128" s="1"/>
  <c r="AH59" i="128" s="1"/>
  <c r="AG158" i="128"/>
  <c r="AG51" i="128" s="1"/>
  <c r="AG49" i="128" s="1"/>
  <c r="AF158" i="128"/>
  <c r="AF51" i="128" s="1"/>
  <c r="AF49" i="128" s="1"/>
  <c r="AE158" i="128"/>
  <c r="AE51" i="128" s="1"/>
  <c r="AE49" i="128" s="1"/>
  <c r="AD158" i="128"/>
  <c r="AD51" i="128" s="1"/>
  <c r="AD49" i="128" s="1"/>
  <c r="AC158" i="128"/>
  <c r="AC51" i="128" s="1"/>
  <c r="AC49" i="128" s="1"/>
  <c r="AB158" i="128"/>
  <c r="AB51" i="128" s="1"/>
  <c r="AB49" i="128" s="1"/>
  <c r="AA158" i="128"/>
  <c r="AA51" i="128" s="1"/>
  <c r="AA49" i="128" s="1"/>
  <c r="Z158" i="128"/>
  <c r="Z51" i="128" s="1"/>
  <c r="Z49" i="128" s="1"/>
  <c r="Y51" i="128"/>
  <c r="Y49" i="128" s="1"/>
  <c r="X158" i="128"/>
  <c r="X51" i="128" s="1"/>
  <c r="X49" i="128" s="1"/>
  <c r="W158" i="128"/>
  <c r="W51" i="128" s="1"/>
  <c r="W49" i="128" s="1"/>
  <c r="V158" i="128"/>
  <c r="U158" i="128"/>
  <c r="T158" i="128"/>
  <c r="S158" i="128"/>
  <c r="R158" i="128"/>
  <c r="R51" i="128" s="1"/>
  <c r="R49" i="128" s="1"/>
  <c r="Q158" i="128"/>
  <c r="P158" i="128"/>
  <c r="O158" i="128"/>
  <c r="N158" i="128"/>
  <c r="N51" i="128" s="1"/>
  <c r="N49" i="128" s="1"/>
  <c r="M158" i="128"/>
  <c r="L158" i="128"/>
  <c r="K158" i="128"/>
  <c r="J158" i="128"/>
  <c r="J51" i="128" s="1"/>
  <c r="J49" i="128" s="1"/>
  <c r="I158" i="128"/>
  <c r="H158" i="128"/>
  <c r="G158" i="128"/>
  <c r="F158" i="128"/>
  <c r="F51" i="128" s="1"/>
  <c r="F49" i="128" s="1"/>
  <c r="E158" i="128"/>
  <c r="D158" i="128"/>
  <c r="C158" i="128"/>
  <c r="B158" i="128"/>
  <c r="B51" i="128" s="1"/>
  <c r="B49" i="128" s="1"/>
  <c r="V150" i="128"/>
  <c r="U150" i="128"/>
  <c r="U151" i="128" s="1"/>
  <c r="U43" i="128" s="1"/>
  <c r="T150" i="128"/>
  <c r="S150" i="128"/>
  <c r="S151" i="128" s="1"/>
  <c r="S43" i="128" s="1"/>
  <c r="R150" i="128"/>
  <c r="Q150" i="128"/>
  <c r="Q151" i="128" s="1"/>
  <c r="Q43" i="128" s="1"/>
  <c r="P150" i="128"/>
  <c r="P151" i="128" s="1"/>
  <c r="P43" i="128" s="1"/>
  <c r="O150" i="128"/>
  <c r="O151" i="128" s="1"/>
  <c r="O43" i="128" s="1"/>
  <c r="N150" i="128"/>
  <c r="M150" i="128"/>
  <c r="M151" i="128" s="1"/>
  <c r="M43" i="128" s="1"/>
  <c r="L150" i="128"/>
  <c r="L151" i="128" s="1"/>
  <c r="L43" i="128" s="1"/>
  <c r="K150" i="128"/>
  <c r="K151" i="128" s="1"/>
  <c r="K43" i="128" s="1"/>
  <c r="J150" i="128"/>
  <c r="I150" i="128"/>
  <c r="I151" i="128" s="1"/>
  <c r="I43" i="128" s="1"/>
  <c r="H150" i="128"/>
  <c r="H151" i="128" s="1"/>
  <c r="H43" i="128" s="1"/>
  <c r="G150" i="128"/>
  <c r="G151" i="128" s="1"/>
  <c r="G43" i="128" s="1"/>
  <c r="F150" i="128"/>
  <c r="E150" i="128"/>
  <c r="E151" i="128" s="1"/>
  <c r="E43" i="128" s="1"/>
  <c r="D150" i="128"/>
  <c r="D151" i="128" s="1"/>
  <c r="D43" i="128" s="1"/>
  <c r="C150" i="128"/>
  <c r="C45" i="128" s="1"/>
  <c r="B150" i="128"/>
  <c r="AO144" i="128"/>
  <c r="AL144" i="128"/>
  <c r="AK144" i="128"/>
  <c r="AJ144" i="128"/>
  <c r="AI144" i="128"/>
  <c r="AH144" i="128"/>
  <c r="AG144" i="128"/>
  <c r="AF144" i="128"/>
  <c r="AE144" i="128"/>
  <c r="AD144" i="128"/>
  <c r="AC144" i="128"/>
  <c r="AB144" i="128"/>
  <c r="AA144" i="128"/>
  <c r="Z144" i="128"/>
  <c r="Y144" i="128"/>
  <c r="X144" i="128"/>
  <c r="W144" i="128"/>
  <c r="V144" i="128"/>
  <c r="U144" i="128"/>
  <c r="T144" i="128"/>
  <c r="S144" i="128"/>
  <c r="R144" i="128"/>
  <c r="Q144" i="128"/>
  <c r="P144" i="128"/>
  <c r="O144" i="128"/>
  <c r="N144" i="128"/>
  <c r="M144" i="128"/>
  <c r="L144" i="128"/>
  <c r="K144" i="128"/>
  <c r="J144" i="128"/>
  <c r="I144" i="128"/>
  <c r="H144" i="128"/>
  <c r="G144" i="128"/>
  <c r="F144" i="128"/>
  <c r="E144" i="128"/>
  <c r="D144" i="128"/>
  <c r="C144" i="128"/>
  <c r="B144" i="128"/>
  <c r="V124" i="128"/>
  <c r="BI124" i="128" s="1"/>
  <c r="U124" i="128"/>
  <c r="T124" i="128"/>
  <c r="S124" i="128"/>
  <c r="R124" i="128"/>
  <c r="Q124" i="128"/>
  <c r="P124" i="128"/>
  <c r="O124" i="128"/>
  <c r="N124" i="128"/>
  <c r="M124" i="128"/>
  <c r="L124" i="128"/>
  <c r="K124" i="128"/>
  <c r="J124" i="128"/>
  <c r="I124" i="128"/>
  <c r="H124" i="128"/>
  <c r="G124" i="128"/>
  <c r="F124" i="128"/>
  <c r="E124" i="128"/>
  <c r="D124" i="128"/>
  <c r="C124" i="128"/>
  <c r="B124" i="128"/>
  <c r="V115" i="128"/>
  <c r="BI115" i="128" s="1"/>
  <c r="U115" i="128"/>
  <c r="T115" i="128"/>
  <c r="S115" i="128"/>
  <c r="R115" i="128"/>
  <c r="Q115" i="128"/>
  <c r="P115" i="128"/>
  <c r="O115" i="128"/>
  <c r="N115" i="128"/>
  <c r="M115" i="128"/>
  <c r="L115" i="128"/>
  <c r="K115" i="128"/>
  <c r="J115" i="128"/>
  <c r="I115" i="128"/>
  <c r="H115" i="128"/>
  <c r="G115" i="128"/>
  <c r="F115" i="128"/>
  <c r="E115" i="128"/>
  <c r="D115" i="128"/>
  <c r="C115" i="128"/>
  <c r="B115" i="128"/>
  <c r="BE108" i="128"/>
  <c r="BH107" i="128"/>
  <c r="BF107" i="128"/>
  <c r="BD107" i="128"/>
  <c r="B66" i="128"/>
  <c r="F66" i="128"/>
  <c r="J66" i="128"/>
  <c r="N66" i="128"/>
  <c r="R66" i="128"/>
  <c r="Z66" i="128"/>
  <c r="AD66" i="128"/>
  <c r="AH66" i="128"/>
  <c r="AL66" i="128"/>
  <c r="AO67" i="128"/>
  <c r="AN67" i="128"/>
  <c r="AM67" i="128"/>
  <c r="AL67" i="128"/>
  <c r="AK67" i="128"/>
  <c r="AJ67" i="128"/>
  <c r="AI67" i="128"/>
  <c r="AH67" i="128"/>
  <c r="AG67" i="128"/>
  <c r="AF67" i="128"/>
  <c r="AE67" i="128"/>
  <c r="AD67" i="128"/>
  <c r="AC67" i="128"/>
  <c r="AB67" i="128"/>
  <c r="AA67" i="128"/>
  <c r="Z67" i="128"/>
  <c r="Y67" i="128"/>
  <c r="X67" i="128"/>
  <c r="W67" i="128"/>
  <c r="U67" i="128"/>
  <c r="T67" i="128"/>
  <c r="S67" i="128"/>
  <c r="R67" i="128"/>
  <c r="Q67" i="128"/>
  <c r="P67" i="128"/>
  <c r="O67" i="128"/>
  <c r="N67" i="128"/>
  <c r="M67" i="128"/>
  <c r="L67" i="128"/>
  <c r="K67" i="128"/>
  <c r="J67" i="128"/>
  <c r="I67" i="128"/>
  <c r="H67" i="128"/>
  <c r="G67" i="128"/>
  <c r="F67" i="128"/>
  <c r="E67" i="128"/>
  <c r="D67" i="128"/>
  <c r="C67" i="128"/>
  <c r="B67" i="128"/>
  <c r="V67" i="128"/>
  <c r="V66" i="128"/>
  <c r="G159" i="128" l="1"/>
  <c r="G51" i="128"/>
  <c r="G49" i="128" s="1"/>
  <c r="L159" i="128"/>
  <c r="L51" i="128"/>
  <c r="L49" i="128" s="1"/>
  <c r="H159" i="128"/>
  <c r="H51" i="128"/>
  <c r="H49" i="128" s="1"/>
  <c r="K159" i="128"/>
  <c r="K51" i="128"/>
  <c r="K49" i="128" s="1"/>
  <c r="M159" i="128"/>
  <c r="M51" i="128"/>
  <c r="M49" i="128" s="1"/>
  <c r="I159" i="128"/>
  <c r="I51" i="128"/>
  <c r="I49" i="128" s="1"/>
  <c r="D159" i="128"/>
  <c r="D51" i="128"/>
  <c r="D49" i="128" s="1"/>
  <c r="E159" i="128"/>
  <c r="E51" i="128"/>
  <c r="E49" i="128" s="1"/>
  <c r="C159" i="128"/>
  <c r="C51" i="128"/>
  <c r="C49" i="128" s="1"/>
  <c r="O159" i="128"/>
  <c r="O51" i="128"/>
  <c r="O49" i="128" s="1"/>
  <c r="Q159" i="128"/>
  <c r="Q51" i="128"/>
  <c r="Q49" i="128" s="1"/>
  <c r="P159" i="128"/>
  <c r="P51" i="128"/>
  <c r="P49" i="128" s="1"/>
  <c r="S159" i="128"/>
  <c r="S51" i="128"/>
  <c r="S49" i="128" s="1"/>
  <c r="T159" i="128"/>
  <c r="T51" i="128"/>
  <c r="T49" i="128" s="1"/>
  <c r="U159" i="128"/>
  <c r="U51" i="128"/>
  <c r="U49" i="128" s="1"/>
  <c r="BI50" i="128"/>
  <c r="X59" i="128"/>
  <c r="X61" i="128"/>
  <c r="AB59" i="128"/>
  <c r="AB61" i="128"/>
  <c r="BI44" i="128"/>
  <c r="Z59" i="128"/>
  <c r="Z61" i="128"/>
  <c r="H72" i="128"/>
  <c r="P74" i="128"/>
  <c r="V74" i="128"/>
  <c r="G72" i="128"/>
  <c r="O74" i="128"/>
  <c r="G74" i="128"/>
  <c r="O72" i="128"/>
  <c r="P72" i="128"/>
  <c r="H74" i="128"/>
  <c r="BE14" i="128"/>
  <c r="BG14" i="128"/>
  <c r="BH31" i="128"/>
  <c r="BF166" i="128"/>
  <c r="BE44" i="128"/>
  <c r="BG44" i="128"/>
  <c r="BF47" i="128"/>
  <c r="BH47" i="128"/>
  <c r="BD13" i="128"/>
  <c r="BF13" i="128"/>
  <c r="BH13" i="128"/>
  <c r="V72" i="128"/>
  <c r="T151" i="128"/>
  <c r="T43" i="128" s="1"/>
  <c r="T45" i="128"/>
  <c r="I72" i="128"/>
  <c r="Q72" i="128"/>
  <c r="I74" i="128"/>
  <c r="Q74" i="128"/>
  <c r="BD14" i="128"/>
  <c r="BF14" i="128"/>
  <c r="BH14" i="128"/>
  <c r="BE124" i="128"/>
  <c r="BG124" i="128"/>
  <c r="F72" i="128"/>
  <c r="N72" i="128"/>
  <c r="F74" i="128"/>
  <c r="N74" i="128"/>
  <c r="BI28" i="128"/>
  <c r="V56" i="129"/>
  <c r="B72" i="130"/>
  <c r="B56" i="129"/>
  <c r="C72" i="130"/>
  <c r="C56" i="129"/>
  <c r="D72" i="130"/>
  <c r="D56" i="129"/>
  <c r="E72" i="130"/>
  <c r="E56" i="129"/>
  <c r="BD56" i="129" s="1"/>
  <c r="F72" i="130"/>
  <c r="F56" i="129"/>
  <c r="G72" i="130"/>
  <c r="G56" i="129"/>
  <c r="H72" i="130"/>
  <c r="H56" i="129"/>
  <c r="I72" i="130"/>
  <c r="I56" i="129"/>
  <c r="BE56" i="129" s="1"/>
  <c r="J72" i="130"/>
  <c r="J56" i="129"/>
  <c r="K72" i="130"/>
  <c r="K56" i="129"/>
  <c r="L72" i="130"/>
  <c r="L56" i="129"/>
  <c r="M72" i="130"/>
  <c r="M56" i="129"/>
  <c r="BF56" i="129" s="1"/>
  <c r="N72" i="130"/>
  <c r="N56" i="129"/>
  <c r="O72" i="130"/>
  <c r="O56" i="129"/>
  <c r="P72" i="130"/>
  <c r="P56" i="129"/>
  <c r="Q72" i="130"/>
  <c r="Q56" i="129"/>
  <c r="BG56" i="129" s="1"/>
  <c r="R72" i="130"/>
  <c r="R56" i="129"/>
  <c r="S72" i="130"/>
  <c r="S56" i="129"/>
  <c r="T72" i="130"/>
  <c r="T56" i="129"/>
  <c r="U72" i="130"/>
  <c r="U56" i="129"/>
  <c r="BH56" i="129" s="1"/>
  <c r="BI11" i="130"/>
  <c r="G95" i="128"/>
  <c r="O95" i="128"/>
  <c r="J72" i="128"/>
  <c r="R72" i="128"/>
  <c r="J74" i="128"/>
  <c r="R74" i="128"/>
  <c r="BI37" i="128"/>
  <c r="V72" i="130"/>
  <c r="BD50" i="128"/>
  <c r="H95" i="128"/>
  <c r="P95" i="128"/>
  <c r="K72" i="128"/>
  <c r="S72" i="128"/>
  <c r="K74" i="128"/>
  <c r="S74" i="128"/>
  <c r="I95" i="128"/>
  <c r="Q95" i="128"/>
  <c r="BE107" i="128"/>
  <c r="BG107" i="128"/>
  <c r="BD124" i="128"/>
  <c r="BF124" i="128"/>
  <c r="BH124" i="128"/>
  <c r="V15" i="128"/>
  <c r="V65" i="129" s="1"/>
  <c r="V81" i="130" s="1"/>
  <c r="H15" i="128"/>
  <c r="H65" i="129" s="1"/>
  <c r="H81" i="130" s="1"/>
  <c r="P15" i="128"/>
  <c r="P65" i="129" s="1"/>
  <c r="P81" i="130" s="1"/>
  <c r="L72" i="128"/>
  <c r="T72" i="128"/>
  <c r="L74" i="128"/>
  <c r="T74" i="128"/>
  <c r="M72" i="128"/>
  <c r="U72" i="128"/>
  <c r="M74" i="128"/>
  <c r="U74" i="128"/>
  <c r="BE48" i="128"/>
  <c r="BG48" i="128"/>
  <c r="BF50" i="128"/>
  <c r="BH50" i="128"/>
  <c r="BD108" i="128"/>
  <c r="V66" i="129"/>
  <c r="V82" i="130" s="1"/>
  <c r="B66" i="129"/>
  <c r="B82" i="130" s="1"/>
  <c r="F73" i="128"/>
  <c r="C66" i="129"/>
  <c r="C82" i="130" s="1"/>
  <c r="G73" i="128"/>
  <c r="D66" i="129"/>
  <c r="D82" i="130" s="1"/>
  <c r="H73" i="128"/>
  <c r="E66" i="129"/>
  <c r="E82" i="130" s="1"/>
  <c r="I73" i="128"/>
  <c r="F66" i="129"/>
  <c r="F82" i="130" s="1"/>
  <c r="J73" i="128"/>
  <c r="K73" i="128"/>
  <c r="G66" i="129"/>
  <c r="G82" i="130" s="1"/>
  <c r="L73" i="128"/>
  <c r="H66" i="129"/>
  <c r="H82" i="130" s="1"/>
  <c r="I66" i="129"/>
  <c r="I82" i="130" s="1"/>
  <c r="M73" i="128"/>
  <c r="J66" i="129"/>
  <c r="J82" i="130" s="1"/>
  <c r="N73" i="128"/>
  <c r="K66" i="129"/>
  <c r="K82" i="130" s="1"/>
  <c r="O73" i="128"/>
  <c r="L66" i="129"/>
  <c r="L82" i="130" s="1"/>
  <c r="P73" i="128"/>
  <c r="M66" i="129"/>
  <c r="M82" i="130" s="1"/>
  <c r="Q73" i="128"/>
  <c r="N66" i="129"/>
  <c r="N82" i="130" s="1"/>
  <c r="R73" i="128"/>
  <c r="S73" i="128"/>
  <c r="O66" i="129"/>
  <c r="O82" i="130" s="1"/>
  <c r="T73" i="128"/>
  <c r="P66" i="129"/>
  <c r="P82" i="130" s="1"/>
  <c r="Q66" i="129"/>
  <c r="Q82" i="130" s="1"/>
  <c r="U73" i="128"/>
  <c r="R66" i="129"/>
  <c r="R82" i="130" s="1"/>
  <c r="V73" i="128"/>
  <c r="S66" i="129"/>
  <c r="S82" i="130" s="1"/>
  <c r="T66" i="129"/>
  <c r="T82" i="130" s="1"/>
  <c r="U66" i="129"/>
  <c r="U82" i="130" s="1"/>
  <c r="BJ43" i="128"/>
  <c r="BJ11" i="130"/>
  <c r="BL43" i="128"/>
  <c r="BK11" i="130"/>
  <c r="BG108" i="128"/>
  <c r="BF108" i="128"/>
  <c r="BH108" i="128"/>
  <c r="H46" i="128"/>
  <c r="W159" i="128"/>
  <c r="AE159" i="128"/>
  <c r="H85" i="128"/>
  <c r="P23" i="128"/>
  <c r="P85" i="128"/>
  <c r="D86" i="128"/>
  <c r="D73" i="128"/>
  <c r="L86" i="128"/>
  <c r="T86" i="128"/>
  <c r="H87" i="128"/>
  <c r="P87" i="128"/>
  <c r="X159" i="128"/>
  <c r="AF159" i="128"/>
  <c r="V85" i="128"/>
  <c r="I85" i="128"/>
  <c r="Q85" i="128"/>
  <c r="E86" i="128"/>
  <c r="E73" i="128"/>
  <c r="M86" i="128"/>
  <c r="U86" i="128"/>
  <c r="I87" i="128"/>
  <c r="Q87" i="128"/>
  <c r="BE28" i="128"/>
  <c r="BG28" i="128"/>
  <c r="BD29" i="128"/>
  <c r="BF29" i="128"/>
  <c r="BH29" i="128"/>
  <c r="BE31" i="128"/>
  <c r="F151" i="128"/>
  <c r="BE150" i="128"/>
  <c r="N151" i="128"/>
  <c r="BG150" i="128"/>
  <c r="V151" i="128"/>
  <c r="BI150" i="128"/>
  <c r="AG159" i="128"/>
  <c r="AO159" i="128"/>
  <c r="BD20" i="128"/>
  <c r="BD72" i="128" s="1"/>
  <c r="B85" i="128"/>
  <c r="B72" i="128"/>
  <c r="BF20" i="128"/>
  <c r="J85" i="128"/>
  <c r="BH20" i="128"/>
  <c r="R85" i="128"/>
  <c r="BE21" i="128"/>
  <c r="F86" i="128"/>
  <c r="BG21" i="128"/>
  <c r="N86" i="128"/>
  <c r="BD22" i="128"/>
  <c r="BD74" i="128" s="1"/>
  <c r="B74" i="128"/>
  <c r="B87" i="128"/>
  <c r="BF22" i="128"/>
  <c r="J87" i="128"/>
  <c r="BH22" i="128"/>
  <c r="R87" i="128"/>
  <c r="V87" i="128"/>
  <c r="BD115" i="128"/>
  <c r="BF115" i="128"/>
  <c r="BH115" i="128"/>
  <c r="B159" i="128"/>
  <c r="BD158" i="128"/>
  <c r="J159" i="128"/>
  <c r="BF158" i="128"/>
  <c r="R159" i="128"/>
  <c r="BH158" i="128"/>
  <c r="Z159" i="128"/>
  <c r="BJ158" i="128"/>
  <c r="AH159" i="128"/>
  <c r="BL158" i="128"/>
  <c r="C85" i="128"/>
  <c r="C72" i="128"/>
  <c r="K85" i="128"/>
  <c r="S85" i="128"/>
  <c r="G86" i="128"/>
  <c r="O86" i="128"/>
  <c r="C74" i="128"/>
  <c r="C87" i="128"/>
  <c r="K87" i="128"/>
  <c r="S87" i="128"/>
  <c r="BE37" i="128"/>
  <c r="BG37" i="128"/>
  <c r="BD44" i="128"/>
  <c r="AA159" i="128"/>
  <c r="AI159" i="128"/>
  <c r="D85" i="128"/>
  <c r="D72" i="128"/>
  <c r="L85" i="128"/>
  <c r="T85" i="128"/>
  <c r="H86" i="128"/>
  <c r="P86" i="128"/>
  <c r="D87" i="128"/>
  <c r="D74" i="128"/>
  <c r="L87" i="128"/>
  <c r="T87" i="128"/>
  <c r="BD48" i="128"/>
  <c r="AB159" i="128"/>
  <c r="AJ159" i="128"/>
  <c r="E85" i="128"/>
  <c r="E72" i="128"/>
  <c r="M85" i="128"/>
  <c r="U85" i="128"/>
  <c r="I86" i="128"/>
  <c r="Q86" i="128"/>
  <c r="E87" i="128"/>
  <c r="E74" i="128"/>
  <c r="M87" i="128"/>
  <c r="U87" i="128"/>
  <c r="BD28" i="128"/>
  <c r="BF28" i="128"/>
  <c r="BH28" i="128"/>
  <c r="BE29" i="128"/>
  <c r="BG29" i="128"/>
  <c r="BD31" i="128"/>
  <c r="B46" i="128"/>
  <c r="BD47" i="128"/>
  <c r="B151" i="128"/>
  <c r="BD150" i="128"/>
  <c r="J45" i="128"/>
  <c r="BF150" i="128"/>
  <c r="R151" i="128"/>
  <c r="BH150" i="128"/>
  <c r="AC159" i="128"/>
  <c r="AK159" i="128"/>
  <c r="F15" i="128"/>
  <c r="BE13" i="128"/>
  <c r="N15" i="128"/>
  <c r="BG13" i="128"/>
  <c r="F23" i="128"/>
  <c r="BE20" i="128"/>
  <c r="F85" i="128"/>
  <c r="BG20" i="128"/>
  <c r="N85" i="128"/>
  <c r="BD21" i="128"/>
  <c r="BD73" i="128" s="1"/>
  <c r="B86" i="128"/>
  <c r="B73" i="128"/>
  <c r="BF21" i="128"/>
  <c r="J86" i="128"/>
  <c r="BH21" i="128"/>
  <c r="R86" i="128"/>
  <c r="BE22" i="128"/>
  <c r="F87" i="128"/>
  <c r="BG22" i="128"/>
  <c r="N87" i="128"/>
  <c r="BG31" i="128"/>
  <c r="BF44" i="128"/>
  <c r="BH44" i="128"/>
  <c r="BE47" i="128"/>
  <c r="BG47" i="128"/>
  <c r="V46" i="128"/>
  <c r="BF48" i="128"/>
  <c r="BH48" i="128"/>
  <c r="BE50" i="128"/>
  <c r="BG50" i="128"/>
  <c r="BE115" i="128"/>
  <c r="BG115" i="128"/>
  <c r="F159" i="128"/>
  <c r="BE158" i="128"/>
  <c r="N159" i="128"/>
  <c r="BG158" i="128"/>
  <c r="V159" i="128"/>
  <c r="BI158" i="128"/>
  <c r="AD159" i="128"/>
  <c r="BK158" i="128"/>
  <c r="AL159" i="128"/>
  <c r="BM158" i="128"/>
  <c r="V86" i="128"/>
  <c r="G85" i="128"/>
  <c r="O85" i="128"/>
  <c r="C86" i="128"/>
  <c r="C73" i="128"/>
  <c r="K86" i="128"/>
  <c r="S86" i="128"/>
  <c r="G87" i="128"/>
  <c r="O87" i="128"/>
  <c r="BD37" i="128"/>
  <c r="BF37" i="128"/>
  <c r="BH37" i="128"/>
  <c r="I94" i="128"/>
  <c r="BH8" i="128"/>
  <c r="R95" i="128"/>
  <c r="BD8" i="128"/>
  <c r="B95" i="128"/>
  <c r="BH7" i="128"/>
  <c r="R94" i="128"/>
  <c r="S94" i="128"/>
  <c r="BD7" i="128"/>
  <c r="B69" i="128"/>
  <c r="B94" i="128"/>
  <c r="D69" i="128"/>
  <c r="D94" i="128"/>
  <c r="L94" i="128"/>
  <c r="T94" i="128"/>
  <c r="C69" i="128"/>
  <c r="C94" i="128"/>
  <c r="E69" i="128"/>
  <c r="E94" i="128"/>
  <c r="M94" i="128"/>
  <c r="U94" i="128"/>
  <c r="BE8" i="128"/>
  <c r="F95" i="128"/>
  <c r="BG8" i="128"/>
  <c r="N95" i="128"/>
  <c r="V95" i="128"/>
  <c r="BF8" i="128"/>
  <c r="J95" i="128"/>
  <c r="BE7" i="128"/>
  <c r="F94" i="128"/>
  <c r="V94" i="128"/>
  <c r="Q94" i="128"/>
  <c r="BF7" i="128"/>
  <c r="J94" i="128"/>
  <c r="G94" i="128"/>
  <c r="O94" i="128"/>
  <c r="K94" i="128"/>
  <c r="BG7" i="128"/>
  <c r="N94" i="128"/>
  <c r="H94" i="128"/>
  <c r="P94" i="128"/>
  <c r="J15" i="128"/>
  <c r="D116" i="128"/>
  <c r="D125" i="128" s="1"/>
  <c r="D129" i="128" s="1"/>
  <c r="D131" i="128" s="1"/>
  <c r="L116" i="128"/>
  <c r="L125" i="128" s="1"/>
  <c r="L129" i="128" s="1"/>
  <c r="L132" i="128" s="1"/>
  <c r="L135" i="128" s="1"/>
  <c r="T116" i="128"/>
  <c r="T125" i="128" s="1"/>
  <c r="T129" i="128" s="1"/>
  <c r="T132" i="128" s="1"/>
  <c r="T135" i="128" s="1"/>
  <c r="J46" i="128"/>
  <c r="R46" i="128"/>
  <c r="F46" i="128"/>
  <c r="N46" i="128"/>
  <c r="B15" i="128"/>
  <c r="O46" i="128"/>
  <c r="R15" i="128"/>
  <c r="D46" i="128"/>
  <c r="L46" i="128"/>
  <c r="T46" i="128"/>
  <c r="E46" i="128"/>
  <c r="M46" i="128"/>
  <c r="U46" i="128"/>
  <c r="Q46" i="128"/>
  <c r="E45" i="128"/>
  <c r="E15" i="128"/>
  <c r="M15" i="128"/>
  <c r="U15" i="128"/>
  <c r="U45" i="128"/>
  <c r="L31" i="128"/>
  <c r="D45" i="128"/>
  <c r="M31" i="128"/>
  <c r="J151" i="128"/>
  <c r="H45" i="128"/>
  <c r="V51" i="128"/>
  <c r="BI51" i="128" s="1"/>
  <c r="I45" i="128"/>
  <c r="C15" i="128"/>
  <c r="K15" i="128"/>
  <c r="S15" i="128"/>
  <c r="L45" i="128"/>
  <c r="D15" i="128"/>
  <c r="L15" i="128"/>
  <c r="T15" i="128"/>
  <c r="B45" i="128"/>
  <c r="M45" i="128"/>
  <c r="G46" i="128"/>
  <c r="Q116" i="128"/>
  <c r="Q125" i="128" s="1"/>
  <c r="Q129" i="128" s="1"/>
  <c r="Q131" i="128" s="1"/>
  <c r="P45" i="128"/>
  <c r="P46" i="128"/>
  <c r="K31" i="128"/>
  <c r="Q45" i="128"/>
  <c r="I46" i="128"/>
  <c r="B23" i="128"/>
  <c r="J23" i="128"/>
  <c r="R23" i="128"/>
  <c r="F45" i="128"/>
  <c r="N45" i="128"/>
  <c r="V45" i="128"/>
  <c r="BI45" i="128" s="1"/>
  <c r="G15" i="128"/>
  <c r="O15" i="128"/>
  <c r="O23" i="128"/>
  <c r="C23" i="128"/>
  <c r="K23" i="128"/>
  <c r="S23" i="128"/>
  <c r="G45" i="128"/>
  <c r="O45" i="128"/>
  <c r="C151" i="128"/>
  <c r="C43" i="128" s="1"/>
  <c r="D23" i="128"/>
  <c r="I15" i="128"/>
  <c r="Q15" i="128"/>
  <c r="Q23" i="128"/>
  <c r="E23" i="128"/>
  <c r="C46" i="128"/>
  <c r="K46" i="128"/>
  <c r="S46" i="128"/>
  <c r="R45" i="128"/>
  <c r="K45" i="128"/>
  <c r="S45" i="128"/>
  <c r="M23" i="128"/>
  <c r="T23" i="128"/>
  <c r="U23" i="128"/>
  <c r="L23" i="128"/>
  <c r="I23" i="128"/>
  <c r="H23" i="128"/>
  <c r="G23" i="128"/>
  <c r="N23" i="128"/>
  <c r="V23" i="128"/>
  <c r="I116" i="128"/>
  <c r="I125" i="128" s="1"/>
  <c r="I129" i="128" s="1"/>
  <c r="I131" i="128" s="1"/>
  <c r="G116" i="128"/>
  <c r="G125" i="128" s="1"/>
  <c r="G129" i="128" s="1"/>
  <c r="O116" i="128"/>
  <c r="O125" i="128" s="1"/>
  <c r="O129" i="128" s="1"/>
  <c r="C116" i="128"/>
  <c r="C125" i="128" s="1"/>
  <c r="C129" i="128" s="1"/>
  <c r="K116" i="128"/>
  <c r="K125" i="128" s="1"/>
  <c r="K129" i="128" s="1"/>
  <c r="S116" i="128"/>
  <c r="S125" i="128" s="1"/>
  <c r="S129" i="128" s="1"/>
  <c r="E116" i="128"/>
  <c r="E125" i="128" s="1"/>
  <c r="E129" i="128" s="1"/>
  <c r="M116" i="128"/>
  <c r="M125" i="128" s="1"/>
  <c r="M129" i="128" s="1"/>
  <c r="U116" i="128"/>
  <c r="U125" i="128" s="1"/>
  <c r="U129" i="128" s="1"/>
  <c r="H116" i="128"/>
  <c r="H125" i="128" s="1"/>
  <c r="H129" i="128" s="1"/>
  <c r="P116" i="128"/>
  <c r="P125" i="128" s="1"/>
  <c r="P129" i="128" s="1"/>
  <c r="V49" i="128" l="1"/>
  <c r="V43" i="128"/>
  <c r="BI43" i="128" s="1"/>
  <c r="BH95" i="128"/>
  <c r="BM49" i="128"/>
  <c r="BG95" i="128"/>
  <c r="G75" i="128"/>
  <c r="P75" i="128"/>
  <c r="BE95" i="128"/>
  <c r="BD95" i="128"/>
  <c r="L70" i="128"/>
  <c r="BE72" i="128"/>
  <c r="V75" i="128"/>
  <c r="BG74" i="128"/>
  <c r="H75" i="128"/>
  <c r="S75" i="128"/>
  <c r="BF73" i="128"/>
  <c r="M75" i="128"/>
  <c r="T70" i="128"/>
  <c r="BF95" i="128"/>
  <c r="AB62" i="128"/>
  <c r="BD72" i="130"/>
  <c r="BE74" i="128"/>
  <c r="BG72" i="130"/>
  <c r="BE72" i="130"/>
  <c r="BH72" i="130"/>
  <c r="BF72" i="130"/>
  <c r="Q75" i="128"/>
  <c r="F75" i="128"/>
  <c r="BH73" i="128"/>
  <c r="O75" i="128"/>
  <c r="BI48" i="128"/>
  <c r="N75" i="128"/>
  <c r="R75" i="128"/>
  <c r="I75" i="128"/>
  <c r="K75" i="128"/>
  <c r="U75" i="128"/>
  <c r="BM51" i="128"/>
  <c r="J75" i="128"/>
  <c r="T75" i="128"/>
  <c r="L75" i="128"/>
  <c r="BK51" i="128"/>
  <c r="U70" i="128"/>
  <c r="Q65" i="129"/>
  <c r="Q81" i="130" s="1"/>
  <c r="M70" i="128"/>
  <c r="I65" i="129"/>
  <c r="I81" i="130" s="1"/>
  <c r="P83" i="128"/>
  <c r="S70" i="128"/>
  <c r="O65" i="129"/>
  <c r="O81" i="130" s="1"/>
  <c r="H83" i="128"/>
  <c r="K70" i="128"/>
  <c r="G65" i="129"/>
  <c r="G81" i="130" s="1"/>
  <c r="T65" i="129"/>
  <c r="T81" i="130" s="1"/>
  <c r="L65" i="129"/>
  <c r="L81" i="130" s="1"/>
  <c r="P70" i="128"/>
  <c r="D65" i="129"/>
  <c r="D81" i="130" s="1"/>
  <c r="H70" i="128"/>
  <c r="S65" i="129"/>
  <c r="S81" i="130" s="1"/>
  <c r="K65" i="129"/>
  <c r="K81" i="130" s="1"/>
  <c r="O70" i="128"/>
  <c r="C65" i="129"/>
  <c r="C81" i="130" s="1"/>
  <c r="G70" i="128"/>
  <c r="U65" i="129"/>
  <c r="U81" i="130" s="1"/>
  <c r="M65" i="129"/>
  <c r="M81" i="130" s="1"/>
  <c r="Q70" i="128"/>
  <c r="E65" i="129"/>
  <c r="E81" i="130" s="1"/>
  <c r="I70" i="128"/>
  <c r="R65" i="129"/>
  <c r="R81" i="130" s="1"/>
  <c r="V70" i="128"/>
  <c r="B65" i="129"/>
  <c r="B81" i="130" s="1"/>
  <c r="F70" i="128"/>
  <c r="J65" i="129"/>
  <c r="J81" i="130" s="1"/>
  <c r="N70" i="128"/>
  <c r="R70" i="128"/>
  <c r="N65" i="129"/>
  <c r="N81" i="130" s="1"/>
  <c r="J70" i="128"/>
  <c r="F65" i="129"/>
  <c r="F81" i="130" s="1"/>
  <c r="BE73" i="128"/>
  <c r="BE45" i="128"/>
  <c r="BF31" i="128"/>
  <c r="BD45" i="128"/>
  <c r="F116" i="128"/>
  <c r="BE109" i="128"/>
  <c r="B116" i="128"/>
  <c r="BD109" i="128"/>
  <c r="G88" i="128"/>
  <c r="BD51" i="128"/>
  <c r="Q88" i="128"/>
  <c r="BG46" i="128"/>
  <c r="BG15" i="128"/>
  <c r="N83" i="128"/>
  <c r="R43" i="128"/>
  <c r="BH43" i="128" s="1"/>
  <c r="BH151" i="128"/>
  <c r="BL159" i="128"/>
  <c r="BL49" i="128"/>
  <c r="L88" i="128"/>
  <c r="C70" i="128"/>
  <c r="C83" i="128"/>
  <c r="M88" i="128"/>
  <c r="BD23" i="128"/>
  <c r="B88" i="128"/>
  <c r="B75" i="128"/>
  <c r="Q83" i="128"/>
  <c r="S88" i="128"/>
  <c r="S83" i="128"/>
  <c r="U83" i="128"/>
  <c r="BE46" i="128"/>
  <c r="BG49" i="128"/>
  <c r="BG159" i="128"/>
  <c r="BJ51" i="128"/>
  <c r="BD49" i="128"/>
  <c r="BD159" i="128"/>
  <c r="N43" i="128"/>
  <c r="BG43" i="128" s="1"/>
  <c r="BG151" i="128"/>
  <c r="D70" i="128"/>
  <c r="D83" i="128"/>
  <c r="H88" i="128"/>
  <c r="I88" i="128"/>
  <c r="I83" i="128"/>
  <c r="K88" i="128"/>
  <c r="BG45" i="128"/>
  <c r="BF56" i="128"/>
  <c r="K83" i="128"/>
  <c r="M83" i="128"/>
  <c r="BH46" i="128"/>
  <c r="BM159" i="128"/>
  <c r="BH72" i="128"/>
  <c r="BG72" i="128"/>
  <c r="BE15" i="128"/>
  <c r="F83" i="128"/>
  <c r="BF45" i="128"/>
  <c r="BH74" i="128"/>
  <c r="E83" i="128"/>
  <c r="E70" i="128"/>
  <c r="BF46" i="128"/>
  <c r="BE49" i="128"/>
  <c r="BE159" i="128"/>
  <c r="BJ159" i="128"/>
  <c r="BJ49" i="128"/>
  <c r="BG73" i="128"/>
  <c r="F43" i="128"/>
  <c r="BE43" i="128" s="1"/>
  <c r="BE151" i="128"/>
  <c r="D75" i="128"/>
  <c r="D88" i="128"/>
  <c r="R116" i="128"/>
  <c r="BH109" i="128"/>
  <c r="N116" i="128"/>
  <c r="BG109" i="128"/>
  <c r="U88" i="128"/>
  <c r="O88" i="128"/>
  <c r="BH23" i="128"/>
  <c r="R88" i="128"/>
  <c r="BF51" i="128"/>
  <c r="T83" i="128"/>
  <c r="B43" i="128"/>
  <c r="BD43" i="128" s="1"/>
  <c r="BD151" i="128"/>
  <c r="BF72" i="128"/>
  <c r="C75" i="128"/>
  <c r="C88" i="128"/>
  <c r="J116" i="128"/>
  <c r="BF109" i="128"/>
  <c r="O83" i="128"/>
  <c r="BF23" i="128"/>
  <c r="J88" i="128"/>
  <c r="L83" i="128"/>
  <c r="BH15" i="128"/>
  <c r="R83" i="128"/>
  <c r="BK159" i="128"/>
  <c r="BK49" i="128"/>
  <c r="BH49" i="128"/>
  <c r="BH159" i="128"/>
  <c r="BF74" i="128"/>
  <c r="T88" i="128"/>
  <c r="V88" i="128"/>
  <c r="G83" i="128"/>
  <c r="BE23" i="128"/>
  <c r="F88" i="128"/>
  <c r="BL51" i="128"/>
  <c r="V116" i="128"/>
  <c r="BG23" i="128"/>
  <c r="N88" i="128"/>
  <c r="BH45" i="128"/>
  <c r="E75" i="128"/>
  <c r="E88" i="128"/>
  <c r="BG51" i="128"/>
  <c r="BE51" i="128"/>
  <c r="J43" i="128"/>
  <c r="BF43" i="128" s="1"/>
  <c r="BF151" i="128"/>
  <c r="BH51" i="128"/>
  <c r="BD15" i="128"/>
  <c r="BD70" i="128" s="1"/>
  <c r="B70" i="128"/>
  <c r="B83" i="128"/>
  <c r="BF15" i="128"/>
  <c r="J83" i="128"/>
  <c r="BI49" i="128"/>
  <c r="BI159" i="128"/>
  <c r="BD46" i="128"/>
  <c r="BF49" i="128"/>
  <c r="BF159" i="128"/>
  <c r="BI151" i="128"/>
  <c r="P88" i="128"/>
  <c r="V83" i="128"/>
  <c r="BE94" i="128"/>
  <c r="BH94" i="128"/>
  <c r="BF94" i="128"/>
  <c r="BD69" i="128"/>
  <c r="BD94" i="128"/>
  <c r="BG94" i="128"/>
  <c r="Q132" i="128"/>
  <c r="Q135" i="128" s="1"/>
  <c r="Q138" i="128" s="1"/>
  <c r="D132" i="128"/>
  <c r="D135" i="128" s="1"/>
  <c r="D138" i="128" s="1"/>
  <c r="I132" i="128"/>
  <c r="I135" i="128" s="1"/>
  <c r="I138" i="128" s="1"/>
  <c r="T131" i="128"/>
  <c r="L138" i="128"/>
  <c r="L137" i="128"/>
  <c r="L131" i="128"/>
  <c r="T138" i="128"/>
  <c r="T137" i="128"/>
  <c r="S131" i="128"/>
  <c r="S132" i="128"/>
  <c r="S135" i="128" s="1"/>
  <c r="H131" i="128"/>
  <c r="H132" i="128"/>
  <c r="H135" i="128" s="1"/>
  <c r="C131" i="128"/>
  <c r="C132" i="128"/>
  <c r="C135" i="128" s="1"/>
  <c r="U132" i="128"/>
  <c r="U135" i="128" s="1"/>
  <c r="U131" i="128"/>
  <c r="M132" i="128"/>
  <c r="M135" i="128" s="1"/>
  <c r="M131" i="128"/>
  <c r="O131" i="128"/>
  <c r="O132" i="128"/>
  <c r="O135" i="128" s="1"/>
  <c r="K131" i="128"/>
  <c r="K132" i="128"/>
  <c r="K135" i="128" s="1"/>
  <c r="P131" i="128"/>
  <c r="P132" i="128"/>
  <c r="P135" i="128" s="1"/>
  <c r="E132" i="128"/>
  <c r="E135" i="128" s="1"/>
  <c r="E131" i="128"/>
  <c r="G131" i="128"/>
  <c r="G132" i="128"/>
  <c r="G135" i="128" s="1"/>
  <c r="BH10" i="128"/>
  <c r="BJ10" i="128"/>
  <c r="BL10" i="128"/>
  <c r="BG10" i="128"/>
  <c r="BI10" i="128"/>
  <c r="BK10" i="128"/>
  <c r="BM10" i="128"/>
  <c r="Z62" i="128" l="1"/>
  <c r="BH70" i="128"/>
  <c r="BG75" i="128"/>
  <c r="W73" i="128"/>
  <c r="W70" i="128"/>
  <c r="BF70" i="128"/>
  <c r="W74" i="128"/>
  <c r="BI47" i="128"/>
  <c r="W72" i="128"/>
  <c r="BJ48" i="128"/>
  <c r="W81" i="130"/>
  <c r="W82" i="130"/>
  <c r="V125" i="128"/>
  <c r="BE70" i="128"/>
  <c r="J125" i="128"/>
  <c r="BF116" i="128"/>
  <c r="BG70" i="128"/>
  <c r="B125" i="128"/>
  <c r="BD116" i="128"/>
  <c r="W87" i="128"/>
  <c r="W85" i="128"/>
  <c r="F125" i="128"/>
  <c r="BE116" i="128"/>
  <c r="BF75" i="128"/>
  <c r="N125" i="128"/>
  <c r="BG116" i="128"/>
  <c r="W86" i="128"/>
  <c r="BE75" i="128"/>
  <c r="BD75" i="128"/>
  <c r="BH75" i="128"/>
  <c r="R125" i="128"/>
  <c r="BH116" i="128"/>
  <c r="BI64" i="128"/>
  <c r="W83" i="128"/>
  <c r="Q137" i="128"/>
  <c r="D137" i="128"/>
  <c r="I137" i="128"/>
  <c r="O138" i="128"/>
  <c r="O137" i="128"/>
  <c r="G137" i="128"/>
  <c r="G138" i="128"/>
  <c r="C137" i="128"/>
  <c r="C138" i="128"/>
  <c r="S137" i="128"/>
  <c r="S138" i="128"/>
  <c r="E137" i="128"/>
  <c r="E138" i="128"/>
  <c r="M137" i="128"/>
  <c r="M138" i="128"/>
  <c r="P138" i="128"/>
  <c r="P137" i="128"/>
  <c r="H138" i="128"/>
  <c r="H137" i="128"/>
  <c r="K138" i="128"/>
  <c r="K137" i="128"/>
  <c r="U137" i="128"/>
  <c r="U138" i="128"/>
  <c r="BJ64" i="128" l="1"/>
  <c r="BK48" i="128"/>
  <c r="BI8" i="130"/>
  <c r="BI46" i="128"/>
  <c r="W75" i="128"/>
  <c r="W88" i="128"/>
  <c r="J129" i="128"/>
  <c r="BF125" i="128"/>
  <c r="B129" i="128"/>
  <c r="BD125" i="128"/>
  <c r="N129" i="128"/>
  <c r="BG125" i="128"/>
  <c r="R129" i="128"/>
  <c r="BH125" i="128"/>
  <c r="F129" i="128"/>
  <c r="BE125" i="128"/>
  <c r="V129" i="128"/>
  <c r="BL48" i="128" l="1"/>
  <c r="BH129" i="128"/>
  <c r="BH131" i="128" s="1"/>
  <c r="R131" i="128"/>
  <c r="R132" i="128"/>
  <c r="N132" i="128"/>
  <c r="BG129" i="128"/>
  <c r="BG131" i="128" s="1"/>
  <c r="N131" i="128"/>
  <c r="BK64" i="128"/>
  <c r="V132" i="128"/>
  <c r="V131" i="128"/>
  <c r="F132" i="128"/>
  <c r="BE129" i="128"/>
  <c r="BE131" i="128" s="1"/>
  <c r="F131" i="128"/>
  <c r="BD129" i="128"/>
  <c r="BD131" i="128" s="1"/>
  <c r="B132" i="128"/>
  <c r="B131" i="128"/>
  <c r="BF129" i="128"/>
  <c r="BF131" i="128" s="1"/>
  <c r="J131" i="128"/>
  <c r="J132" i="128"/>
  <c r="BJ47" i="128" l="1"/>
  <c r="F135" i="128"/>
  <c r="BE132" i="128"/>
  <c r="V135" i="128"/>
  <c r="B135" i="128"/>
  <c r="BD132" i="128"/>
  <c r="R135" i="128"/>
  <c r="BH132" i="128"/>
  <c r="J135" i="128"/>
  <c r="BF132" i="128"/>
  <c r="N135" i="128"/>
  <c r="BG132" i="128"/>
  <c r="BM48" i="128" l="1"/>
  <c r="AB26" i="128"/>
  <c r="BH138" i="128"/>
  <c r="BH137" i="128"/>
  <c r="J137" i="128"/>
  <c r="J138" i="128"/>
  <c r="R138" i="128"/>
  <c r="R137" i="128"/>
  <c r="B137" i="128"/>
  <c r="B138" i="128"/>
  <c r="V138" i="128"/>
  <c r="V137" i="128"/>
  <c r="BE138" i="128"/>
  <c r="BE137" i="128"/>
  <c r="N138" i="128"/>
  <c r="N137" i="128"/>
  <c r="BD137" i="128"/>
  <c r="BD138" i="128"/>
  <c r="BG138" i="128"/>
  <c r="BG137" i="128"/>
  <c r="BF137" i="128"/>
  <c r="BF138" i="128"/>
  <c r="F137" i="128"/>
  <c r="F138" i="128"/>
  <c r="AR48" i="128" l="1"/>
  <c r="AS48" i="128" s="1"/>
  <c r="AT48" i="128" s="1"/>
  <c r="BJ8" i="130"/>
  <c r="AD46" i="128"/>
  <c r="BJ46" i="128"/>
  <c r="BN48" i="128" l="1"/>
  <c r="AU48" i="128"/>
  <c r="AE46" i="128"/>
  <c r="AV48" i="128" l="1"/>
  <c r="AW48" i="128" s="1"/>
  <c r="AX48" i="128" s="1"/>
  <c r="BK47" i="128"/>
  <c r="AF46" i="128"/>
  <c r="BO48" i="128" l="1"/>
  <c r="AY48" i="128"/>
  <c r="AZ48" i="128" s="1"/>
  <c r="BA48" i="128" s="1"/>
  <c r="AG46" i="128"/>
  <c r="BP48" i="128" l="1"/>
  <c r="BK8" i="130"/>
  <c r="BK46" i="128"/>
  <c r="AH8" i="130" l="1"/>
  <c r="AI8" i="130" s="1"/>
  <c r="BL47" i="128" l="1"/>
  <c r="BL46" i="128" l="1"/>
  <c r="BL8" i="130" l="1"/>
  <c r="BM46" i="128" l="1"/>
  <c r="BM47" i="128"/>
  <c r="AR47" i="128" l="1"/>
  <c r="BM8" i="130"/>
  <c r="AS47" i="128" l="1"/>
  <c r="AT47" i="128" s="1"/>
  <c r="AR46" i="128"/>
  <c r="AU47" i="128" l="1"/>
  <c r="AT46" i="128"/>
  <c r="BN47" i="128"/>
  <c r="AS46" i="128"/>
  <c r="AS8" i="130" s="1"/>
  <c r="AR8" i="130"/>
  <c r="AT8" i="130" l="1"/>
  <c r="AV47" i="128"/>
  <c r="AU46" i="128"/>
  <c r="BN8" i="130"/>
  <c r="BN46" i="128"/>
  <c r="F8" i="121"/>
  <c r="F7" i="121"/>
  <c r="G8" i="121"/>
  <c r="G7" i="121"/>
  <c r="I8" i="121"/>
  <c r="H8" i="121"/>
  <c r="H7" i="121"/>
  <c r="I7" i="121"/>
  <c r="J8" i="121"/>
  <c r="J7" i="121"/>
  <c r="K8" i="121"/>
  <c r="K7" i="121"/>
  <c r="M8" i="121"/>
  <c r="M7" i="121"/>
  <c r="N8" i="121"/>
  <c r="N7" i="121"/>
  <c r="O8" i="121"/>
  <c r="O7" i="121"/>
  <c r="P8" i="121"/>
  <c r="P7" i="121"/>
  <c r="R8" i="121"/>
  <c r="R7" i="121"/>
  <c r="S8" i="121"/>
  <c r="S7" i="121"/>
  <c r="O10" i="121"/>
  <c r="P10" i="121"/>
  <c r="Q10" i="121" s="1"/>
  <c r="R10" i="121"/>
  <c r="S10" i="121"/>
  <c r="T8" i="121"/>
  <c r="T7" i="121"/>
  <c r="U8" i="121"/>
  <c r="U7" i="121"/>
  <c r="V8" i="121"/>
  <c r="V7" i="121"/>
  <c r="X8" i="121"/>
  <c r="X7" i="121"/>
  <c r="W8" i="121"/>
  <c r="W7" i="121"/>
  <c r="AU8" i="130" l="1"/>
  <c r="AW47" i="128"/>
  <c r="AX47" i="128" s="1"/>
  <c r="AV46" i="128"/>
  <c r="AV8" i="130" s="1"/>
  <c r="Q13" i="121"/>
  <c r="Q12" i="121"/>
  <c r="P12" i="121"/>
  <c r="O12" i="121"/>
  <c r="O13" i="121"/>
  <c r="P13" i="121"/>
  <c r="S13" i="121"/>
  <c r="R13" i="121"/>
  <c r="R12" i="121"/>
  <c r="S12" i="121"/>
  <c r="AY47" i="128" l="1"/>
  <c r="AX46" i="128"/>
  <c r="AW46" i="128"/>
  <c r="BO47" i="128"/>
  <c r="X4" i="121"/>
  <c r="X28" i="121" s="1"/>
  <c r="W4" i="121"/>
  <c r="W28" i="121" s="1"/>
  <c r="V4" i="121"/>
  <c r="V28" i="121" s="1"/>
  <c r="U4" i="121"/>
  <c r="U28" i="121" s="1"/>
  <c r="T4" i="121"/>
  <c r="T28" i="121" s="1"/>
  <c r="S4" i="121"/>
  <c r="S28" i="121" s="1"/>
  <c r="R4" i="121"/>
  <c r="R28" i="121" s="1"/>
  <c r="P4" i="121"/>
  <c r="P28" i="121" s="1"/>
  <c r="O4" i="121"/>
  <c r="O28" i="121" s="1"/>
  <c r="N4" i="121"/>
  <c r="N28" i="121" s="1"/>
  <c r="M4" i="121"/>
  <c r="M28" i="121" s="1"/>
  <c r="K4" i="121"/>
  <c r="K28" i="121" s="1"/>
  <c r="J4" i="121"/>
  <c r="J28" i="121" s="1"/>
  <c r="I4" i="121"/>
  <c r="I28" i="121" s="1"/>
  <c r="H4" i="121"/>
  <c r="H28" i="121" s="1"/>
  <c r="G4" i="121"/>
  <c r="G28" i="121" s="1"/>
  <c r="F4" i="121"/>
  <c r="F28" i="121" s="1"/>
  <c r="E4" i="121"/>
  <c r="E28" i="121" s="1"/>
  <c r="D4" i="121"/>
  <c r="D28" i="121" s="1"/>
  <c r="C4" i="121"/>
  <c r="C28" i="121" s="1"/>
  <c r="B4" i="121"/>
  <c r="B28" i="121" s="1"/>
  <c r="AA4" i="121"/>
  <c r="AA28" i="121" s="1"/>
  <c r="Z4" i="121"/>
  <c r="Z28" i="121" s="1"/>
  <c r="Y4" i="121"/>
  <c r="Y28" i="121" s="1"/>
  <c r="AM28" i="121"/>
  <c r="AL28" i="121"/>
  <c r="AK28" i="121"/>
  <c r="AJ28" i="121"/>
  <c r="AI28" i="121"/>
  <c r="AH28" i="121"/>
  <c r="AG28" i="121"/>
  <c r="AF28" i="121"/>
  <c r="AE28" i="121"/>
  <c r="AD28" i="121"/>
  <c r="AC28" i="121"/>
  <c r="AB28" i="121"/>
  <c r="AJ27" i="121"/>
  <c r="AF27" i="121"/>
  <c r="AB27" i="121"/>
  <c r="X27" i="121"/>
  <c r="T27" i="121"/>
  <c r="O27" i="121"/>
  <c r="J27" i="121"/>
  <c r="F27" i="121"/>
  <c r="B27" i="121"/>
  <c r="AX8" i="130" l="1"/>
  <c r="AZ47" i="128"/>
  <c r="AY46" i="128"/>
  <c r="AY8" i="130" s="1"/>
  <c r="AW8" i="130"/>
  <c r="BO46" i="128"/>
  <c r="G11" i="117"/>
  <c r="BA47" i="128" l="1"/>
  <c r="BA46" i="128" s="1"/>
  <c r="BA8" i="130" s="1"/>
  <c r="AZ46" i="128"/>
  <c r="AZ8" i="130" s="1"/>
  <c r="BO8" i="130"/>
  <c r="W12" i="117"/>
  <c r="V12" i="117"/>
  <c r="U12" i="117"/>
  <c r="BP8" i="130" l="1"/>
  <c r="BP46" i="128"/>
  <c r="BP47" i="128"/>
  <c r="F19" i="117"/>
  <c r="F18" i="117"/>
  <c r="F17" i="117"/>
  <c r="F16" i="117"/>
  <c r="F15" i="117"/>
  <c r="F14" i="117"/>
  <c r="F9" i="117"/>
  <c r="T12" i="117" l="1"/>
  <c r="S12" i="117"/>
  <c r="R12" i="117"/>
  <c r="Q12" i="117"/>
  <c r="P12" i="117"/>
  <c r="O12" i="117"/>
  <c r="N12" i="117"/>
  <c r="M12" i="117"/>
  <c r="L12" i="117"/>
  <c r="Y9" i="117" l="1"/>
  <c r="Y18" i="117"/>
  <c r="Y14" i="117"/>
  <c r="T10" i="121" l="1"/>
  <c r="T12" i="121" s="1"/>
  <c r="J10" i="121"/>
  <c r="T13" i="121" l="1"/>
  <c r="N64" i="129"/>
  <c r="N16" i="128"/>
  <c r="N97" i="128"/>
  <c r="N98" i="128"/>
  <c r="N99" i="128"/>
  <c r="N100" i="128"/>
  <c r="N10" i="121"/>
  <c r="N12" i="121" s="1"/>
  <c r="V10" i="121"/>
  <c r="V13" i="121" s="1"/>
  <c r="X10" i="121"/>
  <c r="X12" i="121" s="1"/>
  <c r="F10" i="121"/>
  <c r="F13" i="121" s="1"/>
  <c r="M10" i="121"/>
  <c r="J12" i="121"/>
  <c r="J13" i="121"/>
  <c r="H10" i="121"/>
  <c r="W10" i="121"/>
  <c r="K10" i="121"/>
  <c r="U10" i="121"/>
  <c r="G10" i="121"/>
  <c r="I10" i="121"/>
  <c r="N58" i="128" l="1"/>
  <c r="L64" i="129"/>
  <c r="F69" i="128"/>
  <c r="B64" i="129"/>
  <c r="F64" i="129"/>
  <c r="J69" i="128"/>
  <c r="J64" i="129"/>
  <c r="N69" i="128"/>
  <c r="N82" i="129"/>
  <c r="N80" i="130"/>
  <c r="N94" i="130" s="1"/>
  <c r="N73" i="129"/>
  <c r="N76" i="129"/>
  <c r="N80" i="129"/>
  <c r="N78" i="129"/>
  <c r="N75" i="129"/>
  <c r="N81" i="129"/>
  <c r="N79" i="129"/>
  <c r="N74" i="129"/>
  <c r="N70" i="129"/>
  <c r="N96" i="128"/>
  <c r="N24" i="128"/>
  <c r="N59" i="128" s="1"/>
  <c r="B16" i="128"/>
  <c r="B58" i="128" s="1"/>
  <c r="B99" i="128"/>
  <c r="B100" i="128"/>
  <c r="B82" i="128"/>
  <c r="B97" i="128"/>
  <c r="B98" i="128"/>
  <c r="L16" i="128"/>
  <c r="L100" i="128"/>
  <c r="L97" i="128"/>
  <c r="L98" i="128"/>
  <c r="L99" i="128"/>
  <c r="F16" i="128"/>
  <c r="F58" i="128" s="1"/>
  <c r="F97" i="128"/>
  <c r="F98" i="128"/>
  <c r="F99" i="128"/>
  <c r="F100" i="128"/>
  <c r="J16" i="128"/>
  <c r="J99" i="128"/>
  <c r="J100" i="128"/>
  <c r="J98" i="128"/>
  <c r="J97" i="128"/>
  <c r="R69" i="128"/>
  <c r="P69" i="128"/>
  <c r="N13" i="121"/>
  <c r="N20" i="121"/>
  <c r="I20" i="121"/>
  <c r="I23" i="121" s="1"/>
  <c r="X13" i="121"/>
  <c r="V12" i="121"/>
  <c r="F12" i="121"/>
  <c r="W20" i="121"/>
  <c r="W23" i="121" s="1"/>
  <c r="S20" i="121"/>
  <c r="S23" i="121" s="1"/>
  <c r="I12" i="121"/>
  <c r="I13" i="121"/>
  <c r="L10" i="121"/>
  <c r="K12" i="121"/>
  <c r="K13" i="121"/>
  <c r="G12" i="121"/>
  <c r="G13" i="121"/>
  <c r="U12" i="121"/>
  <c r="U13" i="121"/>
  <c r="W13" i="121"/>
  <c r="W12" i="121"/>
  <c r="M13" i="121"/>
  <c r="M12" i="121"/>
  <c r="H13" i="121"/>
  <c r="H12" i="121"/>
  <c r="L24" i="128" l="1"/>
  <c r="L59" i="128" s="1"/>
  <c r="L58" i="128"/>
  <c r="N71" i="128"/>
  <c r="J58" i="128"/>
  <c r="N26" i="128"/>
  <c r="N30" i="128"/>
  <c r="N91" i="130" s="1"/>
  <c r="J24" i="128"/>
  <c r="J71" i="128"/>
  <c r="N88" i="130"/>
  <c r="N90" i="130"/>
  <c r="N87" i="130"/>
  <c r="P64" i="129"/>
  <c r="E64" i="129"/>
  <c r="I69" i="128"/>
  <c r="D64" i="129"/>
  <c r="H69" i="128"/>
  <c r="H64" i="129"/>
  <c r="L69" i="128"/>
  <c r="R64" i="129"/>
  <c r="O64" i="129"/>
  <c r="C64" i="129"/>
  <c r="G69" i="128"/>
  <c r="G64" i="129"/>
  <c r="K69" i="128"/>
  <c r="BF9" i="128"/>
  <c r="K64" i="129"/>
  <c r="O69" i="128"/>
  <c r="M64" i="129"/>
  <c r="Q69" i="128"/>
  <c r="Q64" i="129"/>
  <c r="J82" i="128"/>
  <c r="I64" i="129"/>
  <c r="M69" i="128"/>
  <c r="L67" i="129"/>
  <c r="L83" i="130" s="1"/>
  <c r="B24" i="128"/>
  <c r="B59" i="128" s="1"/>
  <c r="F71" i="128"/>
  <c r="N67" i="129"/>
  <c r="N83" i="130" s="1"/>
  <c r="J80" i="130"/>
  <c r="J94" i="130" s="1"/>
  <c r="J81" i="129"/>
  <c r="J76" i="129"/>
  <c r="J80" i="129"/>
  <c r="J79" i="129"/>
  <c r="J75" i="129"/>
  <c r="J74" i="129"/>
  <c r="J78" i="129"/>
  <c r="J70" i="129"/>
  <c r="J82" i="129"/>
  <c r="J73" i="129"/>
  <c r="F80" i="130"/>
  <c r="F94" i="130" s="1"/>
  <c r="F78" i="129"/>
  <c r="F73" i="129"/>
  <c r="F80" i="129"/>
  <c r="F79" i="129"/>
  <c r="F76" i="129"/>
  <c r="F81" i="129"/>
  <c r="F74" i="129"/>
  <c r="F75" i="129"/>
  <c r="F70" i="129"/>
  <c r="F82" i="129"/>
  <c r="B81" i="129"/>
  <c r="B78" i="129"/>
  <c r="B80" i="129"/>
  <c r="B76" i="129"/>
  <c r="B75" i="129"/>
  <c r="B70" i="129"/>
  <c r="B82" i="129"/>
  <c r="B80" i="130"/>
  <c r="B94" i="130" s="1"/>
  <c r="B79" i="129"/>
  <c r="B73" i="129"/>
  <c r="B74" i="129"/>
  <c r="L73" i="129"/>
  <c r="L75" i="129"/>
  <c r="L80" i="129"/>
  <c r="L70" i="129"/>
  <c r="L82" i="129"/>
  <c r="L81" i="129"/>
  <c r="L80" i="130"/>
  <c r="L94" i="130" s="1"/>
  <c r="L79" i="129"/>
  <c r="L74" i="129"/>
  <c r="L76" i="129"/>
  <c r="L78" i="129"/>
  <c r="D16" i="128"/>
  <c r="D58" i="128" s="1"/>
  <c r="D97" i="128"/>
  <c r="D100" i="128"/>
  <c r="D98" i="128"/>
  <c r="D99" i="128"/>
  <c r="D82" i="128"/>
  <c r="C16" i="128"/>
  <c r="C100" i="128"/>
  <c r="C82" i="128"/>
  <c r="C99" i="128"/>
  <c r="C97" i="128"/>
  <c r="C98" i="128"/>
  <c r="L101" i="128"/>
  <c r="BD9" i="128"/>
  <c r="Q16" i="128"/>
  <c r="Q98" i="128"/>
  <c r="Q97" i="128"/>
  <c r="Q99" i="128"/>
  <c r="Q100" i="128"/>
  <c r="Q82" i="128"/>
  <c r="B71" i="128"/>
  <c r="B96" i="128"/>
  <c r="B84" i="128"/>
  <c r="M16" i="128"/>
  <c r="M58" i="128" s="1"/>
  <c r="M97" i="128"/>
  <c r="M98" i="128"/>
  <c r="M99" i="128"/>
  <c r="M100" i="128"/>
  <c r="M82" i="128"/>
  <c r="N82" i="128"/>
  <c r="H16" i="128"/>
  <c r="H58" i="128" s="1"/>
  <c r="H97" i="128"/>
  <c r="H98" i="128"/>
  <c r="H99" i="128"/>
  <c r="H100" i="128"/>
  <c r="H82" i="128"/>
  <c r="L96" i="128"/>
  <c r="N101" i="128"/>
  <c r="P16" i="128"/>
  <c r="P71" i="128" s="1"/>
  <c r="P97" i="128"/>
  <c r="P98" i="128"/>
  <c r="P99" i="128"/>
  <c r="P100" i="128"/>
  <c r="P82" i="128"/>
  <c r="G16" i="128"/>
  <c r="G58" i="128" s="1"/>
  <c r="G97" i="128"/>
  <c r="G98" i="128"/>
  <c r="G99" i="128"/>
  <c r="G100" i="128"/>
  <c r="G82" i="128"/>
  <c r="I16" i="128"/>
  <c r="I58" i="128" s="1"/>
  <c r="I98" i="128"/>
  <c r="I99" i="128"/>
  <c r="I100" i="128"/>
  <c r="I82" i="128"/>
  <c r="I97" i="128"/>
  <c r="BE9" i="128"/>
  <c r="R16" i="128"/>
  <c r="R99" i="128"/>
  <c r="R100" i="128"/>
  <c r="R82" i="128"/>
  <c r="R98" i="128"/>
  <c r="R97" i="128"/>
  <c r="F96" i="128"/>
  <c r="K16" i="128"/>
  <c r="K58" i="128" s="1"/>
  <c r="K100" i="128"/>
  <c r="K82" i="128"/>
  <c r="K99" i="128"/>
  <c r="K97" i="128"/>
  <c r="K98" i="128"/>
  <c r="J96" i="128"/>
  <c r="L82" i="128"/>
  <c r="E16" i="128"/>
  <c r="E58" i="128" s="1"/>
  <c r="E97" i="128"/>
  <c r="E98" i="128"/>
  <c r="E99" i="128"/>
  <c r="E100" i="128"/>
  <c r="E82" i="128"/>
  <c r="O16" i="128"/>
  <c r="O97" i="128"/>
  <c r="O98" i="128"/>
  <c r="O99" i="128"/>
  <c r="O100" i="128"/>
  <c r="O82" i="128"/>
  <c r="BG9" i="128"/>
  <c r="F24" i="128"/>
  <c r="F59" i="128" s="1"/>
  <c r="F82" i="128"/>
  <c r="L30" i="128"/>
  <c r="L91" i="130" s="1"/>
  <c r="S22" i="121"/>
  <c r="I22" i="121"/>
  <c r="N23" i="121"/>
  <c r="N22" i="121"/>
  <c r="W22" i="121"/>
  <c r="L13" i="121"/>
  <c r="L12" i="121"/>
  <c r="L26" i="128" l="1"/>
  <c r="J26" i="128"/>
  <c r="J59" i="128"/>
  <c r="C24" i="128"/>
  <c r="C59" i="128" s="1"/>
  <c r="C58" i="128"/>
  <c r="BG69" i="128"/>
  <c r="BE69" i="128"/>
  <c r="BF69" i="128"/>
  <c r="P58" i="128"/>
  <c r="I71" i="128"/>
  <c r="F84" i="128"/>
  <c r="E24" i="128"/>
  <c r="F26" i="128"/>
  <c r="BE73" i="130"/>
  <c r="BD73" i="130"/>
  <c r="B76" i="128"/>
  <c r="B26" i="128"/>
  <c r="J30" i="128"/>
  <c r="J91" i="130" s="1"/>
  <c r="N32" i="128"/>
  <c r="N33" i="128"/>
  <c r="N61" i="128" s="1"/>
  <c r="J67" i="129"/>
  <c r="J83" i="130" s="1"/>
  <c r="BF73" i="130"/>
  <c r="BG73" i="130"/>
  <c r="J101" i="128"/>
  <c r="N76" i="128"/>
  <c r="B89" i="128"/>
  <c r="B30" i="128"/>
  <c r="B91" i="130" s="1"/>
  <c r="BF100" i="128"/>
  <c r="B101" i="128"/>
  <c r="BF99" i="128"/>
  <c r="BF97" i="128"/>
  <c r="R71" i="128"/>
  <c r="J90" i="130"/>
  <c r="J88" i="130"/>
  <c r="J87" i="130"/>
  <c r="L88" i="130"/>
  <c r="L90" i="130"/>
  <c r="L87" i="130"/>
  <c r="B90" i="130"/>
  <c r="B87" i="130"/>
  <c r="B88" i="130"/>
  <c r="F88" i="130"/>
  <c r="F90" i="130"/>
  <c r="F87" i="130"/>
  <c r="R58" i="128"/>
  <c r="G71" i="128"/>
  <c r="BF98" i="128"/>
  <c r="R24" i="128"/>
  <c r="F30" i="128"/>
  <c r="F91" i="130" s="1"/>
  <c r="F67" i="129"/>
  <c r="F83" i="130" s="1"/>
  <c r="J76" i="128"/>
  <c r="O24" i="128"/>
  <c r="O59" i="128" s="1"/>
  <c r="K24" i="128"/>
  <c r="O71" i="128"/>
  <c r="J84" i="128"/>
  <c r="M71" i="128"/>
  <c r="G24" i="128"/>
  <c r="G59" i="128" s="1"/>
  <c r="K71" i="128"/>
  <c r="P24" i="128"/>
  <c r="H24" i="128"/>
  <c r="L71" i="128"/>
  <c r="Q71" i="128"/>
  <c r="Q24" i="128"/>
  <c r="D24" i="128"/>
  <c r="H71" i="128"/>
  <c r="B67" i="129"/>
  <c r="B83" i="130" s="1"/>
  <c r="F76" i="128"/>
  <c r="I75" i="129"/>
  <c r="I82" i="129"/>
  <c r="I79" i="129"/>
  <c r="I76" i="129"/>
  <c r="I70" i="129"/>
  <c r="I80" i="130"/>
  <c r="I94" i="130" s="1"/>
  <c r="I81" i="129"/>
  <c r="I74" i="129"/>
  <c r="I80" i="129"/>
  <c r="I78" i="129"/>
  <c r="I73" i="129"/>
  <c r="Q80" i="130"/>
  <c r="Q94" i="130" s="1"/>
  <c r="Q76" i="129"/>
  <c r="Q79" i="129"/>
  <c r="Q73" i="129"/>
  <c r="Q81" i="129"/>
  <c r="Q74" i="129"/>
  <c r="Q80" i="129"/>
  <c r="Q78" i="129"/>
  <c r="Q75" i="129"/>
  <c r="Q70" i="129"/>
  <c r="Q82" i="129"/>
  <c r="M80" i="129"/>
  <c r="M74" i="129"/>
  <c r="M76" i="129"/>
  <c r="M70" i="129"/>
  <c r="M81" i="129"/>
  <c r="M78" i="129"/>
  <c r="M79" i="129"/>
  <c r="M82" i="129"/>
  <c r="M80" i="130"/>
  <c r="M94" i="130" s="1"/>
  <c r="M73" i="129"/>
  <c r="M75" i="129"/>
  <c r="K78" i="129"/>
  <c r="K70" i="129"/>
  <c r="K81" i="129"/>
  <c r="K76" i="129"/>
  <c r="K82" i="129"/>
  <c r="K80" i="129"/>
  <c r="K75" i="129"/>
  <c r="K80" i="130"/>
  <c r="K94" i="130" s="1"/>
  <c r="K73" i="129"/>
  <c r="K79" i="129"/>
  <c r="K74" i="129"/>
  <c r="G79" i="129"/>
  <c r="G76" i="129"/>
  <c r="G75" i="129"/>
  <c r="G78" i="129"/>
  <c r="G82" i="129"/>
  <c r="G73" i="129"/>
  <c r="G80" i="130"/>
  <c r="G94" i="130" s="1"/>
  <c r="G80" i="129"/>
  <c r="G81" i="129"/>
  <c r="G74" i="129"/>
  <c r="G70" i="129"/>
  <c r="C81" i="129"/>
  <c r="C74" i="129"/>
  <c r="C82" i="129"/>
  <c r="C80" i="129"/>
  <c r="C78" i="129"/>
  <c r="C73" i="129"/>
  <c r="C76" i="129"/>
  <c r="C80" i="130"/>
  <c r="C94" i="130" s="1"/>
  <c r="C70" i="129"/>
  <c r="C75" i="129"/>
  <c r="C79" i="129"/>
  <c r="O75" i="129"/>
  <c r="O76" i="129"/>
  <c r="O74" i="129"/>
  <c r="O70" i="129"/>
  <c r="O79" i="129"/>
  <c r="O78" i="129"/>
  <c r="O73" i="129"/>
  <c r="O82" i="129"/>
  <c r="O80" i="130"/>
  <c r="O94" i="130" s="1"/>
  <c r="O80" i="129"/>
  <c r="O81" i="129"/>
  <c r="R73" i="129"/>
  <c r="R82" i="129"/>
  <c r="R80" i="130"/>
  <c r="R94" i="130" s="1"/>
  <c r="R76" i="129"/>
  <c r="R81" i="129"/>
  <c r="R79" i="129"/>
  <c r="R75" i="129"/>
  <c r="R80" i="129"/>
  <c r="R74" i="129"/>
  <c r="R78" i="129"/>
  <c r="R70" i="129"/>
  <c r="H78" i="129"/>
  <c r="H76" i="129"/>
  <c r="H73" i="129"/>
  <c r="H79" i="129"/>
  <c r="H74" i="129"/>
  <c r="H75" i="129"/>
  <c r="H82" i="129"/>
  <c r="H80" i="130"/>
  <c r="H94" i="130" s="1"/>
  <c r="H80" i="129"/>
  <c r="H81" i="129"/>
  <c r="H70" i="129"/>
  <c r="D80" i="130"/>
  <c r="D94" i="130" s="1"/>
  <c r="D80" i="129"/>
  <c r="D76" i="129"/>
  <c r="D81" i="129"/>
  <c r="D79" i="129"/>
  <c r="D74" i="129"/>
  <c r="D78" i="129"/>
  <c r="D75" i="129"/>
  <c r="D70" i="129"/>
  <c r="D82" i="129"/>
  <c r="D73" i="129"/>
  <c r="E70" i="129"/>
  <c r="E82" i="129"/>
  <c r="E80" i="130"/>
  <c r="E94" i="130" s="1"/>
  <c r="E80" i="129"/>
  <c r="E81" i="129"/>
  <c r="E74" i="129"/>
  <c r="E76" i="129"/>
  <c r="E78" i="129"/>
  <c r="E75" i="129"/>
  <c r="E73" i="129"/>
  <c r="E79" i="129"/>
  <c r="P76" i="129"/>
  <c r="P73" i="129"/>
  <c r="P80" i="129"/>
  <c r="P81" i="129"/>
  <c r="P78" i="129"/>
  <c r="P75" i="129"/>
  <c r="P79" i="129"/>
  <c r="P82" i="129"/>
  <c r="P74" i="129"/>
  <c r="P80" i="130"/>
  <c r="P94" i="130" s="1"/>
  <c r="P70" i="129"/>
  <c r="M24" i="128"/>
  <c r="BD16" i="128"/>
  <c r="BD96" i="128" s="1"/>
  <c r="O58" i="128"/>
  <c r="BF16" i="128"/>
  <c r="BF96" i="128" s="1"/>
  <c r="I24" i="128"/>
  <c r="I59" i="128" s="1"/>
  <c r="L84" i="128"/>
  <c r="Q58" i="128"/>
  <c r="E96" i="128"/>
  <c r="E84" i="128"/>
  <c r="E71" i="128"/>
  <c r="P84" i="128"/>
  <c r="P96" i="128"/>
  <c r="M96" i="128"/>
  <c r="M84" i="128"/>
  <c r="N84" i="128"/>
  <c r="BE16" i="128"/>
  <c r="H84" i="128"/>
  <c r="H96" i="128"/>
  <c r="F101" i="128"/>
  <c r="O96" i="128"/>
  <c r="O84" i="128"/>
  <c r="BG16" i="128"/>
  <c r="G96" i="128"/>
  <c r="G84" i="128"/>
  <c r="Q84" i="128"/>
  <c r="Q96" i="128"/>
  <c r="D96" i="128"/>
  <c r="D84" i="128"/>
  <c r="D71" i="128"/>
  <c r="C76" i="128"/>
  <c r="C101" i="128"/>
  <c r="C89" i="128"/>
  <c r="BG98" i="128"/>
  <c r="BG99" i="128"/>
  <c r="BG100" i="128"/>
  <c r="BG97" i="128"/>
  <c r="R96" i="128"/>
  <c r="R84" i="128"/>
  <c r="I84" i="128"/>
  <c r="I96" i="128"/>
  <c r="BD98" i="128"/>
  <c r="BD100" i="128"/>
  <c r="BD97" i="128"/>
  <c r="BD99" i="128"/>
  <c r="K96" i="128"/>
  <c r="K84" i="128"/>
  <c r="BE99" i="128"/>
  <c r="BE97" i="128"/>
  <c r="BE98" i="128"/>
  <c r="BE100" i="128"/>
  <c r="C71" i="128"/>
  <c r="C96" i="128"/>
  <c r="C84" i="128"/>
  <c r="L33" i="128"/>
  <c r="L61" i="128" s="1"/>
  <c r="L32" i="128"/>
  <c r="C30" i="128"/>
  <c r="C91" i="130" s="1"/>
  <c r="C67" i="129" l="1"/>
  <c r="C83" i="130" s="1"/>
  <c r="C26" i="128"/>
  <c r="M26" i="128"/>
  <c r="M59" i="128"/>
  <c r="H101" i="128"/>
  <c r="H59" i="128"/>
  <c r="K26" i="128"/>
  <c r="K59" i="128"/>
  <c r="E59" i="128"/>
  <c r="D76" i="128"/>
  <c r="D59" i="128"/>
  <c r="Q26" i="128"/>
  <c r="Q59" i="128"/>
  <c r="P26" i="128"/>
  <c r="P59" i="128"/>
  <c r="R26" i="128"/>
  <c r="R59" i="128"/>
  <c r="BD58" i="128"/>
  <c r="N35" i="128"/>
  <c r="BD71" i="128"/>
  <c r="H30" i="128"/>
  <c r="H91" i="130" s="1"/>
  <c r="E26" i="128"/>
  <c r="N102" i="128"/>
  <c r="F89" i="128"/>
  <c r="E101" i="128"/>
  <c r="E30" i="128"/>
  <c r="E91" i="130" s="1"/>
  <c r="E76" i="128"/>
  <c r="E67" i="129"/>
  <c r="E83" i="130" s="1"/>
  <c r="K30" i="128"/>
  <c r="K91" i="130" s="1"/>
  <c r="L89" i="128"/>
  <c r="K101" i="128"/>
  <c r="B33" i="128"/>
  <c r="F33" i="128"/>
  <c r="G89" i="128"/>
  <c r="H89" i="128"/>
  <c r="J32" i="128"/>
  <c r="J33" i="128"/>
  <c r="D30" i="128"/>
  <c r="D91" i="130" s="1"/>
  <c r="BD24" i="128"/>
  <c r="BD76" i="128" s="1"/>
  <c r="G101" i="128"/>
  <c r="G30" i="128"/>
  <c r="G91" i="130" s="1"/>
  <c r="D89" i="128"/>
  <c r="BE58" i="128"/>
  <c r="E89" i="128"/>
  <c r="D101" i="128"/>
  <c r="F32" i="128"/>
  <c r="I76" i="128"/>
  <c r="I26" i="128"/>
  <c r="D26" i="128"/>
  <c r="H26" i="128"/>
  <c r="G76" i="128"/>
  <c r="G26" i="128"/>
  <c r="BF58" i="128"/>
  <c r="N68" i="129"/>
  <c r="N84" i="130" s="1"/>
  <c r="O26" i="128"/>
  <c r="R76" i="128"/>
  <c r="P76" i="128"/>
  <c r="R30" i="128"/>
  <c r="R91" i="130" s="1"/>
  <c r="M101" i="128"/>
  <c r="M89" i="128"/>
  <c r="O30" i="128"/>
  <c r="O91" i="130" s="1"/>
  <c r="BF24" i="128"/>
  <c r="BF101" i="128" s="1"/>
  <c r="R89" i="128"/>
  <c r="R101" i="128"/>
  <c r="R67" i="129"/>
  <c r="R83" i="130" s="1"/>
  <c r="O89" i="128"/>
  <c r="P30" i="128"/>
  <c r="P91" i="130" s="1"/>
  <c r="O101" i="128"/>
  <c r="K89" i="128"/>
  <c r="Q89" i="128"/>
  <c r="BG24" i="128"/>
  <c r="BG101" i="128" s="1"/>
  <c r="Q101" i="128"/>
  <c r="M30" i="128"/>
  <c r="M91" i="130" s="1"/>
  <c r="Q30" i="128"/>
  <c r="Q91" i="130" s="1"/>
  <c r="BF71" i="128"/>
  <c r="B32" i="128"/>
  <c r="P89" i="128"/>
  <c r="I30" i="128"/>
  <c r="I91" i="130" s="1"/>
  <c r="P101" i="128"/>
  <c r="C88" i="130"/>
  <c r="C90" i="130"/>
  <c r="C87" i="130"/>
  <c r="M88" i="130"/>
  <c r="M90" i="130"/>
  <c r="M87" i="130"/>
  <c r="I90" i="130"/>
  <c r="I87" i="130"/>
  <c r="I88" i="130"/>
  <c r="D88" i="130"/>
  <c r="D87" i="130"/>
  <c r="D90" i="130"/>
  <c r="Q87" i="130"/>
  <c r="Q90" i="130"/>
  <c r="Q88" i="130"/>
  <c r="P90" i="130"/>
  <c r="P88" i="130"/>
  <c r="P87" i="130"/>
  <c r="O88" i="130"/>
  <c r="O87" i="130"/>
  <c r="O90" i="130"/>
  <c r="G88" i="130"/>
  <c r="G90" i="130"/>
  <c r="G87" i="130"/>
  <c r="E88" i="130"/>
  <c r="E90" i="130"/>
  <c r="E87" i="130"/>
  <c r="K88" i="130"/>
  <c r="K87" i="130"/>
  <c r="K90" i="130"/>
  <c r="H87" i="130"/>
  <c r="H88" i="130"/>
  <c r="H90" i="130"/>
  <c r="R90" i="130"/>
  <c r="R87" i="130"/>
  <c r="R88" i="130"/>
  <c r="L68" i="129"/>
  <c r="L84" i="130" s="1"/>
  <c r="BE24" i="128"/>
  <c r="BE101" i="128" s="1"/>
  <c r="I67" i="129"/>
  <c r="I83" i="130" s="1"/>
  <c r="M76" i="128"/>
  <c r="N89" i="128"/>
  <c r="M67" i="129"/>
  <c r="M83" i="130" s="1"/>
  <c r="Q76" i="128"/>
  <c r="D67" i="129"/>
  <c r="D83" i="130" s="1"/>
  <c r="H76" i="128"/>
  <c r="Q67" i="129"/>
  <c r="Q83" i="130" s="1"/>
  <c r="H67" i="129"/>
  <c r="H83" i="130" s="1"/>
  <c r="L76" i="128"/>
  <c r="P67" i="129"/>
  <c r="P83" i="130" s="1"/>
  <c r="G67" i="129"/>
  <c r="G83" i="130" s="1"/>
  <c r="K76" i="128"/>
  <c r="K67" i="129"/>
  <c r="K83" i="130" s="1"/>
  <c r="O76" i="128"/>
  <c r="O67" i="129"/>
  <c r="O83" i="130" s="1"/>
  <c r="BG58" i="128"/>
  <c r="BG96" i="128"/>
  <c r="BG71" i="128"/>
  <c r="N62" i="128"/>
  <c r="I101" i="128"/>
  <c r="I89" i="128"/>
  <c r="J89" i="128"/>
  <c r="BE71" i="128"/>
  <c r="BE96" i="128"/>
  <c r="L102" i="128"/>
  <c r="C32" i="128"/>
  <c r="C33" i="128"/>
  <c r="C61" i="128" s="1"/>
  <c r="L35" i="128"/>
  <c r="L62" i="128"/>
  <c r="BF26" i="128" l="1"/>
  <c r="BG26" i="128"/>
  <c r="F68" i="129"/>
  <c r="F84" i="130" s="1"/>
  <c r="F61" i="128"/>
  <c r="F62" i="128" s="1"/>
  <c r="J102" i="128"/>
  <c r="J61" i="128"/>
  <c r="J62" i="128" s="1"/>
  <c r="B68" i="129"/>
  <c r="B84" i="130" s="1"/>
  <c r="B61" i="128"/>
  <c r="B62" i="128" s="1"/>
  <c r="B77" i="128"/>
  <c r="BE59" i="128"/>
  <c r="B35" i="128"/>
  <c r="B102" i="128"/>
  <c r="BD101" i="128"/>
  <c r="BD26" i="128"/>
  <c r="H32" i="128"/>
  <c r="H33" i="128"/>
  <c r="K32" i="128"/>
  <c r="B90" i="128"/>
  <c r="F77" i="128"/>
  <c r="BD59" i="128"/>
  <c r="F102" i="128"/>
  <c r="F35" i="128"/>
  <c r="K33" i="128"/>
  <c r="G33" i="128"/>
  <c r="BE30" i="128"/>
  <c r="BE32" i="128" s="1"/>
  <c r="G32" i="128"/>
  <c r="E33" i="128"/>
  <c r="E32" i="128"/>
  <c r="BF59" i="128"/>
  <c r="N77" i="128"/>
  <c r="J68" i="129"/>
  <c r="J84" i="130" s="1"/>
  <c r="J35" i="128"/>
  <c r="J77" i="128"/>
  <c r="D32" i="128"/>
  <c r="BD30" i="128"/>
  <c r="BD32" i="128" s="1"/>
  <c r="D33" i="128"/>
  <c r="D61" i="128" s="1"/>
  <c r="BF30" i="128"/>
  <c r="BF32" i="128" s="1"/>
  <c r="BE26" i="128"/>
  <c r="Q32" i="128"/>
  <c r="R33" i="128"/>
  <c r="O32" i="128"/>
  <c r="P32" i="128"/>
  <c r="O33" i="128"/>
  <c r="O61" i="128" s="1"/>
  <c r="BG76" i="128"/>
  <c r="BG59" i="128"/>
  <c r="P33" i="128"/>
  <c r="Q33" i="128"/>
  <c r="BG30" i="128"/>
  <c r="BG32" i="128" s="1"/>
  <c r="R32" i="128"/>
  <c r="M32" i="128"/>
  <c r="M33" i="128"/>
  <c r="BE76" i="128"/>
  <c r="BF76" i="128"/>
  <c r="I33" i="128"/>
  <c r="I32" i="128"/>
  <c r="C68" i="129"/>
  <c r="C84" i="130" s="1"/>
  <c r="C102" i="128"/>
  <c r="C90" i="128"/>
  <c r="C77" i="128"/>
  <c r="C35" i="128"/>
  <c r="C62" i="128"/>
  <c r="H102" i="128" l="1"/>
  <c r="H61" i="128"/>
  <c r="H62" i="128" s="1"/>
  <c r="I61" i="128"/>
  <c r="I62" i="128" s="1"/>
  <c r="N90" i="128"/>
  <c r="M61" i="128"/>
  <c r="M62" i="128" s="1"/>
  <c r="G68" i="129"/>
  <c r="G84" i="130" s="1"/>
  <c r="G61" i="128"/>
  <c r="G62" i="128" s="1"/>
  <c r="L90" i="128"/>
  <c r="K61" i="128"/>
  <c r="K62" i="128" s="1"/>
  <c r="E77" i="128"/>
  <c r="E61" i="128"/>
  <c r="E62" i="128" s="1"/>
  <c r="D102" i="128"/>
  <c r="D62" i="128"/>
  <c r="P77" i="128"/>
  <c r="P61" i="128"/>
  <c r="P62" i="128" s="1"/>
  <c r="Q68" i="129"/>
  <c r="Q84" i="130" s="1"/>
  <c r="Q61" i="128"/>
  <c r="Q62" i="128" s="1"/>
  <c r="R77" i="128"/>
  <c r="R61" i="128"/>
  <c r="N78" i="128"/>
  <c r="B78" i="128"/>
  <c r="B91" i="128"/>
  <c r="H35" i="128"/>
  <c r="L77" i="128"/>
  <c r="H68" i="129"/>
  <c r="H84" i="130" s="1"/>
  <c r="F78" i="128"/>
  <c r="D35" i="128"/>
  <c r="H90" i="128"/>
  <c r="G35" i="128"/>
  <c r="G102" i="128"/>
  <c r="G90" i="128"/>
  <c r="K77" i="128"/>
  <c r="G77" i="128"/>
  <c r="E90" i="128"/>
  <c r="K90" i="128"/>
  <c r="K68" i="129"/>
  <c r="K84" i="130" s="1"/>
  <c r="O77" i="128"/>
  <c r="K102" i="128"/>
  <c r="K35" i="128"/>
  <c r="I102" i="128"/>
  <c r="E68" i="129"/>
  <c r="E84" i="130" s="1"/>
  <c r="E35" i="128"/>
  <c r="E102" i="128"/>
  <c r="F90" i="128"/>
  <c r="I77" i="128"/>
  <c r="I35" i="128"/>
  <c r="J78" i="128"/>
  <c r="BD33" i="128"/>
  <c r="J90" i="128"/>
  <c r="BE33" i="128"/>
  <c r="BE35" i="128" s="1"/>
  <c r="D77" i="128"/>
  <c r="D68" i="129"/>
  <c r="D84" i="130" s="1"/>
  <c r="D90" i="128"/>
  <c r="H77" i="128"/>
  <c r="I90" i="128"/>
  <c r="R35" i="128"/>
  <c r="R102" i="128"/>
  <c r="R68" i="129"/>
  <c r="R84" i="130" s="1"/>
  <c r="O90" i="128"/>
  <c r="I68" i="129"/>
  <c r="I84" i="130" s="1"/>
  <c r="O102" i="128"/>
  <c r="O35" i="128"/>
  <c r="Q102" i="128"/>
  <c r="O68" i="129"/>
  <c r="O84" i="130" s="1"/>
  <c r="R90" i="128"/>
  <c r="Q90" i="128"/>
  <c r="P90" i="128"/>
  <c r="P102" i="128"/>
  <c r="BG33" i="128"/>
  <c r="Q35" i="128"/>
  <c r="P35" i="128"/>
  <c r="P68" i="129"/>
  <c r="P84" i="130" s="1"/>
  <c r="M35" i="128"/>
  <c r="BF33" i="128"/>
  <c r="Q77" i="128"/>
  <c r="M68" i="129"/>
  <c r="M84" i="130" s="1"/>
  <c r="M102" i="128"/>
  <c r="M90" i="128"/>
  <c r="M77" i="128"/>
  <c r="C91" i="128"/>
  <c r="C78" i="128"/>
  <c r="L78" i="128" l="1"/>
  <c r="D78" i="128"/>
  <c r="O62" i="128"/>
  <c r="R62" i="128"/>
  <c r="J91" i="128"/>
  <c r="E78" i="128"/>
  <c r="H78" i="128"/>
  <c r="G91" i="128"/>
  <c r="D91" i="128"/>
  <c r="H91" i="128"/>
  <c r="G78" i="128"/>
  <c r="BD61" i="128"/>
  <c r="BD62" i="128" s="1"/>
  <c r="I78" i="128"/>
  <c r="I91" i="128"/>
  <c r="F91" i="128"/>
  <c r="BE61" i="128"/>
  <c r="BE62" i="128" s="1"/>
  <c r="K78" i="128"/>
  <c r="L91" i="128"/>
  <c r="K91" i="128"/>
  <c r="BE102" i="128"/>
  <c r="BD102" i="128"/>
  <c r="BD35" i="128"/>
  <c r="BD38" i="128" s="1"/>
  <c r="E91" i="128"/>
  <c r="BF77" i="128"/>
  <c r="BF35" i="128"/>
  <c r="BG102" i="128"/>
  <c r="BG35" i="128"/>
  <c r="BE77" i="128"/>
  <c r="R78" i="128"/>
  <c r="BD77" i="128"/>
  <c r="O91" i="128"/>
  <c r="O78" i="128"/>
  <c r="M78" i="128"/>
  <c r="N91" i="128"/>
  <c r="M91" i="128"/>
  <c r="P91" i="128"/>
  <c r="P78" i="128"/>
  <c r="R91" i="128"/>
  <c r="Q78" i="128"/>
  <c r="BG61" i="128"/>
  <c r="BG62" i="128" s="1"/>
  <c r="Q91" i="128"/>
  <c r="BF61" i="128"/>
  <c r="BF62" i="128" s="1"/>
  <c r="BG77" i="128"/>
  <c r="BF102" i="128"/>
  <c r="BD78" i="128" l="1"/>
  <c r="BE38" i="128"/>
  <c r="BE78" i="128"/>
  <c r="BG38" i="128"/>
  <c r="BF38" i="128"/>
  <c r="BF78" i="128"/>
  <c r="BG78" i="128"/>
  <c r="V69" i="128" l="1"/>
  <c r="V64" i="129" l="1"/>
  <c r="V16" i="128"/>
  <c r="V98" i="128"/>
  <c r="V99" i="128"/>
  <c r="V97" i="128"/>
  <c r="V100" i="128"/>
  <c r="T69" i="128"/>
  <c r="S69" i="128"/>
  <c r="V24" i="128" l="1"/>
  <c r="V58" i="128"/>
  <c r="V71" i="128"/>
  <c r="S64" i="129"/>
  <c r="T64" i="129"/>
  <c r="V74" i="129"/>
  <c r="V70" i="129"/>
  <c r="V78" i="129"/>
  <c r="V73" i="129"/>
  <c r="V82" i="129"/>
  <c r="V76" i="129"/>
  <c r="V80" i="130"/>
  <c r="V94" i="130" s="1"/>
  <c r="V75" i="129"/>
  <c r="V81" i="129"/>
  <c r="V80" i="129"/>
  <c r="V79" i="129"/>
  <c r="S16" i="128"/>
  <c r="S100" i="128"/>
  <c r="S82" i="128"/>
  <c r="S97" i="128"/>
  <c r="S98" i="128"/>
  <c r="S99" i="128"/>
  <c r="T16" i="128"/>
  <c r="T100" i="128"/>
  <c r="T97" i="128"/>
  <c r="T98" i="128"/>
  <c r="T99" i="128"/>
  <c r="T82" i="128"/>
  <c r="V96" i="128"/>
  <c r="U69" i="128"/>
  <c r="V26" i="128" l="1"/>
  <c r="V59" i="128"/>
  <c r="V67" i="129"/>
  <c r="V83" i="130" s="1"/>
  <c r="V30" i="128"/>
  <c r="V91" i="130" s="1"/>
  <c r="V101" i="128"/>
  <c r="V76" i="128"/>
  <c r="T71" i="128"/>
  <c r="S24" i="128"/>
  <c r="V88" i="130"/>
  <c r="V90" i="130"/>
  <c r="V87" i="130"/>
  <c r="S71" i="128"/>
  <c r="S58" i="128"/>
  <c r="BH9" i="128"/>
  <c r="BH69" i="128" s="1"/>
  <c r="U64" i="129"/>
  <c r="T24" i="128"/>
  <c r="T59" i="128" s="1"/>
  <c r="T79" i="129"/>
  <c r="T76" i="129"/>
  <c r="T82" i="129"/>
  <c r="T74" i="129"/>
  <c r="T80" i="130"/>
  <c r="T94" i="130" s="1"/>
  <c r="T78" i="129"/>
  <c r="T75" i="129"/>
  <c r="T80" i="129"/>
  <c r="T70" i="129"/>
  <c r="T81" i="129"/>
  <c r="T73" i="129"/>
  <c r="S75" i="129"/>
  <c r="S76" i="129"/>
  <c r="S73" i="129"/>
  <c r="S81" i="129"/>
  <c r="S82" i="129"/>
  <c r="S80" i="129"/>
  <c r="S79" i="129"/>
  <c r="S80" i="130"/>
  <c r="S94" i="130" s="1"/>
  <c r="S74" i="129"/>
  <c r="S70" i="129"/>
  <c r="S78" i="129"/>
  <c r="T96" i="128"/>
  <c r="T84" i="128"/>
  <c r="U16" i="128"/>
  <c r="U97" i="128"/>
  <c r="U98" i="128"/>
  <c r="U99" i="128"/>
  <c r="U100" i="128"/>
  <c r="U82" i="128"/>
  <c r="V82" i="128"/>
  <c r="T58" i="128"/>
  <c r="S96" i="128"/>
  <c r="S84" i="128"/>
  <c r="S59" i="128" l="1"/>
  <c r="V33" i="128"/>
  <c r="V32" i="128"/>
  <c r="U71" i="128"/>
  <c r="T26" i="128"/>
  <c r="S76" i="128"/>
  <c r="S101" i="128"/>
  <c r="S89" i="128"/>
  <c r="S67" i="129"/>
  <c r="S83" i="130" s="1"/>
  <c r="S30" i="128"/>
  <c r="S26" i="128"/>
  <c r="T76" i="128"/>
  <c r="T30" i="128"/>
  <c r="BH73" i="130"/>
  <c r="BH99" i="128"/>
  <c r="BH98" i="128"/>
  <c r="BH100" i="128"/>
  <c r="T88" i="130"/>
  <c r="T87" i="130"/>
  <c r="T90" i="130"/>
  <c r="S90" i="130"/>
  <c r="S87" i="130"/>
  <c r="S88" i="130"/>
  <c r="T89" i="128"/>
  <c r="T101" i="128"/>
  <c r="BH97" i="128"/>
  <c r="U24" i="128"/>
  <c r="U59" i="128" s="1"/>
  <c r="T67" i="129"/>
  <c r="T83" i="130" s="1"/>
  <c r="U75" i="129"/>
  <c r="U73" i="129"/>
  <c r="U74" i="129"/>
  <c r="U80" i="129"/>
  <c r="U78" i="129"/>
  <c r="U70" i="129"/>
  <c r="U82" i="129"/>
  <c r="U81" i="129"/>
  <c r="U79" i="129"/>
  <c r="U80" i="130"/>
  <c r="U94" i="130" s="1"/>
  <c r="U76" i="129"/>
  <c r="U96" i="128"/>
  <c r="U84" i="128"/>
  <c r="V84" i="128"/>
  <c r="BH16" i="128"/>
  <c r="U58" i="128"/>
  <c r="BH58" i="128" s="1"/>
  <c r="V102" i="128" l="1"/>
  <c r="V61" i="128"/>
  <c r="V77" i="128"/>
  <c r="V68" i="129"/>
  <c r="V84" i="130" s="1"/>
  <c r="V35" i="128"/>
  <c r="U26" i="128"/>
  <c r="BH26" i="128" s="1"/>
  <c r="T91" i="130"/>
  <c r="S91" i="130"/>
  <c r="T32" i="128"/>
  <c r="T33" i="128"/>
  <c r="S33" i="128"/>
  <c r="S61" i="128" s="1"/>
  <c r="S32" i="128"/>
  <c r="U76" i="128"/>
  <c r="BH24" i="128"/>
  <c r="V89" i="128"/>
  <c r="U89" i="128"/>
  <c r="BH59" i="128"/>
  <c r="U30" i="128"/>
  <c r="U101" i="128"/>
  <c r="U88" i="130"/>
  <c r="U87" i="130"/>
  <c r="U90" i="130"/>
  <c r="U67" i="129"/>
  <c r="U83" i="130" s="1"/>
  <c r="BH71" i="128"/>
  <c r="BH96" i="128"/>
  <c r="T102" i="128" l="1"/>
  <c r="T61" i="128"/>
  <c r="T62" i="128" s="1"/>
  <c r="V62" i="128"/>
  <c r="V78" i="128"/>
  <c r="U33" i="128"/>
  <c r="T77" i="128"/>
  <c r="S35" i="128"/>
  <c r="S68" i="129"/>
  <c r="S84" i="130" s="1"/>
  <c r="S90" i="128"/>
  <c r="S102" i="128"/>
  <c r="S77" i="128"/>
  <c r="T35" i="128"/>
  <c r="T68" i="129"/>
  <c r="T84" i="130" s="1"/>
  <c r="T90" i="128"/>
  <c r="U32" i="128"/>
  <c r="BH76" i="128"/>
  <c r="BH101" i="128"/>
  <c r="U91" i="130"/>
  <c r="BH30" i="128"/>
  <c r="BH32" i="128" s="1"/>
  <c r="U68" i="129" l="1"/>
  <c r="U84" i="130" s="1"/>
  <c r="U61" i="128"/>
  <c r="U62" i="128" s="1"/>
  <c r="S78" i="128"/>
  <c r="S62" i="128"/>
  <c r="BH33" i="128"/>
  <c r="BH102" i="128" s="1"/>
  <c r="U102" i="128"/>
  <c r="V90" i="128"/>
  <c r="U35" i="128"/>
  <c r="U90" i="128"/>
  <c r="S91" i="128"/>
  <c r="U77" i="128"/>
  <c r="T91" i="128"/>
  <c r="T78" i="128"/>
  <c r="BH77" i="128" l="1"/>
  <c r="BH35" i="128"/>
  <c r="BI38" i="128" s="1"/>
  <c r="BH61" i="128"/>
  <c r="BH62" i="128" s="1"/>
  <c r="V91" i="128"/>
  <c r="U91" i="128"/>
  <c r="U78" i="128"/>
  <c r="BH78" i="128" l="1"/>
  <c r="BH38" i="128"/>
  <c r="O22" i="117"/>
  <c r="S21" i="117"/>
  <c r="W21" i="117"/>
  <c r="W22" i="117"/>
  <c r="V22" i="117"/>
  <c r="V21" i="117"/>
  <c r="U22" i="117"/>
  <c r="U21" i="117"/>
  <c r="P22" i="117"/>
  <c r="Q21" i="117"/>
  <c r="R22" i="117"/>
  <c r="S22" i="117"/>
  <c r="T22" i="117"/>
  <c r="Q22" i="117"/>
  <c r="P21" i="117"/>
  <c r="T21" i="117"/>
  <c r="R21" i="117"/>
  <c r="O21" i="117"/>
  <c r="L22" i="117" l="1"/>
  <c r="L21" i="117"/>
  <c r="Y16" i="117" l="1"/>
  <c r="Y15" i="117"/>
  <c r="Y17" i="117"/>
  <c r="M22" i="117"/>
  <c r="M21" i="117"/>
  <c r="Y19" i="117"/>
  <c r="N21" i="117"/>
  <c r="N22" i="117" l="1"/>
  <c r="Y22" i="117"/>
  <c r="Y21" i="117"/>
  <c r="X21" i="117"/>
  <c r="X22" i="117"/>
  <c r="Z69" i="128" l="1"/>
  <c r="Z73" i="128" l="1"/>
  <c r="Z72" i="128"/>
  <c r="Z74" i="128"/>
  <c r="Z75" i="128" l="1"/>
  <c r="Z26" i="128"/>
  <c r="Z33" i="129"/>
  <c r="Z35" i="129" s="1"/>
  <c r="Z42" i="129" s="1"/>
  <c r="Z70" i="128" l="1"/>
  <c r="AB34" i="129"/>
  <c r="Z71" i="128" l="1"/>
  <c r="AB33" i="129"/>
  <c r="AB35" i="129" s="1"/>
  <c r="AB42" i="129" s="1"/>
  <c r="Z76" i="128" l="1"/>
  <c r="AD69" i="128" l="1"/>
  <c r="AD74" i="128" l="1"/>
  <c r="AD23" i="128"/>
  <c r="AD100" i="128" s="1"/>
  <c r="AD72" i="128"/>
  <c r="AD34" i="129"/>
  <c r="AD73" i="128"/>
  <c r="AD75" i="128" l="1"/>
  <c r="AD33" i="129"/>
  <c r="AD35" i="129" s="1"/>
  <c r="AD42" i="129" s="1"/>
  <c r="AD15" i="128" l="1"/>
  <c r="AH70" i="128" s="1"/>
  <c r="AH80" i="130"/>
  <c r="AD42" i="130"/>
  <c r="AH94" i="130" l="1"/>
  <c r="AH87" i="130"/>
  <c r="AH88" i="130"/>
  <c r="AH90" i="130"/>
  <c r="AD65" i="129"/>
  <c r="AD81" i="130" s="1"/>
  <c r="AD16" i="128"/>
  <c r="AD70" i="128"/>
  <c r="AH34" i="129"/>
  <c r="AH71" i="128" l="1"/>
  <c r="AH75" i="128"/>
  <c r="AH100" i="128"/>
  <c r="AD24" i="128"/>
  <c r="AD59" i="128" s="1"/>
  <c r="AD58" i="128"/>
  <c r="AD96" i="128"/>
  <c r="AD71" i="128"/>
  <c r="AH33" i="129"/>
  <c r="AH35" i="129" s="1"/>
  <c r="AH42" i="129" s="1"/>
  <c r="AL64" i="129"/>
  <c r="AL69" i="128"/>
  <c r="AL74" i="129" l="1"/>
  <c r="AL79" i="129"/>
  <c r="AT79" i="129" s="1"/>
  <c r="AX79" i="129" s="1"/>
  <c r="AL75" i="129"/>
  <c r="AL80" i="129"/>
  <c r="AL73" i="129"/>
  <c r="AL76" i="129"/>
  <c r="AL81" i="129"/>
  <c r="AT81" i="129" s="1"/>
  <c r="AX81" i="129" s="1"/>
  <c r="AL70" i="129"/>
  <c r="AL78" i="129"/>
  <c r="AT78" i="129" s="1"/>
  <c r="AX78" i="129" s="1"/>
  <c r="AL82" i="129"/>
  <c r="AT82" i="129" s="1"/>
  <c r="AX82" i="129" s="1"/>
  <c r="AD76" i="128"/>
  <c r="AD67" i="129"/>
  <c r="AD83" i="130" s="1"/>
  <c r="AD30" i="128"/>
  <c r="AD26" i="128"/>
  <c r="AD101" i="128"/>
  <c r="AL23" i="128"/>
  <c r="AP75" i="128" s="1"/>
  <c r="AL72" i="128"/>
  <c r="AL66" i="129"/>
  <c r="AL82" i="130" s="1"/>
  <c r="AL73" i="128"/>
  <c r="AH42" i="130"/>
  <c r="AL74" i="128"/>
  <c r="AL34" i="129"/>
  <c r="AL80" i="130"/>
  <c r="AT73" i="129" l="1"/>
  <c r="AX73" i="129" s="1"/>
  <c r="AT75" i="129"/>
  <c r="AX75" i="129" s="1"/>
  <c r="AT70" i="129"/>
  <c r="AX70" i="129" s="1"/>
  <c r="AT76" i="129"/>
  <c r="AX76" i="129" s="1"/>
  <c r="AT74" i="129"/>
  <c r="AX74" i="129" s="1"/>
  <c r="AL90" i="130"/>
  <c r="AL94" i="130"/>
  <c r="AT94" i="130" s="1"/>
  <c r="AX94" i="130" s="1"/>
  <c r="AL87" i="130"/>
  <c r="AL88" i="130"/>
  <c r="AL100" i="128"/>
  <c r="AD32" i="128"/>
  <c r="AD91" i="130"/>
  <c r="AL33" i="129"/>
  <c r="AL35" i="129" s="1"/>
  <c r="AL42" i="129" s="1"/>
  <c r="AL75" i="128"/>
  <c r="AT80" i="129" l="1"/>
  <c r="AX80" i="129" s="1"/>
  <c r="AT90" i="130"/>
  <c r="AX90" i="130" s="1"/>
  <c r="AH58" i="128"/>
  <c r="AL15" i="128"/>
  <c r="AL42" i="130"/>
  <c r="AP70" i="128" l="1"/>
  <c r="AH67" i="129"/>
  <c r="AH83" i="130" s="1"/>
  <c r="AH101" i="128"/>
  <c r="AH76" i="128"/>
  <c r="AH30" i="128"/>
  <c r="AL16" i="128"/>
  <c r="AH26" i="128"/>
  <c r="AL65" i="129"/>
  <c r="AL81" i="130" s="1"/>
  <c r="AL70" i="128"/>
  <c r="AP71" i="128" l="1"/>
  <c r="AL96" i="128"/>
  <c r="AH91" i="130"/>
  <c r="AH33" i="128"/>
  <c r="AH61" i="128" s="1"/>
  <c r="AH32" i="128"/>
  <c r="AL71" i="128"/>
  <c r="AL58" i="128"/>
  <c r="AL24" i="128"/>
  <c r="AL59" i="128" l="1"/>
  <c r="AP76" i="128"/>
  <c r="AL101" i="128"/>
  <c r="AH68" i="129"/>
  <c r="AH102" i="128"/>
  <c r="AL26" i="128"/>
  <c r="AL30" i="128"/>
  <c r="AL67" i="129"/>
  <c r="AL83" i="130" s="1"/>
  <c r="AL76" i="128"/>
  <c r="AL91" i="130" l="1"/>
  <c r="AT91" i="130" s="1"/>
  <c r="AX91" i="130" s="1"/>
  <c r="AL32" i="128"/>
  <c r="X69" i="128" l="1"/>
  <c r="X80" i="130" l="1"/>
  <c r="X94" i="130" s="1"/>
  <c r="X88" i="130" l="1"/>
  <c r="X90" i="130"/>
  <c r="X87" i="130"/>
  <c r="X33" i="129"/>
  <c r="X35" i="129" s="1"/>
  <c r="X42" i="129" s="1"/>
  <c r="X42" i="130" l="1"/>
  <c r="X144" i="131" l="1"/>
  <c r="BI142" i="131"/>
  <c r="BI143" i="131" l="1"/>
  <c r="BI148" i="131"/>
  <c r="BI149" i="131" s="1"/>
  <c r="W135" i="131" l="1"/>
  <c r="X137" i="131" l="1"/>
  <c r="AA136" i="131"/>
  <c r="W152" i="131"/>
  <c r="W146" i="131"/>
  <c r="W137" i="131"/>
  <c r="W136" i="131"/>
  <c r="AB144" i="131" l="1"/>
  <c r="W178" i="131" l="1"/>
  <c r="W568" i="131" l="1"/>
  <c r="X180" i="131"/>
  <c r="W195" i="131"/>
  <c r="W179" i="131"/>
  <c r="AA179" i="131"/>
  <c r="W180" i="131"/>
  <c r="W189" i="131"/>
  <c r="AA569" i="131" l="1"/>
  <c r="W569" i="131"/>
  <c r="W15" i="131"/>
  <c r="W7" i="128"/>
  <c r="X15" i="131"/>
  <c r="W14" i="131"/>
  <c r="W107" i="128" l="1"/>
  <c r="W94" i="128"/>
  <c r="W207" i="131" l="1"/>
  <c r="AA208" i="131" l="1"/>
  <c r="W166" i="131"/>
  <c r="BJ207" i="131"/>
  <c r="X209" i="131"/>
  <c r="W221" i="131"/>
  <c r="W163" i="131"/>
  <c r="W157" i="131"/>
  <c r="W16" i="131"/>
  <c r="W215" i="131"/>
  <c r="W151" i="131"/>
  <c r="W194" i="131"/>
  <c r="W7" i="131"/>
  <c r="W9" i="131"/>
  <c r="W205" i="131"/>
  <c r="X9" i="131"/>
  <c r="W138" i="131"/>
  <c r="W145" i="131"/>
  <c r="W181" i="131"/>
  <c r="W188" i="131"/>
  <c r="W9" i="128"/>
  <c r="AB209" i="131"/>
  <c r="W20" i="131"/>
  <c r="W19" i="131"/>
  <c r="X20" i="131"/>
  <c r="W21" i="131"/>
  <c r="W8" i="128"/>
  <c r="W222" i="131"/>
  <c r="W208" i="131"/>
  <c r="W210" i="131"/>
  <c r="W209" i="131"/>
  <c r="BI207" i="131"/>
  <c r="W216" i="131"/>
  <c r="AA216" i="131" s="1"/>
  <c r="AE216" i="131" l="1"/>
  <c r="AA222" i="131"/>
  <c r="AA167" i="131"/>
  <c r="W167" i="131"/>
  <c r="W169" i="131"/>
  <c r="W168" i="131"/>
  <c r="X168" i="131"/>
  <c r="W64" i="129"/>
  <c r="W79" i="129" s="1"/>
  <c r="BI208" i="131"/>
  <c r="W100" i="128"/>
  <c r="W98" i="128"/>
  <c r="W97" i="128"/>
  <c r="W82" i="128"/>
  <c r="X82" i="128"/>
  <c r="W99" i="128"/>
  <c r="W69" i="128"/>
  <c r="W109" i="128"/>
  <c r="W16" i="128"/>
  <c r="BK207" i="131"/>
  <c r="AE212" i="131"/>
  <c r="BJ208" i="131"/>
  <c r="AA212" i="131"/>
  <c r="W95" i="128"/>
  <c r="W108" i="128"/>
  <c r="AE222" i="131" l="1"/>
  <c r="AE218" i="131" s="1"/>
  <c r="AA218" i="131"/>
  <c r="AB220" i="131" s="1"/>
  <c r="AE433" i="131"/>
  <c r="AE434" i="131"/>
  <c r="AE435" i="131"/>
  <c r="AE432" i="131"/>
  <c r="AE425" i="131"/>
  <c r="AF432" i="131"/>
  <c r="AF433" i="131"/>
  <c r="W433" i="131"/>
  <c r="W425" i="131"/>
  <c r="W434" i="131"/>
  <c r="W435" i="131"/>
  <c r="W432" i="131"/>
  <c r="X433" i="131"/>
  <c r="X432" i="131"/>
  <c r="AA425" i="131"/>
  <c r="AA433" i="131"/>
  <c r="AA434" i="131"/>
  <c r="AA435" i="131"/>
  <c r="AA432" i="131"/>
  <c r="AB433" i="131"/>
  <c r="AB432" i="131"/>
  <c r="W78" i="129"/>
  <c r="W76" i="129"/>
  <c r="W70" i="129"/>
  <c r="W73" i="129"/>
  <c r="W82" i="129"/>
  <c r="W74" i="129"/>
  <c r="W75" i="129"/>
  <c r="W80" i="129"/>
  <c r="W81" i="129"/>
  <c r="AA214" i="131"/>
  <c r="AA213" i="131"/>
  <c r="AB214" i="131"/>
  <c r="W116" i="128"/>
  <c r="BL207" i="131"/>
  <c r="AI212" i="131"/>
  <c r="W71" i="128"/>
  <c r="W96" i="128"/>
  <c r="W58" i="128"/>
  <c r="W84" i="128"/>
  <c r="W24" i="128"/>
  <c r="W59" i="128" s="1"/>
  <c r="AE214" i="131"/>
  <c r="AF214" i="131"/>
  <c r="AE213" i="131"/>
  <c r="BK208" i="131"/>
  <c r="W80" i="130"/>
  <c r="W94" i="130" s="1"/>
  <c r="AU216" i="131" l="1"/>
  <c r="AA219" i="131"/>
  <c r="AA220" i="131"/>
  <c r="W427" i="131"/>
  <c r="W428" i="131"/>
  <c r="W429" i="131"/>
  <c r="W426" i="131"/>
  <c r="X427" i="131"/>
  <c r="X426" i="131"/>
  <c r="AE429" i="131"/>
  <c r="AE427" i="131"/>
  <c r="AE428" i="131"/>
  <c r="AE426" i="131"/>
  <c r="AF426" i="131"/>
  <c r="AF427" i="131"/>
  <c r="AI433" i="131"/>
  <c r="AI425" i="131"/>
  <c r="AI434" i="131"/>
  <c r="AI435" i="131"/>
  <c r="AI432" i="131"/>
  <c r="AJ432" i="131"/>
  <c r="AJ433" i="131"/>
  <c r="AA428" i="131"/>
  <c r="AA427" i="131"/>
  <c r="AA429" i="131"/>
  <c r="AA426" i="131"/>
  <c r="AB427" i="131"/>
  <c r="AB426" i="131"/>
  <c r="W67" i="129"/>
  <c r="W83" i="130" s="1"/>
  <c r="W90" i="130"/>
  <c r="W88" i="130"/>
  <c r="W87" i="130"/>
  <c r="BL208" i="131"/>
  <c r="W125" i="128"/>
  <c r="AF220" i="131"/>
  <c r="AE220" i="131"/>
  <c r="AE219" i="131"/>
  <c r="W101" i="128"/>
  <c r="W76" i="128"/>
  <c r="W89" i="128"/>
  <c r="W30" i="128"/>
  <c r="AI218" i="131"/>
  <c r="BM207" i="131"/>
  <c r="AM212" i="131"/>
  <c r="AI214" i="131"/>
  <c r="AI213" i="131"/>
  <c r="AJ214" i="131"/>
  <c r="AM13" i="131" l="1"/>
  <c r="AQ14" i="131" s="1"/>
  <c r="AQ213" i="131"/>
  <c r="AY216" i="131"/>
  <c r="AY222" i="131" s="1"/>
  <c r="AU222" i="131"/>
  <c r="AM425" i="131"/>
  <c r="AM433" i="131"/>
  <c r="AM434" i="131"/>
  <c r="AM435" i="131"/>
  <c r="AM432" i="131"/>
  <c r="AI427" i="131"/>
  <c r="AI428" i="131"/>
  <c r="AI429" i="131"/>
  <c r="AI426" i="131"/>
  <c r="AJ427" i="131"/>
  <c r="AJ426" i="131"/>
  <c r="BN207" i="131"/>
  <c r="AU207" i="131"/>
  <c r="AR209" i="131"/>
  <c r="AM218" i="131"/>
  <c r="W91" i="130"/>
  <c r="W19" i="130"/>
  <c r="W33" i="128"/>
  <c r="W61" i="128" s="1"/>
  <c r="W32" i="128"/>
  <c r="W42" i="130"/>
  <c r="W26" i="128"/>
  <c r="W129" i="128"/>
  <c r="BM208" i="131"/>
  <c r="AM214" i="131"/>
  <c r="AM213" i="131"/>
  <c r="AN214" i="131"/>
  <c r="AI219" i="131"/>
  <c r="AJ220" i="131"/>
  <c r="AI220" i="131"/>
  <c r="AM219" i="131" l="1"/>
  <c r="AQ219" i="131"/>
  <c r="BN208" i="131"/>
  <c r="AM427" i="131"/>
  <c r="AM429" i="131"/>
  <c r="AM426" i="131"/>
  <c r="AM428" i="131"/>
  <c r="AN427" i="131"/>
  <c r="AN426" i="131"/>
  <c r="BO207" i="131"/>
  <c r="AY207" i="131"/>
  <c r="AR214" i="131"/>
  <c r="AU209" i="131"/>
  <c r="AU212" i="131"/>
  <c r="AV209" i="131"/>
  <c r="AN220" i="131"/>
  <c r="AM220" i="131"/>
  <c r="W68" i="129"/>
  <c r="W84" i="130" s="1"/>
  <c r="W131" i="128"/>
  <c r="W132" i="128"/>
  <c r="W102" i="128"/>
  <c r="W90" i="128"/>
  <c r="W35" i="128"/>
  <c r="W77" i="128"/>
  <c r="BP207" i="131" l="1"/>
  <c r="BP208" i="131" s="1"/>
  <c r="BO208" i="131"/>
  <c r="AU218" i="131"/>
  <c r="AY218" i="131"/>
  <c r="AY209" i="131"/>
  <c r="AY212" i="131"/>
  <c r="AZ209" i="131"/>
  <c r="AR220" i="131"/>
  <c r="AU213" i="131"/>
  <c r="AU214" i="131"/>
  <c r="AV214" i="131"/>
  <c r="W135" i="128"/>
  <c r="W91" i="128"/>
  <c r="W78" i="128"/>
  <c r="W62" i="128"/>
  <c r="AV220" i="131" l="1"/>
  <c r="AU219" i="131"/>
  <c r="AU220" i="131"/>
  <c r="AY213" i="131"/>
  <c r="AY214" i="131"/>
  <c r="AZ214" i="131"/>
  <c r="AY220" i="131"/>
  <c r="AY219" i="131"/>
  <c r="AZ220" i="131"/>
  <c r="W138" i="128"/>
  <c r="W137" i="128"/>
  <c r="W29" i="130"/>
  <c r="W68" i="130" l="1"/>
  <c r="W73" i="130" s="1"/>
  <c r="W59" i="130"/>
  <c r="W51" i="129"/>
  <c r="AA70" i="130" l="1"/>
  <c r="W62" i="130"/>
  <c r="W70" i="130"/>
  <c r="W71" i="130"/>
  <c r="W72" i="130"/>
  <c r="X50" i="129"/>
  <c r="X51" i="129" s="1"/>
  <c r="X29" i="130"/>
  <c r="W76" i="130" l="1"/>
  <c r="X61" i="130"/>
  <c r="W53" i="129"/>
  <c r="W23" i="129"/>
  <c r="W60" i="129" s="1"/>
  <c r="W61" i="129" s="1"/>
  <c r="X68" i="130"/>
  <c r="X73" i="130" s="1"/>
  <c r="X59" i="130"/>
  <c r="X62" i="130" l="1"/>
  <c r="Y61" i="130" s="1"/>
  <c r="Y62" i="130" s="1"/>
  <c r="Z61" i="130" s="1"/>
  <c r="Z62" i="130" s="1"/>
  <c r="AA61" i="130" s="1"/>
  <c r="AA62" i="130" s="1"/>
  <c r="AB61" i="130" s="1"/>
  <c r="AB62" i="130" s="1"/>
  <c r="W56" i="129"/>
  <c r="W54" i="129"/>
  <c r="W55" i="129"/>
  <c r="X72" i="130"/>
  <c r="X84" i="129"/>
  <c r="X70" i="130"/>
  <c r="X71" i="130"/>
  <c r="X53" i="129" l="1"/>
  <c r="X13" i="129"/>
  <c r="X15" i="129" s="1"/>
  <c r="X23" i="129" s="1"/>
  <c r="X60" i="129" s="1"/>
  <c r="X61" i="129" s="1"/>
  <c r="X76" i="130"/>
  <c r="X54" i="129" l="1"/>
  <c r="X56" i="129"/>
  <c r="X55" i="129"/>
  <c r="X36" i="131" l="1"/>
  <c r="BI32" i="131"/>
  <c r="BI35" i="131" s="1"/>
  <c r="BI473" i="131" l="1"/>
  <c r="BI474" i="131" s="1"/>
  <c r="BI33" i="131"/>
  <c r="W473" i="131"/>
  <c r="W24" i="131"/>
  <c r="AA25" i="131" s="1"/>
  <c r="W158" i="131" l="1"/>
  <c r="W25" i="131"/>
  <c r="X27" i="131"/>
  <c r="W28" i="131"/>
  <c r="W27" i="131"/>
  <c r="W164" i="131"/>
  <c r="W474" i="131"/>
  <c r="AA473" i="131"/>
  <c r="AE473" i="131" l="1"/>
  <c r="AE68" i="131" l="1"/>
  <c r="AI473" i="131"/>
  <c r="AB36" i="131"/>
  <c r="AB27" i="131" l="1"/>
  <c r="AM473" i="131"/>
  <c r="AQ473" i="131" s="1"/>
  <c r="AE36" i="131"/>
  <c r="AE25" i="131" l="1"/>
  <c r="AE27" i="131"/>
  <c r="AI36" i="131"/>
  <c r="AI33" i="131"/>
  <c r="AJ36" i="131"/>
  <c r="AU473" i="131" l="1"/>
  <c r="AY473" i="131" l="1"/>
  <c r="AY35" i="131" s="1"/>
  <c r="AA33" i="129"/>
  <c r="AA35" i="129" s="1"/>
  <c r="AA42" i="129" s="1"/>
  <c r="X195" i="131" l="1"/>
  <c r="X189" i="131"/>
  <c r="AB179" i="131"/>
  <c r="X569" i="131" l="1"/>
  <c r="AB569" i="131"/>
  <c r="BI41" i="129" l="1"/>
  <c r="BI22" i="129"/>
  <c r="BI27" i="129" l="1"/>
  <c r="BI23" i="130"/>
  <c r="Y33" i="129"/>
  <c r="BI14" i="129"/>
  <c r="BI34" i="129"/>
  <c r="BI9" i="129"/>
  <c r="BI21" i="130"/>
  <c r="BI8" i="129"/>
  <c r="BI10" i="129"/>
  <c r="BI22" i="130"/>
  <c r="BI29" i="129"/>
  <c r="BI25" i="130"/>
  <c r="BI32" i="129"/>
  <c r="BI28" i="130"/>
  <c r="BI28" i="129"/>
  <c r="BI24" i="130"/>
  <c r="BI7" i="130"/>
  <c r="BI20" i="130" l="1"/>
  <c r="BI19" i="130"/>
  <c r="BI36" i="130"/>
  <c r="BI42" i="130"/>
  <c r="BI33" i="129"/>
  <c r="Y35" i="129"/>
  <c r="Y42" i="129" l="1"/>
  <c r="BI42" i="129" s="1"/>
  <c r="BI35" i="129"/>
  <c r="BI18" i="129"/>
  <c r="X96" i="128" l="1"/>
  <c r="X71" i="128"/>
  <c r="X84" i="128"/>
  <c r="X83" i="128"/>
  <c r="X70" i="128"/>
  <c r="X81" i="130"/>
  <c r="X58" i="128" l="1"/>
  <c r="X95" i="128"/>
  <c r="X94" i="128"/>
  <c r="X75" i="128"/>
  <c r="X100" i="128"/>
  <c r="X88" i="128"/>
  <c r="X74" i="128"/>
  <c r="X87" i="128"/>
  <c r="X76" i="128"/>
  <c r="X101" i="128"/>
  <c r="X89" i="128"/>
  <c r="X86" i="128"/>
  <c r="X73" i="128"/>
  <c r="X85" i="128"/>
  <c r="X72" i="128"/>
  <c r="X83" i="130"/>
  <c r="X82" i="130"/>
  <c r="X98" i="128" l="1"/>
  <c r="X99" i="128"/>
  <c r="X97" i="128" l="1"/>
  <c r="X91" i="130"/>
  <c r="X35" i="128" l="1"/>
  <c r="X102" i="128"/>
  <c r="X84" i="130"/>
  <c r="X90" i="128"/>
  <c r="X77" i="128"/>
  <c r="X62" i="128" l="1"/>
  <c r="X78" i="128"/>
  <c r="X91" i="128"/>
  <c r="BI6" i="130" l="1"/>
  <c r="BI49" i="129" l="1"/>
  <c r="Y50" i="129"/>
  <c r="BI29" i="130"/>
  <c r="Y68" i="130"/>
  <c r="Z71" i="130" l="1"/>
  <c r="BI50" i="129"/>
  <c r="Y51" i="129"/>
  <c r="BI51" i="129" s="1"/>
  <c r="BI59" i="130"/>
  <c r="Y72" i="130"/>
  <c r="BI72" i="130" s="1"/>
  <c r="Y71" i="130"/>
  <c r="Y70" i="130"/>
  <c r="Y84" i="129"/>
  <c r="BI68" i="130"/>
  <c r="BI6" i="129" l="1"/>
  <c r="Y13" i="129"/>
  <c r="Y53" i="129"/>
  <c r="BI70" i="130"/>
  <c r="Y76" i="130"/>
  <c r="BI62" i="130"/>
  <c r="Y55" i="129" l="1"/>
  <c r="Y56" i="129"/>
  <c r="BI56" i="129" s="1"/>
  <c r="BI53" i="129"/>
  <c r="Y54" i="129"/>
  <c r="BI54" i="129" s="1"/>
  <c r="BI76" i="130"/>
  <c r="BJ61" i="130"/>
  <c r="BI13" i="129"/>
  <c r="Y15" i="129"/>
  <c r="BI15" i="129" l="1"/>
  <c r="Y23" i="129"/>
  <c r="Y60" i="129" l="1"/>
  <c r="Y61" i="129" s="1"/>
  <c r="BI23" i="129"/>
  <c r="BI60" i="129" s="1"/>
  <c r="BI61" i="129" s="1"/>
  <c r="Y152" i="131" l="1"/>
  <c r="Y146" i="131" s="1"/>
  <c r="Y137" i="131"/>
  <c r="BI135" i="131"/>
  <c r="BI136" i="131" s="1"/>
  <c r="BI152" i="131" l="1"/>
  <c r="BI146" i="131"/>
  <c r="Y136" i="131" l="1"/>
  <c r="AD144" i="131" l="1"/>
  <c r="BJ142" i="131"/>
  <c r="BJ143" i="131" l="1"/>
  <c r="Y187" i="131" l="1"/>
  <c r="Y186" i="131"/>
  <c r="AC186" i="131"/>
  <c r="Y193" i="131"/>
  <c r="BI185" i="131"/>
  <c r="BI186" i="131" s="1"/>
  <c r="Y192" i="131"/>
  <c r="BJ186" i="131" l="1"/>
  <c r="BI191" i="131"/>
  <c r="AC192" i="131"/>
  <c r="BI192" i="131" l="1"/>
  <c r="BJ192" i="131"/>
  <c r="BI14" i="128" l="1"/>
  <c r="Y178" i="131" l="1"/>
  <c r="Y166" i="131" s="1"/>
  <c r="AC167" i="131" l="1"/>
  <c r="Z168" i="131"/>
  <c r="Y167" i="131"/>
  <c r="Y168" i="131"/>
  <c r="BI166" i="131"/>
  <c r="Y597" i="131"/>
  <c r="Y600" i="131"/>
  <c r="W600" i="131"/>
  <c r="V600" i="131"/>
  <c r="X600" i="131"/>
  <c r="AC179" i="131"/>
  <c r="Z180" i="131"/>
  <c r="Y195" i="131"/>
  <c r="Y189" i="131" s="1"/>
  <c r="W570" i="131"/>
  <c r="BI178" i="131"/>
  <c r="Y568" i="131"/>
  <c r="V570" i="131"/>
  <c r="X570" i="131"/>
  <c r="Y180" i="131"/>
  <c r="Y179" i="131"/>
  <c r="Y570" i="131"/>
  <c r="BI649" i="131" l="1"/>
  <c r="BI565" i="131" s="1"/>
  <c r="BI568" i="131" s="1"/>
  <c r="BI167" i="131"/>
  <c r="BJ167" i="131"/>
  <c r="AC569" i="131"/>
  <c r="Y594" i="131" a="1"/>
  <c r="Y594" i="131" s="1"/>
  <c r="Y602" i="131"/>
  <c r="Y608" i="131" s="1"/>
  <c r="Y612" i="131"/>
  <c r="Y598" i="131"/>
  <c r="AC598" i="131"/>
  <c r="BJ650" i="131"/>
  <c r="Y569" i="131"/>
  <c r="BI179" i="131"/>
  <c r="BJ179" i="131"/>
  <c r="BI189" i="131"/>
  <c r="BI195" i="131"/>
  <c r="BI650" i="131" l="1"/>
  <c r="Y595" i="131"/>
  <c r="BI595" i="131" s="1"/>
  <c r="BI594" i="131"/>
  <c r="Y604" i="131"/>
  <c r="AC603" i="131"/>
  <c r="BI569" i="131"/>
  <c r="BJ569" i="131"/>
  <c r="Z87" i="128"/>
  <c r="Y87" i="128"/>
  <c r="BI22" i="128"/>
  <c r="Y74" i="128"/>
  <c r="BI13" i="128"/>
  <c r="Y15" i="128"/>
  <c r="Y73" i="128"/>
  <c r="Z86" i="128"/>
  <c r="Y86" i="128"/>
  <c r="BI21" i="128"/>
  <c r="Z85" i="128"/>
  <c r="Y85" i="128"/>
  <c r="BI20" i="128"/>
  <c r="Y72" i="128"/>
  <c r="Y65" i="129" l="1"/>
  <c r="Y81" i="130" s="1"/>
  <c r="BI73" i="128"/>
  <c r="Z88" i="128"/>
  <c r="Y75" i="128"/>
  <c r="Y88" i="128"/>
  <c r="BI23" i="128"/>
  <c r="Y70" i="128"/>
  <c r="Z83" i="128"/>
  <c r="Y83" i="128"/>
  <c r="BI15" i="128"/>
  <c r="BI72" i="128"/>
  <c r="BI74" i="128"/>
  <c r="BI70" i="128" l="1"/>
  <c r="BI75" i="128"/>
  <c r="BI31" i="128" l="1"/>
  <c r="Y474" i="131" l="1"/>
  <c r="AC473" i="131"/>
  <c r="AC68" i="131" s="1"/>
  <c r="BJ32" i="131" l="1"/>
  <c r="AC33" i="131"/>
  <c r="AD36" i="131"/>
  <c r="AC36" i="131"/>
  <c r="AG473" i="131"/>
  <c r="AG68" i="131" s="1"/>
  <c r="BJ47" i="131" l="1"/>
  <c r="BJ61" i="131" s="1"/>
  <c r="BJ35" i="131"/>
  <c r="AK473" i="131"/>
  <c r="BJ33" i="131"/>
  <c r="BJ473" i="131"/>
  <c r="BJ474" i="131" s="1"/>
  <c r="AD27" i="131"/>
  <c r="AC160" i="131"/>
  <c r="AC154" i="131"/>
  <c r="AO473" i="131" l="1"/>
  <c r="AC162" i="131"/>
  <c r="AD162" i="131"/>
  <c r="AD156" i="131"/>
  <c r="AC156" i="131"/>
  <c r="AH36" i="131"/>
  <c r="AS473" i="131" l="1"/>
  <c r="AK36" i="131"/>
  <c r="AL36" i="131"/>
  <c r="BL32" i="131"/>
  <c r="AK33" i="131"/>
  <c r="AW473" i="131" l="1"/>
  <c r="BL473" i="131"/>
  <c r="BA473" i="131" l="1"/>
  <c r="Y219" i="131" l="1"/>
  <c r="Z220" i="131"/>
  <c r="Y220" i="131"/>
  <c r="BI218" i="131"/>
  <c r="BI222" i="131" s="1"/>
  <c r="BI219" i="131" l="1"/>
  <c r="Y222" i="131"/>
  <c r="Y216" i="131" l="1"/>
  <c r="AC216" i="131" s="1"/>
  <c r="AC212" i="131" l="1"/>
  <c r="AC222" i="131"/>
  <c r="AC218" i="131" s="1"/>
  <c r="AO218" i="131"/>
  <c r="AP220" i="131" s="1"/>
  <c r="AG435" i="131"/>
  <c r="AG432" i="131"/>
  <c r="AG425" i="131"/>
  <c r="AG452" i="131" s="1"/>
  <c r="AG433" i="131"/>
  <c r="AG434" i="131"/>
  <c r="AH433" i="131"/>
  <c r="AH432" i="131"/>
  <c r="Y434" i="131"/>
  <c r="Y435" i="131"/>
  <c r="Y425" i="131"/>
  <c r="Y452" i="131" s="1"/>
  <c r="Y453" i="131" s="1"/>
  <c r="Y432" i="131"/>
  <c r="Y433" i="131"/>
  <c r="Z433" i="131"/>
  <c r="Z432" i="131"/>
  <c r="AC433" i="131"/>
  <c r="AC434" i="131"/>
  <c r="AC435" i="131"/>
  <c r="AC432" i="131"/>
  <c r="AC425" i="131"/>
  <c r="AC452" i="131" s="1"/>
  <c r="AD433" i="131"/>
  <c r="AD432" i="131"/>
  <c r="AG216" i="131"/>
  <c r="Y212" i="131"/>
  <c r="Y213" i="131" s="1"/>
  <c r="AC220" i="131"/>
  <c r="BJ218" i="131"/>
  <c r="AC219" i="131"/>
  <c r="AD220" i="131"/>
  <c r="AC18" i="131"/>
  <c r="AC8" i="128" s="1"/>
  <c r="AC95" i="128" s="1"/>
  <c r="BJ212" i="131"/>
  <c r="AC214" i="131"/>
  <c r="AD214" i="131"/>
  <c r="AC13" i="131"/>
  <c r="AC7" i="128" s="1"/>
  <c r="AC94" i="128" s="1"/>
  <c r="AK216" i="131" l="1"/>
  <c r="AG222" i="131"/>
  <c r="AG218" i="131" s="1"/>
  <c r="AH220" i="131" s="1"/>
  <c r="AO220" i="131"/>
  <c r="AC453" i="131"/>
  <c r="AG453" i="131"/>
  <c r="AC427" i="131"/>
  <c r="AC428" i="131"/>
  <c r="AC429" i="131"/>
  <c r="AC426" i="131"/>
  <c r="AD426" i="131"/>
  <c r="AD427" i="131"/>
  <c r="AG427" i="131"/>
  <c r="AG428" i="131"/>
  <c r="AG429" i="131"/>
  <c r="AG426" i="131"/>
  <c r="AH426" i="131"/>
  <c r="AH427" i="131"/>
  <c r="Y428" i="131"/>
  <c r="Y429" i="131"/>
  <c r="Y426" i="131"/>
  <c r="Y427" i="131"/>
  <c r="Z426" i="131"/>
  <c r="Z427" i="131"/>
  <c r="AK425" i="131"/>
  <c r="AK452" i="131" s="1"/>
  <c r="AK453" i="131" s="1"/>
  <c r="AK434" i="131"/>
  <c r="AK433" i="131"/>
  <c r="AK435" i="131"/>
  <c r="AK432" i="131"/>
  <c r="AL433" i="131"/>
  <c r="AL432" i="131"/>
  <c r="AG212" i="131"/>
  <c r="BK212" i="131" s="1"/>
  <c r="Z214" i="131"/>
  <c r="AC213" i="131"/>
  <c r="AC6" i="131"/>
  <c r="BI212" i="131"/>
  <c r="BJ213" i="131" s="1"/>
  <c r="Y214" i="131"/>
  <c r="BJ222" i="131"/>
  <c r="BJ219" i="131"/>
  <c r="AG220" i="131"/>
  <c r="BJ216" i="131"/>
  <c r="AD20" i="131"/>
  <c r="AC20" i="131"/>
  <c r="AD15" i="131"/>
  <c r="AC15" i="131"/>
  <c r="AK212" i="131"/>
  <c r="BK218" i="131" l="1"/>
  <c r="AG219" i="131"/>
  <c r="AO212" i="131"/>
  <c r="AK222" i="131"/>
  <c r="AK218" i="131" s="1"/>
  <c r="AO219" i="131" s="1"/>
  <c r="AG213" i="131"/>
  <c r="AG214" i="131"/>
  <c r="AC10" i="131"/>
  <c r="AD10" i="131"/>
  <c r="AC391" i="131"/>
  <c r="AC169" i="131"/>
  <c r="AH214" i="131"/>
  <c r="AK428" i="131"/>
  <c r="AK429" i="131"/>
  <c r="AK426" i="131"/>
  <c r="AK427" i="131"/>
  <c r="AL426" i="131"/>
  <c r="AL427" i="131"/>
  <c r="AS216" i="131"/>
  <c r="AS222" i="131" s="1"/>
  <c r="BM218" i="131"/>
  <c r="AC181" i="131"/>
  <c r="AC210" i="131"/>
  <c r="AC28" i="131"/>
  <c r="AC205" i="131"/>
  <c r="AC151" i="131"/>
  <c r="AC145" i="131"/>
  <c r="BI213" i="131"/>
  <c r="BI216" i="131"/>
  <c r="AK214" i="131"/>
  <c r="BL212" i="131"/>
  <c r="AL214" i="131"/>
  <c r="AK213" i="131"/>
  <c r="BK216" i="131"/>
  <c r="BK213" i="131"/>
  <c r="AC108" i="128"/>
  <c r="AC194" i="131"/>
  <c r="AC157" i="131"/>
  <c r="AD9" i="131"/>
  <c r="AC38" i="131"/>
  <c r="AC188" i="131"/>
  <c r="AC9" i="131"/>
  <c r="AC163" i="131"/>
  <c r="AC9" i="128"/>
  <c r="AC221" i="131"/>
  <c r="AC215" i="131"/>
  <c r="BK219" i="131"/>
  <c r="BK222" i="131"/>
  <c r="AC107" i="128"/>
  <c r="AC21" i="131"/>
  <c r="AK219" i="131"/>
  <c r="AL220" i="131"/>
  <c r="BL218" i="131"/>
  <c r="AC16" i="131"/>
  <c r="AK220" i="131" l="1"/>
  <c r="AP214" i="131"/>
  <c r="AO214" i="131"/>
  <c r="AO213" i="131"/>
  <c r="BM212" i="131"/>
  <c r="BM216" i="131" s="1"/>
  <c r="AS218" i="131"/>
  <c r="AS219" i="131" s="1"/>
  <c r="AS212" i="131"/>
  <c r="AW216" i="131"/>
  <c r="AW222" i="131" s="1"/>
  <c r="AC64" i="129"/>
  <c r="AC82" i="128"/>
  <c r="AC99" i="128"/>
  <c r="AC97" i="128"/>
  <c r="AC98" i="128"/>
  <c r="AD82" i="128"/>
  <c r="AC109" i="128"/>
  <c r="AC116" i="128" s="1"/>
  <c r="AC125" i="128" s="1"/>
  <c r="AC129" i="128" s="1"/>
  <c r="BL213" i="131"/>
  <c r="BL216" i="131"/>
  <c r="BM219" i="131"/>
  <c r="BM222" i="131"/>
  <c r="BL222" i="131"/>
  <c r="BL219" i="131"/>
  <c r="AC15" i="128"/>
  <c r="AS214" i="131" l="1"/>
  <c r="BM213" i="131"/>
  <c r="AS220" i="131"/>
  <c r="AS213" i="131"/>
  <c r="AW212" i="131"/>
  <c r="AW213" i="131" s="1"/>
  <c r="BA216" i="131"/>
  <c r="AW218" i="131"/>
  <c r="AW219" i="131" s="1"/>
  <c r="BN212" i="131"/>
  <c r="BN216" i="131" s="1"/>
  <c r="AT214" i="131"/>
  <c r="BN218" i="131"/>
  <c r="BN219" i="131" s="1"/>
  <c r="AT220" i="131"/>
  <c r="AC65" i="129"/>
  <c r="AC81" i="130" s="1"/>
  <c r="AC83" i="128"/>
  <c r="AC70" i="128"/>
  <c r="AC131" i="128"/>
  <c r="AC132" i="128"/>
  <c r="AC135" i="128" s="1"/>
  <c r="AC78" i="129"/>
  <c r="AC79" i="129"/>
  <c r="AC70" i="129"/>
  <c r="AC76" i="129"/>
  <c r="AC82" i="129"/>
  <c r="AC74" i="129"/>
  <c r="AC73" i="129"/>
  <c r="AC75" i="129"/>
  <c r="AC80" i="129"/>
  <c r="AC81" i="129"/>
  <c r="AC80" i="130"/>
  <c r="AC94" i="130" s="1"/>
  <c r="AC16" i="128"/>
  <c r="AD85" i="128"/>
  <c r="AC23" i="128"/>
  <c r="AD86" i="128"/>
  <c r="AD87" i="128"/>
  <c r="AD83" i="128"/>
  <c r="BJ41" i="129"/>
  <c r="BJ22" i="129"/>
  <c r="BA212" i="131" l="1"/>
  <c r="BP212" i="131" s="1"/>
  <c r="BP216" i="131" s="1"/>
  <c r="BA222" i="131"/>
  <c r="BA218" i="131" s="1"/>
  <c r="BP218" i="131" s="1"/>
  <c r="BP222" i="131" s="1"/>
  <c r="AW214" i="131"/>
  <c r="AW220" i="131"/>
  <c r="BO218" i="131"/>
  <c r="BO222" i="131" s="1"/>
  <c r="AX220" i="131"/>
  <c r="BO212" i="131"/>
  <c r="BO216" i="131" s="1"/>
  <c r="AX214" i="131"/>
  <c r="BN213" i="131"/>
  <c r="BN222" i="131"/>
  <c r="AC88" i="128"/>
  <c r="AC75" i="128"/>
  <c r="AC100" i="128"/>
  <c r="AD84" i="128"/>
  <c r="AC96" i="128"/>
  <c r="AC84" i="128"/>
  <c r="AC138" i="128"/>
  <c r="AC137" i="128"/>
  <c r="AC87" i="130"/>
  <c r="AC88" i="130"/>
  <c r="AC90" i="130"/>
  <c r="AC58" i="128"/>
  <c r="AC24" i="128"/>
  <c r="AC59" i="128" s="1"/>
  <c r="BJ25" i="130"/>
  <c r="BJ29" i="129"/>
  <c r="BJ7" i="130"/>
  <c r="BJ27" i="129"/>
  <c r="BJ23" i="130"/>
  <c r="AC33" i="129"/>
  <c r="BJ8" i="129"/>
  <c r="AD20" i="130"/>
  <c r="AE20" i="130" s="1"/>
  <c r="BJ9" i="129"/>
  <c r="BJ21" i="130"/>
  <c r="BJ28" i="129"/>
  <c r="BJ24" i="130"/>
  <c r="BJ28" i="130"/>
  <c r="BJ32" i="129"/>
  <c r="AC34" i="129"/>
  <c r="BJ34" i="129" s="1"/>
  <c r="BJ14" i="129"/>
  <c r="BJ10" i="129"/>
  <c r="BJ22" i="130"/>
  <c r="AD88" i="128"/>
  <c r="BA214" i="131" l="1"/>
  <c r="BA213" i="131"/>
  <c r="BA219" i="131"/>
  <c r="BA220" i="131"/>
  <c r="BP213" i="131"/>
  <c r="BO219" i="131"/>
  <c r="BP219" i="131"/>
  <c r="BO213" i="131"/>
  <c r="AC67" i="129"/>
  <c r="AC83" i="130" s="1"/>
  <c r="AC89" i="128"/>
  <c r="AC101" i="128"/>
  <c r="AD89" i="128"/>
  <c r="AC30" i="128"/>
  <c r="AC26" i="128"/>
  <c r="BJ33" i="129"/>
  <c r="AC35" i="129"/>
  <c r="AD19" i="130"/>
  <c r="BJ20" i="130"/>
  <c r="BJ19" i="130"/>
  <c r="BJ36" i="130"/>
  <c r="BJ42" i="130"/>
  <c r="AC91" i="130" l="1"/>
  <c r="AC32" i="128"/>
  <c r="BJ35" i="129"/>
  <c r="AC42" i="129"/>
  <c r="BJ42" i="129" s="1"/>
  <c r="BJ18" i="129"/>
  <c r="AC155" i="131" l="1"/>
  <c r="BI154" i="131"/>
  <c r="BI155" i="131" s="1"/>
  <c r="Y18" i="131"/>
  <c r="Z20" i="131" s="1"/>
  <c r="Y8" i="128" l="1"/>
  <c r="BI8" i="128" s="1"/>
  <c r="BI95" i="128" s="1"/>
  <c r="Y20" i="131"/>
  <c r="AC19" i="131"/>
  <c r="BI160" i="131"/>
  <c r="Y19" i="131"/>
  <c r="AC161" i="131"/>
  <c r="BI18" i="131"/>
  <c r="Y108" i="128" l="1"/>
  <c r="BI108" i="128" s="1"/>
  <c r="Y95" i="128"/>
  <c r="BI19" i="131"/>
  <c r="BI161" i="131"/>
  <c r="Y13" i="131"/>
  <c r="Y6" i="131" l="1"/>
  <c r="Z15" i="131"/>
  <c r="Y15" i="131"/>
  <c r="AC14" i="131"/>
  <c r="BI13" i="131"/>
  <c r="Y14" i="131"/>
  <c r="Y7" i="128"/>
  <c r="BI24" i="131"/>
  <c r="Y8" i="131" l="1"/>
  <c r="AC8" i="131"/>
  <c r="Y10" i="131"/>
  <c r="Z10" i="131"/>
  <c r="Z9" i="131"/>
  <c r="Y169" i="131"/>
  <c r="Y7" i="131"/>
  <c r="Y138" i="131"/>
  <c r="Y210" i="131"/>
  <c r="Y181" i="131"/>
  <c r="Y215" i="131"/>
  <c r="Y151" i="131"/>
  <c r="AC7" i="131"/>
  <c r="Y9" i="128"/>
  <c r="Y194" i="131"/>
  <c r="Y188" i="131"/>
  <c r="Y163" i="131"/>
  <c r="Y21" i="131"/>
  <c r="Y38" i="131"/>
  <c r="Y9" i="131"/>
  <c r="Y145" i="131"/>
  <c r="Y157" i="131"/>
  <c r="Y16" i="131"/>
  <c r="Y28" i="131"/>
  <c r="Y221" i="131"/>
  <c r="Y205" i="131"/>
  <c r="BI6" i="131"/>
  <c r="BI106" i="131"/>
  <c r="BI14" i="131"/>
  <c r="BI7" i="128"/>
  <c r="Y107" i="128"/>
  <c r="BI107" i="128" s="1"/>
  <c r="Y94" i="128"/>
  <c r="BI25" i="131"/>
  <c r="BJ25" i="131"/>
  <c r="BI158" i="131"/>
  <c r="BI164" i="131"/>
  <c r="BI200" i="131" l="1"/>
  <c r="BI171" i="131"/>
  <c r="BI145" i="131"/>
  <c r="BI169" i="131"/>
  <c r="AC69" i="128"/>
  <c r="Y73" i="130"/>
  <c r="Y97" i="128"/>
  <c r="Y69" i="128"/>
  <c r="BI16" i="131"/>
  <c r="BI68" i="131"/>
  <c r="Z82" i="128"/>
  <c r="BI194" i="131"/>
  <c r="BI138" i="131"/>
  <c r="Y98" i="128"/>
  <c r="Y109" i="128"/>
  <c r="Y116" i="128" s="1"/>
  <c r="Y99" i="128"/>
  <c r="BI181" i="131"/>
  <c r="BI9" i="128"/>
  <c r="Y82" i="128"/>
  <c r="BI163" i="131"/>
  <c r="BI28" i="131"/>
  <c r="Y16" i="128"/>
  <c r="AC71" i="128" s="1"/>
  <c r="BI92" i="131"/>
  <c r="Y64" i="129"/>
  <c r="Y80" i="130" s="1"/>
  <c r="Y100" i="128"/>
  <c r="BI157" i="131"/>
  <c r="BI221" i="131"/>
  <c r="BI21" i="131"/>
  <c r="BI210" i="131"/>
  <c r="BI38" i="131"/>
  <c r="BI7" i="131"/>
  <c r="BI215" i="131"/>
  <c r="BI151" i="131"/>
  <c r="BI188" i="131"/>
  <c r="BI205" i="131"/>
  <c r="BI94" i="128"/>
  <c r="BI69" i="128" l="1"/>
  <c r="BI172" i="131"/>
  <c r="BI174" i="131"/>
  <c r="BJ172" i="131"/>
  <c r="Y96" i="128"/>
  <c r="Y90" i="130"/>
  <c r="Y94" i="130"/>
  <c r="BI100" i="128"/>
  <c r="BI16" i="128"/>
  <c r="BI96" i="128" s="1"/>
  <c r="Y74" i="129"/>
  <c r="Y84" i="128"/>
  <c r="BI73" i="130"/>
  <c r="BI99" i="128"/>
  <c r="BI98" i="128"/>
  <c r="BI97" i="128"/>
  <c r="Y88" i="130"/>
  <c r="Y76" i="129"/>
  <c r="Y70" i="129"/>
  <c r="Y81" i="129"/>
  <c r="Y87" i="130"/>
  <c r="Y75" i="129"/>
  <c r="Y78" i="129"/>
  <c r="Y79" i="129"/>
  <c r="Y73" i="129"/>
  <c r="Y80" i="129"/>
  <c r="Y82" i="129"/>
  <c r="Y71" i="128"/>
  <c r="Z84" i="128"/>
  <c r="BI109" i="128"/>
  <c r="Y58" i="128"/>
  <c r="BI58" i="128" s="1"/>
  <c r="Y24" i="128"/>
  <c r="BI116" i="128"/>
  <c r="Y125" i="128"/>
  <c r="AC76" i="128" l="1"/>
  <c r="Y59" i="128"/>
  <c r="BI71" i="128"/>
  <c r="Y67" i="129"/>
  <c r="Y83" i="130" s="1"/>
  <c r="Y101" i="128"/>
  <c r="Y30" i="128"/>
  <c r="BI24" i="128"/>
  <c r="BI76" i="128" s="1"/>
  <c r="Y89" i="128"/>
  <c r="Y76" i="128"/>
  <c r="Y26" i="128"/>
  <c r="BI26" i="128" s="1"/>
  <c r="Z89" i="128"/>
  <c r="BI125" i="128"/>
  <c r="Y129" i="128"/>
  <c r="Y91" i="130" l="1"/>
  <c r="Y33" i="128"/>
  <c r="Y61" i="128" s="1"/>
  <c r="Y32" i="128"/>
  <c r="BI30" i="128"/>
  <c r="BI32" i="128" s="1"/>
  <c r="BI101" i="128"/>
  <c r="BI59" i="128"/>
  <c r="Y131" i="128"/>
  <c r="BI129" i="128"/>
  <c r="BI131" i="128" s="1"/>
  <c r="Y132" i="128"/>
  <c r="BI33" i="128" l="1"/>
  <c r="BI77" i="128" s="1"/>
  <c r="Y68" i="129"/>
  <c r="Y84" i="130" s="1"/>
  <c r="Y102" i="128"/>
  <c r="Y77" i="128"/>
  <c r="Y90" i="128"/>
  <c r="BI132" i="128"/>
  <c r="Y135" i="128"/>
  <c r="Y78" i="128"/>
  <c r="Y91" i="128"/>
  <c r="BI61" i="128" l="1"/>
  <c r="BI62" i="128" s="1"/>
  <c r="BI102" i="128"/>
  <c r="Y62" i="128"/>
  <c r="Z77" i="128"/>
  <c r="Z90" i="128"/>
  <c r="Y137" i="128"/>
  <c r="Y138" i="128"/>
  <c r="BI137" i="128"/>
  <c r="BI138" i="128"/>
  <c r="BI78" i="128"/>
  <c r="Z91" i="128" l="1"/>
  <c r="Z78" i="128"/>
  <c r="Z84" i="129" l="1"/>
  <c r="Z50" i="129"/>
  <c r="Z51" i="129" s="1"/>
  <c r="AA84" i="129" l="1"/>
  <c r="AA51" i="129"/>
  <c r="Z76" i="130" l="1"/>
  <c r="Z13" i="129"/>
  <c r="Z53" i="129"/>
  <c r="AA76" i="130" l="1"/>
  <c r="AA13" i="129"/>
  <c r="AA15" i="129" s="1"/>
  <c r="AA23" i="129" s="1"/>
  <c r="AA60" i="129" s="1"/>
  <c r="AA61" i="129" s="1"/>
  <c r="AA53" i="129"/>
  <c r="Z56" i="129"/>
  <c r="Z55" i="129"/>
  <c r="Z54" i="129"/>
  <c r="AA54" i="129" l="1"/>
  <c r="AA56" i="129"/>
  <c r="AA55" i="129"/>
  <c r="Z74" i="129" l="1"/>
  <c r="Z15" i="129"/>
  <c r="Z23" i="129" s="1"/>
  <c r="Z60" i="129" s="1"/>
  <c r="Z61" i="129" s="1"/>
  <c r="AA88" i="128"/>
  <c r="AA75" i="128"/>
  <c r="AA87" i="128"/>
  <c r="AA74" i="128"/>
  <c r="AA86" i="128"/>
  <c r="AA73" i="128"/>
  <c r="AA72" i="128"/>
  <c r="AA85" i="128"/>
  <c r="AA83" i="128"/>
  <c r="AA70" i="128"/>
  <c r="AA65" i="129"/>
  <c r="AA81" i="130" s="1"/>
  <c r="AA66" i="129"/>
  <c r="AA82" i="130" s="1"/>
  <c r="AA79" i="128"/>
  <c r="AB79" i="128" s="1"/>
  <c r="AC79" i="128" l="1"/>
  <c r="AC39" i="128" s="1"/>
  <c r="AB39" i="128"/>
  <c r="BJ39" i="128" l="1"/>
  <c r="BJ79" i="128" s="1"/>
  <c r="BK39" i="128" l="1"/>
  <c r="BK79" i="128" s="1"/>
  <c r="AA156" i="131" l="1"/>
  <c r="AA155" i="131"/>
  <c r="AB156" i="131"/>
  <c r="BJ154" i="131"/>
  <c r="BJ155" i="131" s="1"/>
  <c r="BJ158" i="131" l="1"/>
  <c r="AA158" i="131"/>
  <c r="AE158" i="131" s="1"/>
  <c r="AA13" i="131"/>
  <c r="AB162" i="131" l="1"/>
  <c r="BJ160" i="131"/>
  <c r="AA18" i="131"/>
  <c r="AA14" i="131"/>
  <c r="BJ13" i="131"/>
  <c r="AA15" i="131"/>
  <c r="AB15" i="131"/>
  <c r="AA7" i="128"/>
  <c r="BJ161" i="131" l="1"/>
  <c r="BJ164" i="131"/>
  <c r="AA107" i="128"/>
  <c r="BJ107" i="128" s="1"/>
  <c r="BJ7" i="128"/>
  <c r="AA94" i="128"/>
  <c r="AE164" i="131"/>
  <c r="AE160" i="131" s="1"/>
  <c r="AE154" i="131"/>
  <c r="AI155" i="131" s="1"/>
  <c r="BJ14" i="131"/>
  <c r="AA20" i="131"/>
  <c r="BJ18" i="131"/>
  <c r="AA19" i="131"/>
  <c r="AB20" i="131"/>
  <c r="AA8" i="128"/>
  <c r="AA6" i="131"/>
  <c r="AA8" i="131" s="1"/>
  <c r="AA10" i="131" l="1"/>
  <c r="AB10" i="131"/>
  <c r="AA169" i="131"/>
  <c r="BJ6" i="131"/>
  <c r="AA391" i="131"/>
  <c r="AA163" i="131"/>
  <c r="AA221" i="131"/>
  <c r="AB9" i="131"/>
  <c r="AA210" i="131"/>
  <c r="AA215" i="131"/>
  <c r="AA138" i="131"/>
  <c r="AA151" i="131"/>
  <c r="AA38" i="131"/>
  <c r="AA194" i="131"/>
  <c r="AA157" i="131"/>
  <c r="AA9" i="131"/>
  <c r="AA7" i="131"/>
  <c r="AA181" i="131"/>
  <c r="BJ129" i="131" s="1"/>
  <c r="AA28" i="131"/>
  <c r="AA145" i="131"/>
  <c r="AA188" i="131"/>
  <c r="AA205" i="131"/>
  <c r="AA9" i="128"/>
  <c r="AA16" i="131"/>
  <c r="AA95" i="128"/>
  <c r="AA108" i="128"/>
  <c r="BJ108" i="128" s="1"/>
  <c r="BJ8" i="128"/>
  <c r="AI164" i="131"/>
  <c r="AE155" i="131"/>
  <c r="AE156" i="131"/>
  <c r="AE13" i="131"/>
  <c r="AE7" i="128" s="1"/>
  <c r="AE94" i="128" s="1"/>
  <c r="AA21" i="131"/>
  <c r="BJ19" i="131"/>
  <c r="AE161" i="131"/>
  <c r="AE162" i="131"/>
  <c r="AE18" i="131"/>
  <c r="AE8" i="128" s="1"/>
  <c r="AE95" i="128" s="1"/>
  <c r="BJ8" i="131" l="1"/>
  <c r="BJ200" i="131"/>
  <c r="BJ174" i="131"/>
  <c r="BJ169" i="131"/>
  <c r="AB82" i="128"/>
  <c r="AA73" i="130"/>
  <c r="BJ38" i="131"/>
  <c r="BJ215" i="131"/>
  <c r="BJ181" i="131"/>
  <c r="BJ210" i="131"/>
  <c r="BJ391" i="131"/>
  <c r="BJ221" i="131"/>
  <c r="BJ7" i="131"/>
  <c r="BJ188" i="131"/>
  <c r="BJ145" i="131"/>
  <c r="BJ28" i="131"/>
  <c r="BJ205" i="131"/>
  <c r="BJ194" i="131"/>
  <c r="BJ157" i="131"/>
  <c r="BJ163" i="131"/>
  <c r="BJ16" i="131"/>
  <c r="AE14" i="131"/>
  <c r="AE15" i="131"/>
  <c r="AE6" i="131"/>
  <c r="AE10" i="131" s="1"/>
  <c r="AA100" i="128"/>
  <c r="AA98" i="128"/>
  <c r="AA69" i="128"/>
  <c r="AA99" i="128"/>
  <c r="AA97" i="128"/>
  <c r="AA64" i="129"/>
  <c r="AA80" i="130" s="1"/>
  <c r="AA94" i="130" s="1"/>
  <c r="AA82" i="128"/>
  <c r="AA109" i="128"/>
  <c r="BJ9" i="128"/>
  <c r="AA16" i="128"/>
  <c r="AE19" i="131"/>
  <c r="AE20" i="131"/>
  <c r="BJ21" i="131"/>
  <c r="BJ69" i="128" l="1"/>
  <c r="AE8" i="131"/>
  <c r="AE200" i="131"/>
  <c r="AE169" i="131"/>
  <c r="AE174" i="131"/>
  <c r="AE210" i="131"/>
  <c r="AE391" i="131"/>
  <c r="AE205" i="131"/>
  <c r="AE151" i="131"/>
  <c r="AE145" i="131"/>
  <c r="AE16" i="131"/>
  <c r="AE21" i="131"/>
  <c r="AA90" i="130"/>
  <c r="AA87" i="130"/>
  <c r="AA88" i="130"/>
  <c r="AA71" i="128"/>
  <c r="AA84" i="128"/>
  <c r="AA58" i="128"/>
  <c r="AA96" i="128"/>
  <c r="AA24" i="128"/>
  <c r="AA59" i="128" s="1"/>
  <c r="AE108" i="128"/>
  <c r="AA116" i="128"/>
  <c r="BJ109" i="128"/>
  <c r="AA74" i="129"/>
  <c r="AA73" i="129"/>
  <c r="AA70" i="129"/>
  <c r="AA79" i="129"/>
  <c r="AA82" i="129"/>
  <c r="AA81" i="129"/>
  <c r="AA78" i="129"/>
  <c r="AA75" i="129"/>
  <c r="AA80" i="129"/>
  <c r="AA76" i="129"/>
  <c r="AE107" i="128"/>
  <c r="AE215" i="131"/>
  <c r="AE7" i="131"/>
  <c r="AE181" i="131"/>
  <c r="AE188" i="131"/>
  <c r="AE28" i="131"/>
  <c r="AE9" i="131"/>
  <c r="AE221" i="131"/>
  <c r="AE38" i="131"/>
  <c r="AE194" i="131"/>
  <c r="AE9" i="128"/>
  <c r="AE157" i="131"/>
  <c r="AE163" i="131"/>
  <c r="AE99" i="128" l="1"/>
  <c r="AE82" i="128"/>
  <c r="AE98" i="128"/>
  <c r="AE97" i="128"/>
  <c r="AE69" i="128"/>
  <c r="AE64" i="129"/>
  <c r="AE80" i="130" s="1"/>
  <c r="AE109" i="128"/>
  <c r="AE116" i="128" s="1"/>
  <c r="AE15" i="128"/>
  <c r="BJ116" i="128"/>
  <c r="AA125" i="128"/>
  <c r="AA101" i="128"/>
  <c r="AA67" i="129"/>
  <c r="AA83" i="130" s="1"/>
  <c r="AA89" i="128"/>
  <c r="AA76" i="128"/>
  <c r="AA26" i="128"/>
  <c r="AA30" i="128"/>
  <c r="AE125" i="128" l="1"/>
  <c r="AE83" i="128"/>
  <c r="AE70" i="128"/>
  <c r="AE94" i="130"/>
  <c r="AE87" i="130"/>
  <c r="AE88" i="130"/>
  <c r="AE90" i="130"/>
  <c r="AE78" i="129"/>
  <c r="AE79" i="129"/>
  <c r="AE70" i="129"/>
  <c r="AE82" i="129"/>
  <c r="AE80" i="129"/>
  <c r="AE74" i="129"/>
  <c r="AE75" i="129"/>
  <c r="AE73" i="129"/>
  <c r="AE76" i="129"/>
  <c r="AE81" i="129"/>
  <c r="AE66" i="129"/>
  <c r="AE82" i="130" s="1"/>
  <c r="AE65" i="129"/>
  <c r="AE81" i="130" s="1"/>
  <c r="AA91" i="130"/>
  <c r="AA33" i="128"/>
  <c r="AA61" i="128" s="1"/>
  <c r="AA32" i="128"/>
  <c r="AE16" i="128"/>
  <c r="AE23" i="128"/>
  <c r="BJ125" i="128"/>
  <c r="AA129" i="128"/>
  <c r="AE100" i="128" l="1"/>
  <c r="AE88" i="128"/>
  <c r="AE75" i="128"/>
  <c r="AE96" i="128"/>
  <c r="AE84" i="128"/>
  <c r="AE71" i="128"/>
  <c r="AE129" i="128"/>
  <c r="BJ129" i="128"/>
  <c r="BJ131" i="128" s="1"/>
  <c r="AA132" i="128"/>
  <c r="AA131" i="128"/>
  <c r="AE58" i="128"/>
  <c r="AE24" i="128"/>
  <c r="AE59" i="128" s="1"/>
  <c r="AE33" i="129"/>
  <c r="AE35" i="129" s="1"/>
  <c r="AE42" i="129" s="1"/>
  <c r="AA90" i="128"/>
  <c r="AA68" i="129"/>
  <c r="AA84" i="130" s="1"/>
  <c r="AA77" i="128"/>
  <c r="AA102" i="128"/>
  <c r="AA35" i="128"/>
  <c r="AE132" i="128" l="1"/>
  <c r="AE131" i="128"/>
  <c r="AE101" i="128"/>
  <c r="AE89" i="128"/>
  <c r="AE76" i="128"/>
  <c r="AE67" i="129"/>
  <c r="AE83" i="130" s="1"/>
  <c r="AA62" i="128"/>
  <c r="AE26" i="128"/>
  <c r="AE30" i="128"/>
  <c r="AE19" i="130"/>
  <c r="AA135" i="128"/>
  <c r="BJ132" i="128"/>
  <c r="AA91" i="128"/>
  <c r="AA78" i="128"/>
  <c r="AE42" i="130"/>
  <c r="AE91" i="130" l="1"/>
  <c r="AE32" i="128"/>
  <c r="AE135" i="128"/>
  <c r="AC33" i="128"/>
  <c r="AC61" i="128" s="1"/>
  <c r="BJ137" i="128"/>
  <c r="BJ138" i="128"/>
  <c r="AA138" i="128"/>
  <c r="AA137" i="128"/>
  <c r="AE138" i="128" l="1"/>
  <c r="AE137" i="128"/>
  <c r="AC68" i="129"/>
  <c r="AC84" i="130" s="1"/>
  <c r="AC102" i="128"/>
  <c r="AC35" i="128"/>
  <c r="AC90" i="128"/>
  <c r="AC77" i="128"/>
  <c r="AD33" i="128"/>
  <c r="AD61" i="128" s="1"/>
  <c r="AH77" i="128" l="1"/>
  <c r="AD102" i="128"/>
  <c r="AE33" i="128"/>
  <c r="AE61" i="128" s="1"/>
  <c r="AD68" i="129"/>
  <c r="AD84" i="130" s="1"/>
  <c r="AC78" i="128"/>
  <c r="AC62" i="128"/>
  <c r="AC68" i="130"/>
  <c r="AD77" i="128"/>
  <c r="AD90" i="128"/>
  <c r="AD35" i="128"/>
  <c r="BJ62" i="128" l="1"/>
  <c r="AE62" i="128"/>
  <c r="AC84" i="129"/>
  <c r="AC73" i="130"/>
  <c r="AE77" i="128"/>
  <c r="AE90" i="128"/>
  <c r="AE102" i="128"/>
  <c r="AE35" i="128"/>
  <c r="AE68" i="129"/>
  <c r="AE84" i="130" s="1"/>
  <c r="AD78" i="128"/>
  <c r="AD91" i="128"/>
  <c r="AC70" i="130"/>
  <c r="AC72" i="130"/>
  <c r="AD62" i="128"/>
  <c r="AD6" i="130"/>
  <c r="AE6" i="130" s="1"/>
  <c r="AE29" i="130" s="1"/>
  <c r="AE59" i="130" l="1"/>
  <c r="AE68" i="130"/>
  <c r="AE78" i="128"/>
  <c r="AE91" i="128"/>
  <c r="AD29" i="130"/>
  <c r="AE72" i="130" l="1"/>
  <c r="AE84" i="129"/>
  <c r="AE73" i="130"/>
  <c r="AE70" i="130"/>
  <c r="AB13" i="129"/>
  <c r="AB15" i="129" s="1"/>
  <c r="AB23" i="129" s="1"/>
  <c r="AB53" i="129"/>
  <c r="AD59" i="130"/>
  <c r="AD68" i="130"/>
  <c r="AD73" i="130" l="1"/>
  <c r="AD84" i="129"/>
  <c r="AC13" i="129"/>
  <c r="BJ6" i="129"/>
  <c r="AC53" i="129"/>
  <c r="AD70" i="130"/>
  <c r="AD71" i="130"/>
  <c r="AD72" i="130"/>
  <c r="AE71" i="130"/>
  <c r="AB54" i="129"/>
  <c r="AB56" i="129"/>
  <c r="AB55" i="129"/>
  <c r="AD53" i="129" l="1"/>
  <c r="AD13" i="129"/>
  <c r="AD15" i="129" s="1"/>
  <c r="AD23" i="129" s="1"/>
  <c r="BJ53" i="129"/>
  <c r="AC56" i="129"/>
  <c r="BJ56" i="129" s="1"/>
  <c r="AC54" i="129"/>
  <c r="BJ54" i="129" s="1"/>
  <c r="AC55" i="129"/>
  <c r="AC15" i="129"/>
  <c r="BJ13" i="129"/>
  <c r="AE13" i="129" l="1"/>
  <c r="AE15" i="129" s="1"/>
  <c r="AE23" i="129" s="1"/>
  <c r="AE53" i="129"/>
  <c r="AD56" i="129"/>
  <c r="AD54" i="129"/>
  <c r="AD55" i="129"/>
  <c r="AC23" i="129"/>
  <c r="BJ15" i="129"/>
  <c r="BJ23" i="129" l="1"/>
  <c r="AE55" i="129"/>
  <c r="AE56" i="129"/>
  <c r="AE54" i="129"/>
  <c r="BJ63" i="131" l="1"/>
  <c r="BJ64" i="131" s="1"/>
  <c r="BJ76" i="131" l="1"/>
  <c r="BJ84" i="131" s="1"/>
  <c r="BJ65" i="131"/>
  <c r="BJ68" i="131"/>
  <c r="BJ86" i="131" l="1"/>
  <c r="BJ100" i="131" l="1"/>
  <c r="BJ89" i="131"/>
  <c r="BJ87" i="131"/>
  <c r="BJ92" i="131"/>
  <c r="BJ49" i="129" l="1"/>
  <c r="AB50" i="129"/>
  <c r="AB51" i="129" s="1"/>
  <c r="AB60" i="129" s="1"/>
  <c r="AB61" i="129" s="1"/>
  <c r="AD51" i="129"/>
  <c r="AD60" i="129" s="1"/>
  <c r="AD61" i="129" s="1"/>
  <c r="AC51" i="129"/>
  <c r="BJ51" i="129" l="1"/>
  <c r="BJ60" i="129" s="1"/>
  <c r="BJ61" i="129" s="1"/>
  <c r="AC60" i="129"/>
  <c r="AC61" i="129" s="1"/>
  <c r="BJ50" i="129"/>
  <c r="AB92" i="131" l="1"/>
  <c r="AB70" i="128"/>
  <c r="AB83" i="128"/>
  <c r="AB96" i="128"/>
  <c r="AB84" i="128"/>
  <c r="AB71" i="128"/>
  <c r="BJ15" i="128"/>
  <c r="BJ70" i="128" s="1"/>
  <c r="BJ58" i="128"/>
  <c r="AB65" i="129"/>
  <c r="AB81" i="130" s="1"/>
  <c r="BJ16" i="128"/>
  <c r="BJ71" i="128" s="1"/>
  <c r="AB95" i="128"/>
  <c r="BJ14" i="128"/>
  <c r="BJ95" i="128" s="1"/>
  <c r="BJ13" i="128"/>
  <c r="BJ94" i="128" s="1"/>
  <c r="BJ96" i="128" l="1"/>
  <c r="AB94" i="128"/>
  <c r="AB89" i="128" l="1"/>
  <c r="AB101" i="128"/>
  <c r="AB76" i="128"/>
  <c r="AB85" i="128"/>
  <c r="AB72" i="128"/>
  <c r="AB86" i="128"/>
  <c r="AB73" i="128"/>
  <c r="AB87" i="128"/>
  <c r="AB74" i="128"/>
  <c r="AB88" i="128"/>
  <c r="AB75" i="128"/>
  <c r="AB100" i="128"/>
  <c r="BJ21" i="128"/>
  <c r="BJ98" i="128" s="1"/>
  <c r="BJ23" i="128"/>
  <c r="BJ20" i="128"/>
  <c r="BJ72" i="128" s="1"/>
  <c r="AB99" i="128"/>
  <c r="BJ22" i="128"/>
  <c r="BJ99" i="128" s="1"/>
  <c r="BJ59" i="128"/>
  <c r="AB67" i="129"/>
  <c r="AB83" i="130" s="1"/>
  <c r="AB66" i="129"/>
  <c r="AB82" i="130" s="1"/>
  <c r="BJ24" i="128"/>
  <c r="BJ27" i="128" l="1"/>
  <c r="BJ74" i="128"/>
  <c r="BJ73" i="128"/>
  <c r="BJ75" i="128"/>
  <c r="BJ101" i="128"/>
  <c r="BJ97" i="128"/>
  <c r="BJ76" i="128"/>
  <c r="BJ100" i="128"/>
  <c r="AB98" i="128"/>
  <c r="BJ26" i="128" l="1"/>
  <c r="AB97" i="128" l="1"/>
  <c r="BJ30" i="128" l="1"/>
  <c r="BJ31" i="128" l="1"/>
  <c r="BJ32" i="128" l="1"/>
  <c r="BJ33" i="128"/>
  <c r="AB90" i="128"/>
  <c r="AB77" i="128"/>
  <c r="AB102" i="128"/>
  <c r="AB68" i="129"/>
  <c r="AB84" i="130" s="1"/>
  <c r="AB35" i="128"/>
  <c r="BJ35" i="128" l="1"/>
  <c r="AC91" i="128"/>
  <c r="BJ61" i="128"/>
  <c r="AB91" i="128"/>
  <c r="AB78" i="128"/>
  <c r="BJ77" i="128"/>
  <c r="BJ102" i="128"/>
  <c r="BJ38" i="128" l="1"/>
  <c r="BJ78" i="128"/>
  <c r="BJ6" i="130"/>
  <c r="BJ29" i="130" l="1"/>
  <c r="AB68" i="130"/>
  <c r="AB73" i="130" l="1"/>
  <c r="BJ68" i="130"/>
  <c r="AB70" i="130"/>
  <c r="AB84" i="129"/>
  <c r="AB71" i="130"/>
  <c r="AC71" i="130"/>
  <c r="AB72" i="130"/>
  <c r="BJ72" i="130" s="1"/>
  <c r="BJ59" i="130"/>
  <c r="AB76" i="130" l="1"/>
  <c r="AC61" i="130"/>
  <c r="AC62" i="130" s="1"/>
  <c r="BJ73" i="130"/>
  <c r="BJ70" i="130"/>
  <c r="AD61" i="130" l="1"/>
  <c r="AD62" i="130" s="1"/>
  <c r="BJ62" i="130"/>
  <c r="AC76" i="130"/>
  <c r="BK61" i="130" l="1"/>
  <c r="BJ76" i="130"/>
  <c r="AE61" i="130"/>
  <c r="AE62" i="130" s="1"/>
  <c r="AD76" i="130"/>
  <c r="AE76" i="130" l="1"/>
  <c r="AF61" i="130"/>
  <c r="AC92" i="131" l="1"/>
  <c r="BJ148" i="131" l="1"/>
  <c r="BJ149" i="131" s="1"/>
  <c r="AC135" i="131"/>
  <c r="AD137" i="131" l="1"/>
  <c r="AG136" i="131"/>
  <c r="AC136" i="131"/>
  <c r="AC152" i="131"/>
  <c r="AC146" i="131" s="1"/>
  <c r="BJ151" i="131"/>
  <c r="BJ135" i="131"/>
  <c r="AC138" i="131"/>
  <c r="AC137" i="131"/>
  <c r="BJ152" i="131" l="1"/>
  <c r="BJ138" i="131"/>
  <c r="BJ136" i="131"/>
  <c r="BJ146" i="131"/>
  <c r="AD92" i="131" l="1"/>
  <c r="AE90" i="131" l="1"/>
  <c r="AE87" i="131"/>
  <c r="AE51" i="129" l="1"/>
  <c r="AE60" i="129" s="1"/>
  <c r="AE61" i="129" s="1"/>
  <c r="AE49" i="129"/>
  <c r="AE92" i="131" l="1"/>
  <c r="AE138" i="131" l="1"/>
  <c r="AE137" i="131"/>
  <c r="AE152" i="131"/>
  <c r="AE146" i="131"/>
  <c r="AI27" i="131" l="1"/>
  <c r="AI25" i="131"/>
  <c r="AI160" i="131"/>
  <c r="AJ162" i="131" s="1"/>
  <c r="AJ156" i="131"/>
  <c r="AM24" i="131" l="1"/>
  <c r="AI13" i="131"/>
  <c r="AI7" i="128" s="1"/>
  <c r="AI94" i="128" s="1"/>
  <c r="AI161" i="131"/>
  <c r="AI162" i="131"/>
  <c r="AI18" i="131"/>
  <c r="AI8" i="128" s="1"/>
  <c r="AI95" i="128" s="1"/>
  <c r="AI144" i="131"/>
  <c r="AI143" i="131"/>
  <c r="AM137" i="131"/>
  <c r="AE136" i="131"/>
  <c r="AQ25" i="131" l="1"/>
  <c r="AQ26" i="131"/>
  <c r="AM26" i="131"/>
  <c r="AM158" i="131"/>
  <c r="AM113" i="131"/>
  <c r="AU135" i="131"/>
  <c r="BK24" i="131"/>
  <c r="AK24" i="131"/>
  <c r="AI19" i="131"/>
  <c r="AI20" i="131"/>
  <c r="AI14" i="131"/>
  <c r="AI15" i="131"/>
  <c r="AI6" i="131"/>
  <c r="AM25" i="131"/>
  <c r="AM27" i="131"/>
  <c r="BK135" i="131"/>
  <c r="AI10" i="131" l="1"/>
  <c r="AI157" i="131"/>
  <c r="AI8" i="131"/>
  <c r="AI200" i="131"/>
  <c r="AI169" i="131"/>
  <c r="AI174" i="131"/>
  <c r="AY135" i="131"/>
  <c r="AY137" i="131" s="1"/>
  <c r="AU137" i="131"/>
  <c r="AU24" i="131"/>
  <c r="AI181" i="131"/>
  <c r="AI138" i="131"/>
  <c r="AI151" i="131"/>
  <c r="AI205" i="131"/>
  <c r="AI210" i="131"/>
  <c r="AG160" i="131"/>
  <c r="AI38" i="131"/>
  <c r="AI188" i="131"/>
  <c r="AI9" i="131"/>
  <c r="AI215" i="131"/>
  <c r="AI7" i="131"/>
  <c r="AI391" i="131"/>
  <c r="AI221" i="131"/>
  <c r="AI194" i="131"/>
  <c r="AI9" i="128"/>
  <c r="AI28" i="131"/>
  <c r="AI163" i="131"/>
  <c r="AI145" i="131"/>
  <c r="AI107" i="128"/>
  <c r="BL135" i="131"/>
  <c r="AG144" i="131"/>
  <c r="AG143" i="131"/>
  <c r="BK136" i="131"/>
  <c r="AI16" i="131"/>
  <c r="AI108" i="128"/>
  <c r="BK148" i="131"/>
  <c r="AI21" i="131"/>
  <c r="AF143" i="131"/>
  <c r="AF144" i="131"/>
  <c r="BK142" i="131"/>
  <c r="AF25" i="131"/>
  <c r="AF27" i="131"/>
  <c r="AF160" i="131"/>
  <c r="AJ161" i="131" s="1"/>
  <c r="AF154" i="131"/>
  <c r="AJ155" i="131" s="1"/>
  <c r="AG27" i="131"/>
  <c r="AH27" i="131"/>
  <c r="AG25" i="131"/>
  <c r="AG154" i="131"/>
  <c r="AY24" i="131" l="1"/>
  <c r="AU25" i="131"/>
  <c r="AI64" i="129"/>
  <c r="AI80" i="130" s="1"/>
  <c r="AI98" i="128"/>
  <c r="AI82" i="128"/>
  <c r="AI97" i="128"/>
  <c r="AI99" i="128"/>
  <c r="AI69" i="128"/>
  <c r="AR135" i="131"/>
  <c r="AS135" i="131"/>
  <c r="BL24" i="131"/>
  <c r="BK143" i="131"/>
  <c r="BK146" i="131"/>
  <c r="AG162" i="131"/>
  <c r="AH162" i="131"/>
  <c r="AG161" i="131"/>
  <c r="AG18" i="131"/>
  <c r="AH20" i="131" s="1"/>
  <c r="BM135" i="131"/>
  <c r="AI15" i="128"/>
  <c r="AJ144" i="131"/>
  <c r="AJ143" i="131"/>
  <c r="BL142" i="131"/>
  <c r="BL371" i="131" s="1"/>
  <c r="AF162" i="131"/>
  <c r="AF161" i="131"/>
  <c r="BK160" i="131"/>
  <c r="AF18" i="131"/>
  <c r="BL148" i="131"/>
  <c r="AK143" i="131"/>
  <c r="AK144" i="131"/>
  <c r="AG156" i="131"/>
  <c r="AH156" i="131"/>
  <c r="AG155" i="131"/>
  <c r="AG13" i="131"/>
  <c r="AH15" i="131" s="1"/>
  <c r="AJ27" i="131"/>
  <c r="AJ25" i="131"/>
  <c r="BL136" i="131"/>
  <c r="AL27" i="131"/>
  <c r="AK160" i="131"/>
  <c r="AK27" i="131"/>
  <c r="AK25" i="131"/>
  <c r="AK154" i="131"/>
  <c r="AF156" i="131"/>
  <c r="AF155" i="131"/>
  <c r="BK154" i="131"/>
  <c r="AF13" i="131"/>
  <c r="BK25" i="131"/>
  <c r="BK152" i="131"/>
  <c r="BK149" i="131"/>
  <c r="AI109" i="128"/>
  <c r="AI116" i="128" s="1"/>
  <c r="AY25" i="131" l="1"/>
  <c r="AW135" i="131"/>
  <c r="AT137" i="131"/>
  <c r="AR137" i="131"/>
  <c r="AV135" i="131"/>
  <c r="AI65" i="129"/>
  <c r="AI81" i="130" s="1"/>
  <c r="AI83" i="128"/>
  <c r="AI70" i="128"/>
  <c r="AI82" i="129"/>
  <c r="AI70" i="129"/>
  <c r="AI74" i="129"/>
  <c r="AI73" i="129"/>
  <c r="AI79" i="129"/>
  <c r="AI76" i="129"/>
  <c r="AI75" i="129"/>
  <c r="AI81" i="129"/>
  <c r="AI78" i="129"/>
  <c r="AI80" i="129"/>
  <c r="AI94" i="130"/>
  <c r="AI87" i="130"/>
  <c r="AI90" i="130"/>
  <c r="AI88" i="130"/>
  <c r="AI125" i="128"/>
  <c r="AI16" i="128"/>
  <c r="AI24" i="128" s="1"/>
  <c r="AI59" i="128" s="1"/>
  <c r="BN135" i="131"/>
  <c r="BN136" i="131" s="1"/>
  <c r="AS137" i="131"/>
  <c r="BK164" i="131"/>
  <c r="BK161" i="131"/>
  <c r="BL146" i="131"/>
  <c r="BL143" i="131"/>
  <c r="AK161" i="131"/>
  <c r="AL162" i="131"/>
  <c r="AK162" i="131"/>
  <c r="AK18" i="131"/>
  <c r="AI34" i="129"/>
  <c r="BK158" i="131"/>
  <c r="BK155" i="131"/>
  <c r="BL152" i="131"/>
  <c r="BL149" i="131"/>
  <c r="AG8" i="128"/>
  <c r="AG95" i="128" s="1"/>
  <c r="AG20" i="131"/>
  <c r="AG19" i="131"/>
  <c r="AF20" i="131"/>
  <c r="AF19" i="131"/>
  <c r="AF8" i="128"/>
  <c r="AF95" i="128" s="1"/>
  <c r="BK18" i="131"/>
  <c r="AK156" i="131"/>
  <c r="AL156" i="131"/>
  <c r="AK155" i="131"/>
  <c r="AK13" i="131"/>
  <c r="BL154" i="131"/>
  <c r="AG14" i="131"/>
  <c r="AG15" i="131"/>
  <c r="AG7" i="128"/>
  <c r="AG94" i="128" s="1"/>
  <c r="AG6" i="131"/>
  <c r="BL160" i="131"/>
  <c r="BM136" i="131"/>
  <c r="AF15" i="131"/>
  <c r="AF14" i="131"/>
  <c r="BK13" i="131"/>
  <c r="AF7" i="128"/>
  <c r="AF94" i="128" s="1"/>
  <c r="AF6" i="131"/>
  <c r="AF10" i="131" s="1"/>
  <c r="BL25" i="131"/>
  <c r="AG10" i="131" l="1"/>
  <c r="AH10" i="131"/>
  <c r="AG8" i="131"/>
  <c r="AF8" i="131"/>
  <c r="AG200" i="131"/>
  <c r="AF200" i="131"/>
  <c r="AG174" i="131"/>
  <c r="AF169" i="131"/>
  <c r="AF174" i="131"/>
  <c r="AG151" i="131"/>
  <c r="AG169" i="131"/>
  <c r="AM167" i="131"/>
  <c r="AM168" i="131"/>
  <c r="BO135" i="131"/>
  <c r="BO136" i="131" s="1"/>
  <c r="AZ135" i="131"/>
  <c r="BA135" i="131"/>
  <c r="AX137" i="131"/>
  <c r="AK8" i="128"/>
  <c r="AK95" i="128" s="1"/>
  <c r="AL20" i="131"/>
  <c r="AK7" i="128"/>
  <c r="AK94" i="128" s="1"/>
  <c r="AL15" i="131"/>
  <c r="AV137" i="131"/>
  <c r="AW137" i="131"/>
  <c r="AJ6" i="131"/>
  <c r="AJ10" i="131" s="1"/>
  <c r="AI84" i="128"/>
  <c r="AI96" i="128"/>
  <c r="AI71" i="128"/>
  <c r="AI75" i="128"/>
  <c r="AI88" i="128"/>
  <c r="AI100" i="128"/>
  <c r="AI129" i="128"/>
  <c r="AI58" i="128"/>
  <c r="AG210" i="131"/>
  <c r="AG205" i="131"/>
  <c r="AG9" i="128"/>
  <c r="AG138" i="131"/>
  <c r="AF210" i="131"/>
  <c r="BK6" i="131"/>
  <c r="AF205" i="131"/>
  <c r="AF151" i="131"/>
  <c r="AF138" i="131"/>
  <c r="AG21" i="131"/>
  <c r="AG7" i="131"/>
  <c r="AG16" i="131"/>
  <c r="AF181" i="131"/>
  <c r="AF221" i="131"/>
  <c r="AF188" i="131"/>
  <c r="AF194" i="131"/>
  <c r="AF215" i="131"/>
  <c r="AF391" i="131"/>
  <c r="AF7" i="131"/>
  <c r="AF9" i="131"/>
  <c r="AF9" i="128"/>
  <c r="AF28" i="131"/>
  <c r="AF145" i="131"/>
  <c r="AF163" i="131"/>
  <c r="AF157" i="131"/>
  <c r="BK7" i="128"/>
  <c r="AF107" i="128"/>
  <c r="AK15" i="131"/>
  <c r="AK14" i="131"/>
  <c r="AK6" i="131"/>
  <c r="BK19" i="131"/>
  <c r="BK14" i="131"/>
  <c r="BK8" i="128"/>
  <c r="AF108" i="128"/>
  <c r="AG108" i="128"/>
  <c r="AF16" i="131"/>
  <c r="BL161" i="131"/>
  <c r="BL164" i="131"/>
  <c r="AG391" i="131"/>
  <c r="AG188" i="131"/>
  <c r="AG194" i="131"/>
  <c r="AG38" i="131"/>
  <c r="AG221" i="131"/>
  <c r="AG9" i="131"/>
  <c r="AG181" i="131"/>
  <c r="AG215" i="131"/>
  <c r="AH9" i="131"/>
  <c r="AG145" i="131"/>
  <c r="AG28" i="131"/>
  <c r="AG157" i="131"/>
  <c r="AG163" i="131"/>
  <c r="BL155" i="131"/>
  <c r="BL158" i="131"/>
  <c r="AJ20" i="131"/>
  <c r="AJ19" i="131"/>
  <c r="BL18" i="131"/>
  <c r="AG107" i="128"/>
  <c r="AJ15" i="131"/>
  <c r="AJ14" i="131"/>
  <c r="BL13" i="131"/>
  <c r="AF21" i="131"/>
  <c r="AI33" i="129"/>
  <c r="AI35" i="129" s="1"/>
  <c r="AI42" i="129" s="1"/>
  <c r="AK19" i="131"/>
  <c r="AK20" i="131"/>
  <c r="BK8" i="131" l="1"/>
  <c r="AK10" i="131"/>
  <c r="AL10" i="131"/>
  <c r="AK8" i="131"/>
  <c r="AJ8" i="131"/>
  <c r="AK200" i="131"/>
  <c r="AJ200" i="131"/>
  <c r="BK200" i="131"/>
  <c r="AK174" i="131"/>
  <c r="BK174" i="131"/>
  <c r="AJ181" i="131"/>
  <c r="AJ174" i="131"/>
  <c r="AJ168" i="131"/>
  <c r="AJ167" i="131"/>
  <c r="AJ169" i="131"/>
  <c r="BK169" i="131"/>
  <c r="AI30" i="128"/>
  <c r="BP135" i="131"/>
  <c r="BP136" i="131" s="1"/>
  <c r="BA137" i="131"/>
  <c r="AZ137" i="131"/>
  <c r="AG64" i="129"/>
  <c r="AG81" i="129" s="1"/>
  <c r="AJ9" i="128"/>
  <c r="AJ151" i="131"/>
  <c r="AK210" i="131"/>
  <c r="AK205" i="131"/>
  <c r="AK151" i="131"/>
  <c r="AK138" i="131"/>
  <c r="AK21" i="131"/>
  <c r="BL6" i="131"/>
  <c r="AI67" i="129"/>
  <c r="AI83" i="130" s="1"/>
  <c r="AF64" i="129"/>
  <c r="AJ210" i="131"/>
  <c r="AJ163" i="131"/>
  <c r="AJ157" i="131"/>
  <c r="AJ205" i="131"/>
  <c r="AJ138" i="131"/>
  <c r="AI132" i="128"/>
  <c r="AI131" i="128"/>
  <c r="AI89" i="128"/>
  <c r="AI101" i="128"/>
  <c r="AI76" i="128"/>
  <c r="BK16" i="131"/>
  <c r="AG99" i="128"/>
  <c r="AG98" i="128"/>
  <c r="AG97" i="128"/>
  <c r="AJ21" i="131"/>
  <c r="AF98" i="128"/>
  <c r="AF99" i="128"/>
  <c r="AF97" i="128"/>
  <c r="AF16" i="128"/>
  <c r="AF100" i="128"/>
  <c r="BK108" i="128"/>
  <c r="AJ16" i="131"/>
  <c r="AN14" i="131"/>
  <c r="BK13" i="128"/>
  <c r="BK94" i="128" s="1"/>
  <c r="AM65" i="129"/>
  <c r="AM81" i="130" s="1"/>
  <c r="AM83" i="128"/>
  <c r="AM70" i="128"/>
  <c r="BL14" i="131"/>
  <c r="AK215" i="131"/>
  <c r="AK188" i="131"/>
  <c r="AK9" i="131"/>
  <c r="AK7" i="131"/>
  <c r="AK181" i="131"/>
  <c r="AK194" i="131"/>
  <c r="AL9" i="131"/>
  <c r="AK221" i="131"/>
  <c r="AK38" i="131"/>
  <c r="AK391" i="131"/>
  <c r="AK9" i="128"/>
  <c r="AK145" i="131"/>
  <c r="AK28" i="131"/>
  <c r="AK157" i="131"/>
  <c r="AK163" i="131"/>
  <c r="AJ221" i="131"/>
  <c r="AJ215" i="131"/>
  <c r="AJ7" i="131"/>
  <c r="AJ194" i="131"/>
  <c r="AJ391" i="131"/>
  <c r="AJ188" i="131"/>
  <c r="AJ38" i="131"/>
  <c r="AJ9" i="131"/>
  <c r="AJ145" i="131"/>
  <c r="AJ28" i="131"/>
  <c r="AM34" i="129"/>
  <c r="BK14" i="128"/>
  <c r="BK95" i="128" s="1"/>
  <c r="AK107" i="128"/>
  <c r="AH82" i="128"/>
  <c r="AG69" i="128"/>
  <c r="AG109" i="128"/>
  <c r="AG116" i="128" s="1"/>
  <c r="AG125" i="128" s="1"/>
  <c r="AG129" i="128" s="1"/>
  <c r="AG82" i="128"/>
  <c r="AG15" i="128"/>
  <c r="BL19" i="131"/>
  <c r="AM87" i="128"/>
  <c r="AM74" i="128"/>
  <c r="AK16" i="131"/>
  <c r="AM86" i="128"/>
  <c r="AM66" i="129"/>
  <c r="AM82" i="130" s="1"/>
  <c r="AM73" i="128"/>
  <c r="BK107" i="128"/>
  <c r="BK221" i="131"/>
  <c r="BK194" i="131"/>
  <c r="BK205" i="131"/>
  <c r="BK181" i="131"/>
  <c r="BK391" i="131"/>
  <c r="BK210" i="131"/>
  <c r="BK7" i="131"/>
  <c r="BK215" i="131"/>
  <c r="BK188" i="131"/>
  <c r="BK138" i="131"/>
  <c r="BK145" i="131"/>
  <c r="BK28" i="131"/>
  <c r="BK151" i="131"/>
  <c r="BK163" i="131"/>
  <c r="BK157" i="131"/>
  <c r="AM85" i="128"/>
  <c r="AM23" i="128"/>
  <c r="AQ75" i="128" s="1"/>
  <c r="AM72" i="128"/>
  <c r="AJ107" i="128"/>
  <c r="BL7" i="128"/>
  <c r="AJ108" i="128"/>
  <c r="BL8" i="128"/>
  <c r="AK108" i="128"/>
  <c r="BK21" i="131"/>
  <c r="AF69" i="128"/>
  <c r="AF82" i="128"/>
  <c r="AF109" i="128"/>
  <c r="AF116" i="128" s="1"/>
  <c r="BK9" i="128"/>
  <c r="AI26" i="128"/>
  <c r="BL8" i="131" l="1"/>
  <c r="BL200" i="131"/>
  <c r="BL174" i="131"/>
  <c r="AK167" i="131"/>
  <c r="AK168" i="131"/>
  <c r="AK169" i="131"/>
  <c r="AO167" i="131"/>
  <c r="AL168" i="131"/>
  <c r="BL166" i="131"/>
  <c r="AN88" i="128"/>
  <c r="AJ100" i="128"/>
  <c r="AI33" i="128"/>
  <c r="AI32" i="128"/>
  <c r="AI91" i="130"/>
  <c r="AG80" i="130"/>
  <c r="AG94" i="130" s="1"/>
  <c r="AG76" i="129"/>
  <c r="AG70" i="129"/>
  <c r="AK70" i="128"/>
  <c r="AG65" i="129"/>
  <c r="AG81" i="130" s="1"/>
  <c r="AG82" i="129"/>
  <c r="AG73" i="129"/>
  <c r="AG80" i="129"/>
  <c r="AK69" i="128"/>
  <c r="AG78" i="129"/>
  <c r="AG75" i="129"/>
  <c r="AG79" i="129"/>
  <c r="AG74" i="129"/>
  <c r="AJ64" i="129"/>
  <c r="AJ78" i="129" s="1"/>
  <c r="AJ16" i="128"/>
  <c r="AJ24" i="128" s="1"/>
  <c r="AJ59" i="128" s="1"/>
  <c r="AJ97" i="128"/>
  <c r="AJ98" i="128"/>
  <c r="AJ99" i="128"/>
  <c r="AK82" i="128"/>
  <c r="AK64" i="129"/>
  <c r="AK99" i="128"/>
  <c r="AK98" i="128"/>
  <c r="AK97" i="128"/>
  <c r="AK100" i="128"/>
  <c r="AK16" i="128"/>
  <c r="AK24" i="128" s="1"/>
  <c r="AK73" i="130"/>
  <c r="AF78" i="129"/>
  <c r="AF79" i="129"/>
  <c r="AF73" i="129"/>
  <c r="AF70" i="129"/>
  <c r="AF80" i="129"/>
  <c r="AF82" i="129"/>
  <c r="AF76" i="129"/>
  <c r="AF74" i="129"/>
  <c r="AF81" i="129"/>
  <c r="AF75" i="129"/>
  <c r="AF80" i="130"/>
  <c r="AF87" i="130" s="1"/>
  <c r="AJ69" i="128"/>
  <c r="AI135" i="128"/>
  <c r="BL16" i="131"/>
  <c r="AG132" i="128"/>
  <c r="AG135" i="128" s="1"/>
  <c r="AG131" i="128"/>
  <c r="AG16" i="128"/>
  <c r="AF96" i="128"/>
  <c r="AF58" i="128"/>
  <c r="AF125" i="128"/>
  <c r="BK116" i="128"/>
  <c r="BK69" i="128"/>
  <c r="BK109" i="128"/>
  <c r="BL21" i="131"/>
  <c r="AF71" i="128"/>
  <c r="BL13" i="128"/>
  <c r="BL94" i="128" s="1"/>
  <c r="AN107" i="128"/>
  <c r="AG70" i="128"/>
  <c r="AH83" i="128"/>
  <c r="AG83" i="128"/>
  <c r="BK22" i="129"/>
  <c r="BK41" i="129"/>
  <c r="AH86" i="128"/>
  <c r="AG86" i="128"/>
  <c r="AG73" i="128"/>
  <c r="AL82" i="128"/>
  <c r="AK109" i="128"/>
  <c r="AK116" i="128" s="1"/>
  <c r="AK125" i="128" s="1"/>
  <c r="AK129" i="128" s="1"/>
  <c r="AF34" i="129"/>
  <c r="AF74" i="128"/>
  <c r="AF87" i="128"/>
  <c r="BK22" i="128"/>
  <c r="BL108" i="128"/>
  <c r="AH85" i="128"/>
  <c r="AG85" i="128"/>
  <c r="AG23" i="128"/>
  <c r="AG72" i="128"/>
  <c r="AM33" i="129"/>
  <c r="AM35" i="129" s="1"/>
  <c r="AM42" i="129" s="1"/>
  <c r="AF70" i="128"/>
  <c r="BK15" i="128"/>
  <c r="AF83" i="128"/>
  <c r="AF86" i="128"/>
  <c r="AF73" i="128"/>
  <c r="BK21" i="128"/>
  <c r="AJ82" i="128"/>
  <c r="AJ109" i="128"/>
  <c r="AJ116" i="128" s="1"/>
  <c r="BL9" i="128"/>
  <c r="AF72" i="128"/>
  <c r="AF85" i="128"/>
  <c r="BK20" i="128"/>
  <c r="AF24" i="128"/>
  <c r="AF59" i="128" s="1"/>
  <c r="BL107" i="128"/>
  <c r="AM88" i="128"/>
  <c r="AM75" i="128"/>
  <c r="BL14" i="128"/>
  <c r="BL95" i="128" s="1"/>
  <c r="AG74" i="128"/>
  <c r="AG87" i="128"/>
  <c r="AH87" i="128"/>
  <c r="BL7" i="131"/>
  <c r="BL181" i="131"/>
  <c r="BL38" i="131"/>
  <c r="BL221" i="131"/>
  <c r="BL210" i="131"/>
  <c r="BL205" i="131"/>
  <c r="BL188" i="131"/>
  <c r="BL391" i="131"/>
  <c r="BL194" i="131"/>
  <c r="BL215" i="131"/>
  <c r="BL138" i="131"/>
  <c r="BL28" i="131"/>
  <c r="BL151" i="131"/>
  <c r="BL145" i="131"/>
  <c r="BL157" i="131"/>
  <c r="BL163" i="131"/>
  <c r="AY97" i="128" l="1"/>
  <c r="AI68" i="129"/>
  <c r="AI61" i="128"/>
  <c r="BL167" i="131"/>
  <c r="BL169" i="131"/>
  <c r="AN168" i="131"/>
  <c r="AN167" i="131"/>
  <c r="AO168" i="131"/>
  <c r="BM166" i="131"/>
  <c r="AJ96" i="128"/>
  <c r="AJ58" i="128"/>
  <c r="AJ74" i="129"/>
  <c r="AG88" i="130"/>
  <c r="AJ76" i="129"/>
  <c r="AG90" i="130"/>
  <c r="AJ79" i="129"/>
  <c r="AG87" i="130"/>
  <c r="AJ70" i="129"/>
  <c r="AJ75" i="129"/>
  <c r="AJ81" i="129"/>
  <c r="AJ73" i="129"/>
  <c r="AJ82" i="129"/>
  <c r="AJ80" i="129"/>
  <c r="AF90" i="130"/>
  <c r="AG100" i="128"/>
  <c r="AK75" i="128"/>
  <c r="AF94" i="130"/>
  <c r="AK132" i="128"/>
  <c r="AK135" i="128" s="1"/>
  <c r="AK131" i="128"/>
  <c r="AK71" i="128"/>
  <c r="AK78" i="129"/>
  <c r="AK70" i="129"/>
  <c r="AK79" i="129"/>
  <c r="AK75" i="129"/>
  <c r="AK82" i="129"/>
  <c r="AK76" i="129"/>
  <c r="AK73" i="129"/>
  <c r="AK80" i="129"/>
  <c r="AK74" i="129"/>
  <c r="AK81" i="129"/>
  <c r="AK84" i="128"/>
  <c r="AK96" i="128"/>
  <c r="AK59" i="128"/>
  <c r="AK58" i="128"/>
  <c r="AF88" i="130"/>
  <c r="AF67" i="129"/>
  <c r="AF83" i="130" s="1"/>
  <c r="AJ125" i="128"/>
  <c r="BL116" i="128"/>
  <c r="AJ72" i="128"/>
  <c r="AJ70" i="128"/>
  <c r="AJ74" i="128"/>
  <c r="AJ73" i="128"/>
  <c r="AI137" i="128"/>
  <c r="AI138" i="128"/>
  <c r="AG96" i="128"/>
  <c r="AG138" i="128"/>
  <c r="AG137" i="128"/>
  <c r="AG24" i="128"/>
  <c r="AG59" i="128" s="1"/>
  <c r="AG58" i="128"/>
  <c r="BK58" i="128" s="1"/>
  <c r="AH84" i="128"/>
  <c r="AG84" i="128"/>
  <c r="BK16" i="128"/>
  <c r="AG71" i="128"/>
  <c r="BK125" i="128"/>
  <c r="AF129" i="128"/>
  <c r="AF101" i="128"/>
  <c r="AF30" i="128"/>
  <c r="BK70" i="128"/>
  <c r="AF84" i="128"/>
  <c r="BL69" i="128"/>
  <c r="BL109" i="128"/>
  <c r="AF89" i="128"/>
  <c r="AF76" i="128"/>
  <c r="BK97" i="128"/>
  <c r="BK72" i="128"/>
  <c r="AF33" i="129"/>
  <c r="AF35" i="129" s="1"/>
  <c r="AF42" i="129" s="1"/>
  <c r="AL86" i="128"/>
  <c r="AK82" i="130"/>
  <c r="AL87" i="128"/>
  <c r="AG34" i="129"/>
  <c r="BK34" i="129" s="1"/>
  <c r="BK14" i="129"/>
  <c r="AJ34" i="129"/>
  <c r="AJ80" i="130"/>
  <c r="AJ75" i="128"/>
  <c r="AJ85" i="128"/>
  <c r="BL20" i="128"/>
  <c r="BK27" i="129"/>
  <c r="AG33" i="129"/>
  <c r="AJ83" i="128"/>
  <c r="AJ81" i="130"/>
  <c r="BL15" i="128"/>
  <c r="BL70" i="128" s="1"/>
  <c r="AL85" i="128"/>
  <c r="AJ87" i="128"/>
  <c r="BL22" i="128"/>
  <c r="BK8" i="129"/>
  <c r="BK32" i="129"/>
  <c r="BK10" i="129"/>
  <c r="BK73" i="128"/>
  <c r="BK98" i="128"/>
  <c r="BL41" i="129"/>
  <c r="BL22" i="129"/>
  <c r="AK80" i="130"/>
  <c r="BK21" i="130"/>
  <c r="BK9" i="129"/>
  <c r="BK28" i="129"/>
  <c r="BK24" i="130"/>
  <c r="AF88" i="128"/>
  <c r="AF75" i="128"/>
  <c r="BK23" i="128"/>
  <c r="AJ86" i="128"/>
  <c r="AJ82" i="130"/>
  <c r="BL21" i="128"/>
  <c r="AK81" i="130"/>
  <c r="AL83" i="128"/>
  <c r="AH88" i="128"/>
  <c r="AG75" i="128"/>
  <c r="AG88" i="128"/>
  <c r="BK99" i="128"/>
  <c r="BK74" i="128"/>
  <c r="BK25" i="130"/>
  <c r="BK29" i="129"/>
  <c r="BM167" i="131" l="1"/>
  <c r="AJ90" i="130"/>
  <c r="AJ94" i="130"/>
  <c r="AJ88" i="130"/>
  <c r="AJ87" i="130"/>
  <c r="AK90" i="130"/>
  <c r="AK87" i="130"/>
  <c r="AK88" i="130"/>
  <c r="AK94" i="130"/>
  <c r="AJ30" i="128"/>
  <c r="AJ101" i="128"/>
  <c r="AJ67" i="129"/>
  <c r="AG67" i="129"/>
  <c r="AG83" i="130" s="1"/>
  <c r="AK76" i="128"/>
  <c r="AK89" i="128"/>
  <c r="AK67" i="129"/>
  <c r="AK101" i="128"/>
  <c r="AK30" i="128"/>
  <c r="AK138" i="128"/>
  <c r="AK137" i="128"/>
  <c r="AF91" i="130"/>
  <c r="AJ129" i="128"/>
  <c r="BL125" i="128"/>
  <c r="AJ84" i="128"/>
  <c r="AG101" i="128"/>
  <c r="AG30" i="128"/>
  <c r="BK96" i="128"/>
  <c r="AG26" i="128"/>
  <c r="AG89" i="128"/>
  <c r="BK59" i="128"/>
  <c r="BK71" i="128"/>
  <c r="BK24" i="128"/>
  <c r="AG76" i="128"/>
  <c r="AH89" i="128"/>
  <c r="AF32" i="128"/>
  <c r="AF33" i="128"/>
  <c r="AF61" i="128" s="1"/>
  <c r="AF132" i="128"/>
  <c r="AF131" i="128"/>
  <c r="BK129" i="128"/>
  <c r="BK131" i="128" s="1"/>
  <c r="AJ71" i="128"/>
  <c r="BK28" i="130"/>
  <c r="BK7" i="130"/>
  <c r="BK22" i="130"/>
  <c r="BL29" i="129"/>
  <c r="AJ33" i="129"/>
  <c r="AJ35" i="129" s="1"/>
  <c r="AJ42" i="129" s="1"/>
  <c r="AL84" i="128"/>
  <c r="AK26" i="128"/>
  <c r="BK20" i="130"/>
  <c r="AF19" i="130"/>
  <c r="AJ26" i="128"/>
  <c r="BL73" i="128"/>
  <c r="BL98" i="128"/>
  <c r="BL32" i="129"/>
  <c r="BL16" i="128"/>
  <c r="BL99" i="128"/>
  <c r="BL74" i="128"/>
  <c r="AN65" i="129"/>
  <c r="AN81" i="130" s="1"/>
  <c r="BK23" i="130"/>
  <c r="AF26" i="128"/>
  <c r="AN66" i="129"/>
  <c r="AN82" i="130" s="1"/>
  <c r="BL8" i="129"/>
  <c r="BL14" i="129"/>
  <c r="AK34" i="129"/>
  <c r="BL34" i="129" s="1"/>
  <c r="BK36" i="130"/>
  <c r="AF42" i="130"/>
  <c r="BK42" i="130" s="1"/>
  <c r="AJ88" i="128"/>
  <c r="BL23" i="128"/>
  <c r="AL88" i="128"/>
  <c r="BL28" i="129"/>
  <c r="BL72" i="128"/>
  <c r="BL97" i="128"/>
  <c r="BK75" i="128"/>
  <c r="BK100" i="128"/>
  <c r="BL27" i="129"/>
  <c r="AK33" i="129"/>
  <c r="BL10" i="129"/>
  <c r="AH19" i="130"/>
  <c r="BL19" i="130" s="1"/>
  <c r="AG35" i="129"/>
  <c r="BK33" i="129"/>
  <c r="BM41" i="129"/>
  <c r="BM22" i="129"/>
  <c r="AK91" i="130" l="1"/>
  <c r="AJ91" i="130"/>
  <c r="AJ33" i="128"/>
  <c r="AJ61" i="128" s="1"/>
  <c r="AJ32" i="128"/>
  <c r="AK33" i="128"/>
  <c r="AK61" i="128" s="1"/>
  <c r="AK32" i="128"/>
  <c r="AF68" i="129"/>
  <c r="AF84" i="130" s="1"/>
  <c r="AJ132" i="128"/>
  <c r="AJ131" i="128"/>
  <c r="BL129" i="128"/>
  <c r="BL131" i="128" s="1"/>
  <c r="AJ76" i="128"/>
  <c r="BK26" i="128"/>
  <c r="BK27" i="128"/>
  <c r="BK76" i="128"/>
  <c r="AG91" i="130"/>
  <c r="BK30" i="128"/>
  <c r="AG33" i="128"/>
  <c r="AG61" i="128" s="1"/>
  <c r="AG32" i="128"/>
  <c r="BK101" i="128"/>
  <c r="AS42" i="130"/>
  <c r="AF135" i="128"/>
  <c r="BK132" i="128"/>
  <c r="AF102" i="128"/>
  <c r="BL58" i="128"/>
  <c r="BL24" i="128"/>
  <c r="AJ83" i="130"/>
  <c r="AJ89" i="128"/>
  <c r="BL42" i="130"/>
  <c r="BL36" i="130"/>
  <c r="BM32" i="129"/>
  <c r="BL33" i="129"/>
  <c r="AK35" i="129"/>
  <c r="BL100" i="128"/>
  <c r="BL75" i="128"/>
  <c r="BK19" i="130"/>
  <c r="BK18" i="129"/>
  <c r="AG42" i="129"/>
  <c r="BK42" i="129" s="1"/>
  <c r="BK35" i="129"/>
  <c r="AF77" i="128"/>
  <c r="BL7" i="130"/>
  <c r="BL71" i="128"/>
  <c r="BL96" i="128"/>
  <c r="AK83" i="130"/>
  <c r="AL89" i="128"/>
  <c r="AJ102" i="128" l="1"/>
  <c r="AJ68" i="129"/>
  <c r="BL76" i="128"/>
  <c r="AG68" i="129"/>
  <c r="AK77" i="128"/>
  <c r="AK68" i="129"/>
  <c r="AK102" i="128"/>
  <c r="AK90" i="128"/>
  <c r="AJ135" i="128"/>
  <c r="BL132" i="128"/>
  <c r="BM28" i="130"/>
  <c r="AG102" i="128"/>
  <c r="AS28" i="130"/>
  <c r="AR28" i="130"/>
  <c r="AR42" i="130"/>
  <c r="AG62" i="128"/>
  <c r="BK31" i="128"/>
  <c r="BK138" i="128"/>
  <c r="BK137" i="128"/>
  <c r="AF137" i="128"/>
  <c r="AF138" i="128"/>
  <c r="AF35" i="128"/>
  <c r="AG90" i="128"/>
  <c r="BK33" i="128"/>
  <c r="AF90" i="128"/>
  <c r="BL101" i="128"/>
  <c r="BL59" i="128"/>
  <c r="BL26" i="128"/>
  <c r="BL18" i="129"/>
  <c r="BL30" i="128"/>
  <c r="BM42" i="130"/>
  <c r="AK42" i="129"/>
  <c r="BL42" i="129" s="1"/>
  <c r="BL35" i="129"/>
  <c r="BN42" i="130" l="1"/>
  <c r="BL137" i="128"/>
  <c r="BL138" i="128"/>
  <c r="AJ138" i="128"/>
  <c r="AJ137" i="128"/>
  <c r="AH84" i="130"/>
  <c r="BN28" i="130"/>
  <c r="AF78" i="128"/>
  <c r="BK32" i="128"/>
  <c r="AG77" i="128"/>
  <c r="AG35" i="128"/>
  <c r="BK35" i="128" s="1"/>
  <c r="AG84" i="130"/>
  <c r="AG29" i="130"/>
  <c r="AG68" i="130" s="1"/>
  <c r="AF91" i="128"/>
  <c r="BK77" i="128"/>
  <c r="AI84" i="130"/>
  <c r="AF62" i="128"/>
  <c r="BK62" i="128" s="1"/>
  <c r="BK102" i="128"/>
  <c r="BK61" i="128"/>
  <c r="BL9" i="129"/>
  <c r="AF29" i="130"/>
  <c r="AK70" i="130" l="1"/>
  <c r="AG84" i="129"/>
  <c r="AL33" i="128"/>
  <c r="AI90" i="128"/>
  <c r="AI102" i="128"/>
  <c r="AI77" i="128"/>
  <c r="AH90" i="128"/>
  <c r="AG91" i="128"/>
  <c r="AG78" i="128"/>
  <c r="BK6" i="130"/>
  <c r="AG59" i="130"/>
  <c r="AK84" i="130"/>
  <c r="BL33" i="128"/>
  <c r="BL77" i="128" s="1"/>
  <c r="BL31" i="128"/>
  <c r="BL32" i="128" s="1"/>
  <c r="AJ77" i="128"/>
  <c r="AJ90" i="128"/>
  <c r="AJ84" i="130"/>
  <c r="AL19" i="130"/>
  <c r="BK29" i="130"/>
  <c r="AF68" i="130"/>
  <c r="AF84" i="129" s="1"/>
  <c r="AF59" i="130"/>
  <c r="AF51" i="129"/>
  <c r="AG70" i="130"/>
  <c r="AG72" i="130"/>
  <c r="AG73" i="130"/>
  <c r="AL61" i="128" l="1"/>
  <c r="AL6" i="130" s="1"/>
  <c r="AM6" i="130" s="1"/>
  <c r="AM29" i="130" s="1"/>
  <c r="AP77" i="128"/>
  <c r="AL102" i="128"/>
  <c r="AL68" i="129"/>
  <c r="AL84" i="130" s="1"/>
  <c r="AL90" i="128"/>
  <c r="AL77" i="128"/>
  <c r="AL35" i="128"/>
  <c r="AJ35" i="128"/>
  <c r="AH6" i="130"/>
  <c r="BK78" i="128"/>
  <c r="BK38" i="128"/>
  <c r="BL102" i="128"/>
  <c r="BL61" i="128"/>
  <c r="AF71" i="130"/>
  <c r="AF70" i="130"/>
  <c r="AF73" i="130"/>
  <c r="AF72" i="130"/>
  <c r="BK72" i="130" s="1"/>
  <c r="BK68" i="130"/>
  <c r="BK59" i="130"/>
  <c r="AF62" i="130"/>
  <c r="AG71" i="130"/>
  <c r="AP78" i="128" l="1"/>
  <c r="AP38" i="128"/>
  <c r="AJ38" i="128"/>
  <c r="AI6" i="130"/>
  <c r="AI29" i="130" s="1"/>
  <c r="AH29" i="130"/>
  <c r="AH59" i="130" s="1"/>
  <c r="AL29" i="130"/>
  <c r="AL59" i="130" s="1"/>
  <c r="AG51" i="129"/>
  <c r="BK51" i="129" s="1"/>
  <c r="BK50" i="129"/>
  <c r="BK73" i="130"/>
  <c r="BK70" i="130"/>
  <c r="AF76" i="130"/>
  <c r="AG61" i="130"/>
  <c r="AG62" i="130" s="1"/>
  <c r="AF53" i="129"/>
  <c r="AF13" i="129"/>
  <c r="AF15" i="129" s="1"/>
  <c r="AF23" i="129" s="1"/>
  <c r="AF60" i="129" s="1"/>
  <c r="AF61" i="129" s="1"/>
  <c r="AK84" i="129" l="1"/>
  <c r="BL6" i="130"/>
  <c r="AH68" i="130"/>
  <c r="AI59" i="130"/>
  <c r="BL59" i="130" s="1"/>
  <c r="AI68" i="130"/>
  <c r="AL68" i="130"/>
  <c r="BL29" i="130"/>
  <c r="AJ68" i="130"/>
  <c r="BM9" i="129"/>
  <c r="BK6" i="129"/>
  <c r="AG53" i="129"/>
  <c r="AG13" i="129"/>
  <c r="AF55" i="129"/>
  <c r="AF56" i="129"/>
  <c r="AF54" i="129"/>
  <c r="AG76" i="130"/>
  <c r="BK62" i="130"/>
  <c r="AH61" i="130"/>
  <c r="AH62" i="130" s="1"/>
  <c r="BM21" i="130"/>
  <c r="AP70" i="130" l="1"/>
  <c r="AN70" i="130"/>
  <c r="AH84" i="129"/>
  <c r="AJ84" i="129"/>
  <c r="AK71" i="130"/>
  <c r="AH73" i="130"/>
  <c r="AI71" i="130"/>
  <c r="AH71" i="130"/>
  <c r="AH70" i="130"/>
  <c r="AI84" i="129"/>
  <c r="AJ70" i="130"/>
  <c r="AI70" i="130"/>
  <c r="AI73" i="130"/>
  <c r="AL72" i="130"/>
  <c r="AL84" i="129"/>
  <c r="AL73" i="130"/>
  <c r="AL70" i="130"/>
  <c r="AL71" i="130"/>
  <c r="BL68" i="130"/>
  <c r="AJ73" i="130"/>
  <c r="AJ71" i="130"/>
  <c r="BN9" i="129"/>
  <c r="BL61" i="130"/>
  <c r="BK76" i="130"/>
  <c r="AH53" i="129"/>
  <c r="AH13" i="129"/>
  <c r="AH15" i="129" s="1"/>
  <c r="AH23" i="129" s="1"/>
  <c r="BK13" i="129"/>
  <c r="AG15" i="129"/>
  <c r="AG55" i="129"/>
  <c r="AG56" i="129"/>
  <c r="BK56" i="129" s="1"/>
  <c r="BK53" i="129"/>
  <c r="AG54" i="129"/>
  <c r="BK54" i="129" s="1"/>
  <c r="AH76" i="130"/>
  <c r="AI61" i="130"/>
  <c r="AI62" i="130" s="1"/>
  <c r="AJ61" i="130" s="1"/>
  <c r="AJ62" i="130" s="1"/>
  <c r="AK61" i="130" s="1"/>
  <c r="AK62" i="130" s="1"/>
  <c r="BL70" i="130" l="1"/>
  <c r="BL73" i="130"/>
  <c r="AH49" i="129"/>
  <c r="AR9" i="129"/>
  <c r="AR21" i="130" s="1"/>
  <c r="AI53" i="129"/>
  <c r="AI13" i="129"/>
  <c r="AI15" i="129" s="1"/>
  <c r="AI23" i="129" s="1"/>
  <c r="BK15" i="129"/>
  <c r="AG23" i="129"/>
  <c r="AG49" i="129" s="1"/>
  <c r="BK49" i="129" s="1"/>
  <c r="AH55" i="129"/>
  <c r="AH54" i="129"/>
  <c r="AI76" i="130"/>
  <c r="AH51" i="129" l="1"/>
  <c r="AH60" i="129" s="1"/>
  <c r="AH61" i="129" s="1"/>
  <c r="AS9" i="129"/>
  <c r="AT9" i="129" s="1"/>
  <c r="AJ76" i="130"/>
  <c r="AG60" i="129"/>
  <c r="AG61" i="129" s="1"/>
  <c r="BK23" i="129"/>
  <c r="BK60" i="129" s="1"/>
  <c r="BK61" i="129" s="1"/>
  <c r="AJ53" i="129"/>
  <c r="AN54" i="129" s="1"/>
  <c r="AJ13" i="129"/>
  <c r="AJ15" i="129" s="1"/>
  <c r="AJ23" i="129" s="1"/>
  <c r="AI54" i="129"/>
  <c r="AI55" i="129"/>
  <c r="AT21" i="130" l="1"/>
  <c r="AU9" i="129"/>
  <c r="AU21" i="130" s="1"/>
  <c r="AS21" i="130"/>
  <c r="BN21" i="130" s="1"/>
  <c r="AI50" i="129"/>
  <c r="AI51" i="129" s="1"/>
  <c r="AI60" i="129" s="1"/>
  <c r="AI61" i="129" s="1"/>
  <c r="AJ54" i="129"/>
  <c r="AJ55" i="129"/>
  <c r="AK53" i="129"/>
  <c r="BL6" i="129"/>
  <c r="AK13" i="129"/>
  <c r="BL62" i="130"/>
  <c r="BM61" i="130" s="1"/>
  <c r="AL61" i="130"/>
  <c r="AL62" i="130" s="1"/>
  <c r="AK76" i="130"/>
  <c r="AV9" i="129" l="1"/>
  <c r="AV21" i="130" s="1"/>
  <c r="AJ50" i="129"/>
  <c r="AJ51" i="129" s="1"/>
  <c r="AJ60" i="129" s="1"/>
  <c r="AJ61" i="129" s="1"/>
  <c r="AL13" i="129"/>
  <c r="AL15" i="129" s="1"/>
  <c r="AL23" i="129" s="1"/>
  <c r="AL53" i="129"/>
  <c r="AP54" i="129" s="1"/>
  <c r="BL53" i="129"/>
  <c r="AK54" i="129"/>
  <c r="BL54" i="129" s="1"/>
  <c r="AK55" i="129"/>
  <c r="AL76" i="130"/>
  <c r="AM61" i="130"/>
  <c r="BL76" i="130"/>
  <c r="AK15" i="129"/>
  <c r="BL13" i="129"/>
  <c r="AW9" i="129" l="1"/>
  <c r="AK50" i="129"/>
  <c r="BL49" i="129"/>
  <c r="AL55" i="129"/>
  <c r="AL54" i="129"/>
  <c r="AL56" i="129"/>
  <c r="AM53" i="129"/>
  <c r="AM13" i="129"/>
  <c r="AM15" i="129" s="1"/>
  <c r="AM23" i="129" s="1"/>
  <c r="AM49" i="129" s="1"/>
  <c r="BL15" i="129"/>
  <c r="AK23" i="129"/>
  <c r="AN55" i="129" l="1"/>
  <c r="AQ54" i="129"/>
  <c r="AX9" i="129"/>
  <c r="BO9" i="129"/>
  <c r="AW21" i="130"/>
  <c r="AL50" i="129"/>
  <c r="AL51" i="129" s="1"/>
  <c r="AL60" i="129" s="1"/>
  <c r="AL61" i="129" s="1"/>
  <c r="AK51" i="129"/>
  <c r="BL51" i="129" s="1"/>
  <c r="BL50" i="129"/>
  <c r="AM54" i="129"/>
  <c r="AM56" i="129"/>
  <c r="AM55" i="129"/>
  <c r="BL23" i="129"/>
  <c r="AY9" i="129" l="1"/>
  <c r="AY21" i="130" s="1"/>
  <c r="AX21" i="130"/>
  <c r="BO21" i="130"/>
  <c r="AK60" i="129"/>
  <c r="AK61" i="129" s="1"/>
  <c r="BL60" i="129"/>
  <c r="BL61" i="129" s="1"/>
  <c r="AM50" i="129"/>
  <c r="AM51" i="129" s="1"/>
  <c r="AM60" i="129" s="1"/>
  <c r="AM61" i="129" s="1"/>
  <c r="AZ9" i="129" l="1"/>
  <c r="AZ21" i="130" s="1"/>
  <c r="BA9" i="129" l="1"/>
  <c r="BP9" i="129" s="1"/>
  <c r="BA21" i="130" l="1"/>
  <c r="BP21" i="130" s="1"/>
  <c r="AJ33" i="131"/>
  <c r="AF36" i="131" l="1"/>
  <c r="AF68" i="131"/>
  <c r="AF92" i="131" s="1"/>
  <c r="AF38" i="131"/>
  <c r="AG36" i="131"/>
  <c r="BK32" i="131"/>
  <c r="BK34" i="131" l="1"/>
  <c r="BL34" i="131"/>
  <c r="BK47" i="131"/>
  <c r="BK61" i="131" s="1"/>
  <c r="BK35" i="131"/>
  <c r="BL35" i="131"/>
  <c r="BK473" i="131"/>
  <c r="BK33" i="131"/>
  <c r="BK38" i="131"/>
  <c r="BL33" i="131"/>
  <c r="BL474" i="131" l="1"/>
  <c r="BK474" i="131"/>
  <c r="BK86" i="131" l="1"/>
  <c r="BK92" i="131" l="1"/>
  <c r="BK68" i="131" s="1"/>
  <c r="BK100" i="131"/>
  <c r="BK89" i="131"/>
  <c r="BK63" i="131"/>
  <c r="BK64" i="131" s="1"/>
  <c r="BK87" i="131"/>
  <c r="BK76" i="131" l="1"/>
  <c r="BK84" i="131" s="1"/>
  <c r="BK65" i="131"/>
  <c r="BK636" i="131" l="1"/>
  <c r="BK637" i="131" s="1"/>
  <c r="BK641" i="131"/>
  <c r="BK644" i="131"/>
  <c r="BM641" i="131" l="1"/>
  <c r="BM643" i="131" l="1"/>
  <c r="BN641" i="131"/>
  <c r="BL637" i="131"/>
  <c r="BL644" i="131"/>
  <c r="BN643" i="131" l="1"/>
  <c r="BN636" i="131" s="1"/>
  <c r="BO641" i="131"/>
  <c r="BM644" i="131"/>
  <c r="BM636" i="131"/>
  <c r="BM637" i="131" s="1"/>
  <c r="BN644" i="131" l="1"/>
  <c r="BO643" i="131"/>
  <c r="BO644" i="131" s="1"/>
  <c r="BP641" i="131"/>
  <c r="BP643" i="131" s="1"/>
  <c r="BN637" i="131"/>
  <c r="BO636" i="131" l="1"/>
  <c r="BO637" i="131" s="1"/>
  <c r="BP644" i="131"/>
  <c r="BP636" i="131"/>
  <c r="AH92" i="131"/>
  <c r="BP637" i="131" l="1"/>
  <c r="AG92" i="131"/>
  <c r="AH56" i="129"/>
  <c r="AI35" i="128"/>
  <c r="AH72" i="130"/>
  <c r="AH62" i="128"/>
  <c r="AI38" i="128" l="1"/>
  <c r="AI62" i="128"/>
  <c r="AI78" i="128"/>
  <c r="AI56" i="129"/>
  <c r="AI72" i="130"/>
  <c r="AH35" i="128"/>
  <c r="AH38" i="128" l="1"/>
  <c r="AL38" i="128"/>
  <c r="AI91" i="128"/>
  <c r="AJ56" i="129"/>
  <c r="AJ72" i="130"/>
  <c r="BL37" i="128"/>
  <c r="AH78" i="128"/>
  <c r="AL78" i="128"/>
  <c r="AH91" i="128"/>
  <c r="AK56" i="129" l="1"/>
  <c r="BL56" i="129" s="1"/>
  <c r="BL72" i="130"/>
  <c r="AK35" i="128"/>
  <c r="AJ78" i="128"/>
  <c r="AJ91" i="128"/>
  <c r="BL64" i="128"/>
  <c r="BL62" i="128" s="1"/>
  <c r="AJ62" i="128"/>
  <c r="AK38" i="128" l="1"/>
  <c r="AK78" i="128"/>
  <c r="AK91" i="128"/>
  <c r="BL35" i="128"/>
  <c r="AK62" i="128"/>
  <c r="AL91" i="128"/>
  <c r="BL38" i="128" l="1"/>
  <c r="AL62" i="128"/>
  <c r="BL78" i="128"/>
  <c r="BM64" i="128" l="1"/>
  <c r="AR64" i="128" l="1"/>
  <c r="AS64" i="128" l="1"/>
  <c r="AT64" i="128" s="1"/>
  <c r="AU64" i="128" l="1"/>
  <c r="BN64" i="128"/>
  <c r="AV64" i="128" l="1"/>
  <c r="AI92" i="131"/>
  <c r="AW64" i="128" l="1"/>
  <c r="AX64" i="128" s="1"/>
  <c r="AU39" i="128"/>
  <c r="AY39" i="128" s="1"/>
  <c r="AI79" i="128"/>
  <c r="AJ79" i="128" s="1"/>
  <c r="AK79" i="128" s="1"/>
  <c r="AY64" i="128" l="1"/>
  <c r="AZ64" i="128" s="1"/>
  <c r="BA64" i="128" s="1"/>
  <c r="BO64" i="128"/>
  <c r="AK39" i="128"/>
  <c r="AJ39" i="128"/>
  <c r="AS39" i="128" l="1"/>
  <c r="AW39" i="128" s="1"/>
  <c r="BA39" i="128" s="1"/>
  <c r="BP64" i="128"/>
  <c r="BL39" i="128"/>
  <c r="BL79" i="128" s="1"/>
  <c r="AR39" i="128" l="1"/>
  <c r="AV39" i="128" s="1"/>
  <c r="AZ39" i="128" s="1"/>
  <c r="BP39" i="128" s="1"/>
  <c r="BM39" i="128"/>
  <c r="BM79" i="128" s="1"/>
  <c r="BO39" i="128" l="1"/>
  <c r="BN39" i="128"/>
  <c r="AJ92" i="131"/>
  <c r="BO79" i="128" l="1"/>
  <c r="BN79" i="128"/>
  <c r="BP79" i="128"/>
  <c r="BL86" i="131"/>
  <c r="BL92" i="131" l="1"/>
  <c r="BL68" i="131" s="1"/>
  <c r="BL89" i="131"/>
  <c r="BL87" i="131"/>
  <c r="BL63" i="131" l="1"/>
  <c r="AK92" i="131"/>
  <c r="BL64" i="131" l="1"/>
  <c r="BW64" i="131"/>
  <c r="BL76" i="131"/>
  <c r="BL84" i="131" s="1"/>
  <c r="BL65" i="131"/>
  <c r="AL146" i="131" l="1"/>
  <c r="AM146" i="131" l="1"/>
  <c r="AU148" i="131" l="1"/>
  <c r="AT148" i="131"/>
  <c r="AX148" i="131" s="1"/>
  <c r="BM148" i="131"/>
  <c r="AN150" i="131"/>
  <c r="AR148" i="131"/>
  <c r="AV148" i="131" s="1"/>
  <c r="AZ148" i="131" s="1"/>
  <c r="AN152" i="131"/>
  <c r="AN146" i="131" s="1"/>
  <c r="AS148" i="131"/>
  <c r="AW148" i="131" s="1"/>
  <c r="BA148" i="131" s="1"/>
  <c r="AX152" i="131" l="1"/>
  <c r="AX146" i="131" s="1"/>
  <c r="AX150" i="131"/>
  <c r="AZ152" i="131"/>
  <c r="AZ146" i="131" s="1"/>
  <c r="BA150" i="131"/>
  <c r="BA152" i="131"/>
  <c r="BA146" i="131" s="1"/>
  <c r="AU152" i="131"/>
  <c r="AU146" i="131" s="1"/>
  <c r="AY148" i="131"/>
  <c r="BP148" i="131" s="1"/>
  <c r="AU150" i="131"/>
  <c r="BO148" i="131"/>
  <c r="AW152" i="131"/>
  <c r="AW146" i="131" s="1"/>
  <c r="AW150" i="131"/>
  <c r="AV150" i="131"/>
  <c r="AV152" i="131"/>
  <c r="AV146" i="131" s="1"/>
  <c r="AT150" i="131"/>
  <c r="AT152" i="131"/>
  <c r="AT146" i="131" s="1"/>
  <c r="AN144" i="131"/>
  <c r="BM142" i="131"/>
  <c r="AN143" i="131"/>
  <c r="AR150" i="131"/>
  <c r="AR152" i="131"/>
  <c r="AR146" i="131" s="1"/>
  <c r="AS152" i="131"/>
  <c r="AS146" i="131" s="1"/>
  <c r="AS150" i="131"/>
  <c r="BN148" i="131"/>
  <c r="BM152" i="131"/>
  <c r="BM149" i="131"/>
  <c r="AZ142" i="131" l="1"/>
  <c r="BA142" i="131"/>
  <c r="AV142" i="131"/>
  <c r="AR142" i="131"/>
  <c r="AR143" i="131" s="1"/>
  <c r="AT142" i="131"/>
  <c r="AW142" i="131"/>
  <c r="AS142" i="131"/>
  <c r="AU142" i="131"/>
  <c r="AX142" i="131"/>
  <c r="AX143" i="131" s="1"/>
  <c r="BP152" i="131"/>
  <c r="BP149" i="131"/>
  <c r="AY150" i="131"/>
  <c r="AY152" i="131"/>
  <c r="AY146" i="131" s="1"/>
  <c r="AZ150" i="131"/>
  <c r="BO149" i="131"/>
  <c r="BO152" i="131"/>
  <c r="BM143" i="131"/>
  <c r="BM146" i="131"/>
  <c r="BN152" i="131"/>
  <c r="BN149" i="131"/>
  <c r="BN142" i="131" l="1"/>
  <c r="BN143" i="131" s="1"/>
  <c r="AV144" i="131"/>
  <c r="AS143" i="131"/>
  <c r="AV143" i="131"/>
  <c r="AR144" i="131"/>
  <c r="AZ143" i="131"/>
  <c r="BA144" i="131"/>
  <c r="AW143" i="131"/>
  <c r="BO142" i="131"/>
  <c r="BO146" i="131" s="1"/>
  <c r="AS144" i="131"/>
  <c r="AX144" i="131"/>
  <c r="AU144" i="131"/>
  <c r="AY142" i="131"/>
  <c r="AZ144" i="131" s="1"/>
  <c r="AT143" i="131"/>
  <c r="AW144" i="131"/>
  <c r="BA143" i="131"/>
  <c r="AU143" i="131"/>
  <c r="AT144" i="131"/>
  <c r="BN146" i="131" l="1"/>
  <c r="BO143" i="131"/>
  <c r="AY143" i="131"/>
  <c r="BP142" i="131"/>
  <c r="BP146" i="131" s="1"/>
  <c r="AY144" i="131"/>
  <c r="AL92" i="131"/>
  <c r="BP143" i="131" l="1"/>
  <c r="AM87" i="131"/>
  <c r="AM90" i="131"/>
  <c r="AM92" i="131"/>
  <c r="AM59" i="130" l="1"/>
  <c r="AM68" i="130"/>
  <c r="AQ70" i="130" l="1"/>
  <c r="AN71" i="130"/>
  <c r="AS32" i="128"/>
  <c r="AT32" i="128" s="1"/>
  <c r="AM72" i="130"/>
  <c r="AM84" i="129"/>
  <c r="AM71" i="130"/>
  <c r="AM70" i="130"/>
  <c r="AM62" i="130"/>
  <c r="AN61" i="130" s="1"/>
  <c r="AN62" i="130" s="1"/>
  <c r="AO61" i="130" s="1"/>
  <c r="AO62" i="130" s="1"/>
  <c r="AP61" i="130" s="1"/>
  <c r="AP62" i="130" s="1"/>
  <c r="AP76" i="130" l="1"/>
  <c r="AQ61" i="130"/>
  <c r="AQ62" i="130" s="1"/>
  <c r="AQ76" i="130" s="1"/>
  <c r="AM76" i="130"/>
  <c r="AN84" i="129" l="1"/>
  <c r="AU32" i="128"/>
  <c r="AN76" i="130" l="1"/>
  <c r="AV32" i="128"/>
  <c r="AN60" i="129" l="1"/>
  <c r="AN61" i="129" s="1"/>
  <c r="AW32" i="128"/>
  <c r="AX32" i="128" l="1"/>
  <c r="AY32" i="128" l="1"/>
  <c r="AZ32" i="128" l="1"/>
  <c r="BA32" i="128" l="1"/>
  <c r="BM581" i="131" l="1"/>
  <c r="AO583" i="131" l="1"/>
  <c r="AO585" i="131" s="1"/>
  <c r="AS581" i="131"/>
  <c r="BN581" i="131" s="1"/>
  <c r="AO605" i="131"/>
  <c r="AO615" i="131"/>
  <c r="BM583" i="131" l="1"/>
  <c r="AS605" i="131"/>
  <c r="AS606" i="131" s="1"/>
  <c r="AO606" i="131"/>
  <c r="AO607" i="131"/>
  <c r="AS583" i="131"/>
  <c r="AW581" i="131"/>
  <c r="BO581" i="131" s="1"/>
  <c r="AS615" i="131"/>
  <c r="AS585" i="131" l="1"/>
  <c r="BN583" i="131"/>
  <c r="AO599" i="131"/>
  <c r="BM585" i="131"/>
  <c r="AW594" i="131" a="1"/>
  <c r="AW594" i="131" s="1"/>
  <c r="AW605" i="131"/>
  <c r="AS607" i="131"/>
  <c r="BA581" i="131"/>
  <c r="BP581" i="131" s="1"/>
  <c r="AW583" i="131"/>
  <c r="AW615" i="131"/>
  <c r="AW585" i="131" l="1"/>
  <c r="BO583" i="131"/>
  <c r="AS599" i="131"/>
  <c r="BN585" i="131"/>
  <c r="AW595" i="131"/>
  <c r="BO595" i="131" s="1"/>
  <c r="BO594" i="131"/>
  <c r="BA594" i="131" a="1"/>
  <c r="BA594" i="131" s="1"/>
  <c r="BA605" i="131"/>
  <c r="AW607" i="131"/>
  <c r="AW606" i="131"/>
  <c r="AW608" i="131"/>
  <c r="BA583" i="131"/>
  <c r="BA615" i="131"/>
  <c r="BA585" i="131" l="1"/>
  <c r="BP583" i="131"/>
  <c r="BA595" i="131"/>
  <c r="BP595" i="131" s="1"/>
  <c r="BP594" i="131"/>
  <c r="AW599" i="131"/>
  <c r="BO585" i="131"/>
  <c r="BA607" i="131"/>
  <c r="BA606" i="131"/>
  <c r="BA608" i="131"/>
  <c r="AN34" i="131" l="1"/>
  <c r="AO37" i="131"/>
  <c r="AO36" i="131"/>
  <c r="AN35" i="131"/>
  <c r="AN37" i="131"/>
  <c r="AN24" i="131"/>
  <c r="AR32" i="131"/>
  <c r="AR24" i="131" s="1"/>
  <c r="BA599" i="131"/>
  <c r="BP585" i="131"/>
  <c r="AN68" i="131"/>
  <c r="AN36" i="131"/>
  <c r="AN33" i="131"/>
  <c r="AN26" i="131" l="1"/>
  <c r="AN158" i="131"/>
  <c r="AR158" i="131" s="1"/>
  <c r="AN113" i="131"/>
  <c r="AR35" i="131"/>
  <c r="AR37" i="131"/>
  <c r="AV32" i="131"/>
  <c r="AR36" i="131"/>
  <c r="AN25" i="131"/>
  <c r="AN27" i="131"/>
  <c r="AN164" i="131" l="1"/>
  <c r="AN160" i="131" s="1"/>
  <c r="AN18" i="131" s="1"/>
  <c r="AZ32" i="131"/>
  <c r="AV37" i="131"/>
  <c r="AV35" i="131"/>
  <c r="AR27" i="131"/>
  <c r="AR154" i="131"/>
  <c r="AR25" i="131"/>
  <c r="AV36" i="131"/>
  <c r="AV24" i="131"/>
  <c r="AN155" i="131"/>
  <c r="AR155" i="131" l="1"/>
  <c r="AR13" i="131"/>
  <c r="AN161" i="131"/>
  <c r="AN8" i="128"/>
  <c r="AN6" i="131"/>
  <c r="AN21" i="131" s="1"/>
  <c r="AN19" i="131"/>
  <c r="AV158" i="131"/>
  <c r="AV154" i="131" s="1"/>
  <c r="AR164" i="131"/>
  <c r="AR160" i="131" s="1"/>
  <c r="AZ35" i="131"/>
  <c r="AZ37" i="131"/>
  <c r="AZ36" i="131"/>
  <c r="AZ24" i="131"/>
  <c r="AV25" i="131"/>
  <c r="AV27" i="131"/>
  <c r="AN92" i="131"/>
  <c r="AR161" i="131" l="1"/>
  <c r="AZ158" i="131"/>
  <c r="AZ164" i="131" s="1"/>
  <c r="AZ160" i="131" s="1"/>
  <c r="AV164" i="131"/>
  <c r="AV160" i="131" s="1"/>
  <c r="AV161" i="131" s="1"/>
  <c r="AN188" i="131"/>
  <c r="AN16" i="131"/>
  <c r="AN221" i="131"/>
  <c r="AN9" i="128"/>
  <c r="AN138" i="131"/>
  <c r="AN205" i="131"/>
  <c r="AN210" i="131"/>
  <c r="AN174" i="131"/>
  <c r="AN7" i="131"/>
  <c r="AN391" i="131"/>
  <c r="AN181" i="131"/>
  <c r="AN194" i="131"/>
  <c r="AN8" i="131"/>
  <c r="AN200" i="131"/>
  <c r="AN215" i="131"/>
  <c r="AN169" i="131"/>
  <c r="AN151" i="131"/>
  <c r="AN145" i="131"/>
  <c r="AN38" i="131"/>
  <c r="AN28" i="131"/>
  <c r="AN163" i="131"/>
  <c r="AN157" i="131"/>
  <c r="AN95" i="128"/>
  <c r="AR95" i="128" s="1"/>
  <c r="AV95" i="128" s="1"/>
  <c r="AZ95" i="128" s="1"/>
  <c r="AN108" i="128"/>
  <c r="AZ25" i="131"/>
  <c r="AZ27" i="131"/>
  <c r="AR14" i="131"/>
  <c r="AR7" i="128"/>
  <c r="AV13" i="131"/>
  <c r="AV155" i="131"/>
  <c r="AZ154" i="131" l="1"/>
  <c r="AZ155" i="131" s="1"/>
  <c r="AZ161" i="131"/>
  <c r="AN99" i="128"/>
  <c r="AN109" i="128"/>
  <c r="AN116" i="128" s="1"/>
  <c r="AN125" i="128" s="1"/>
  <c r="AN129" i="128" s="1"/>
  <c r="AN16" i="128"/>
  <c r="AN64" i="129"/>
  <c r="AN69" i="128"/>
  <c r="AN98" i="128"/>
  <c r="AR98" i="128" s="1"/>
  <c r="AN73" i="130"/>
  <c r="AN100" i="128"/>
  <c r="AN97" i="128"/>
  <c r="AR97" i="128" s="1"/>
  <c r="AV97" i="128" s="1"/>
  <c r="AZ97" i="128" s="1"/>
  <c r="AZ13" i="131"/>
  <c r="AZ14" i="131" s="1"/>
  <c r="AV7" i="128"/>
  <c r="AV14" i="131"/>
  <c r="AR13" i="128"/>
  <c r="AR107" i="128"/>
  <c r="AR99" i="128" l="1"/>
  <c r="AV99" i="128" s="1"/>
  <c r="AZ99" i="128" s="1"/>
  <c r="AV98" i="128"/>
  <c r="AZ98" i="128" s="1"/>
  <c r="AN80" i="130"/>
  <c r="AN80" i="129"/>
  <c r="AN81" i="129"/>
  <c r="AR81" i="129" s="1"/>
  <c r="AV81" i="129" s="1"/>
  <c r="AZ81" i="129" s="1"/>
  <c r="AN79" i="129"/>
  <c r="AR79" i="129" s="1"/>
  <c r="AV79" i="129" s="1"/>
  <c r="AZ79" i="129" s="1"/>
  <c r="AN82" i="129"/>
  <c r="AR82" i="129" s="1"/>
  <c r="AV82" i="129" s="1"/>
  <c r="AZ82" i="129" s="1"/>
  <c r="AN70" i="129"/>
  <c r="AR70" i="129" s="1"/>
  <c r="AV70" i="129" s="1"/>
  <c r="AZ70" i="129" s="1"/>
  <c r="AN74" i="129"/>
  <c r="AR74" i="129" s="1"/>
  <c r="AV74" i="129" s="1"/>
  <c r="AZ74" i="129" s="1"/>
  <c r="AN75" i="129"/>
  <c r="AR75" i="129" s="1"/>
  <c r="AV75" i="129" s="1"/>
  <c r="AZ75" i="129" s="1"/>
  <c r="AN76" i="129"/>
  <c r="AR76" i="129" s="1"/>
  <c r="AV76" i="129" s="1"/>
  <c r="AZ76" i="129" s="1"/>
  <c r="AN78" i="129"/>
  <c r="AR78" i="129" s="1"/>
  <c r="AV78" i="129" s="1"/>
  <c r="AZ78" i="129" s="1"/>
  <c r="AN73" i="129"/>
  <c r="AR73" i="129" s="1"/>
  <c r="AV73" i="129" s="1"/>
  <c r="AZ73" i="129" s="1"/>
  <c r="AN71" i="128"/>
  <c r="AN96" i="128"/>
  <c r="AN24" i="128"/>
  <c r="AN58" i="128"/>
  <c r="AN132" i="128"/>
  <c r="AN135" i="128" s="1"/>
  <c r="AN131" i="128"/>
  <c r="AZ7" i="128"/>
  <c r="AV13" i="128"/>
  <c r="AV107" i="128"/>
  <c r="AR132" i="131"/>
  <c r="AR131" i="131"/>
  <c r="AR130" i="131" s="1"/>
  <c r="AR133" i="131"/>
  <c r="BN129" i="131"/>
  <c r="AN138" i="128" l="1"/>
  <c r="AN137" i="128"/>
  <c r="AN59" i="128"/>
  <c r="AN76" i="128"/>
  <c r="AN30" i="128"/>
  <c r="AN101" i="128"/>
  <c r="AN26" i="128"/>
  <c r="AN67" i="129"/>
  <c r="AN83" i="130" s="1"/>
  <c r="AN94" i="130"/>
  <c r="AR94" i="130" s="1"/>
  <c r="AV94" i="130" s="1"/>
  <c r="AZ94" i="130" s="1"/>
  <c r="AN87" i="130"/>
  <c r="AN88" i="130"/>
  <c r="AN90" i="130"/>
  <c r="AR90" i="130" s="1"/>
  <c r="AV90" i="130" s="1"/>
  <c r="AZ90" i="130" s="1"/>
  <c r="AZ13" i="128"/>
  <c r="AZ107" i="128"/>
  <c r="AS132" i="131"/>
  <c r="AS133" i="131"/>
  <c r="AN33" i="128" l="1"/>
  <c r="AN91" i="130"/>
  <c r="AR91" i="130" s="1"/>
  <c r="AV91" i="130" s="1"/>
  <c r="AZ91" i="130" s="1"/>
  <c r="AN32" i="128"/>
  <c r="AT131" i="131"/>
  <c r="AT130" i="131" s="1"/>
  <c r="AT133" i="131"/>
  <c r="AT132" i="131"/>
  <c r="AN61" i="128" l="1"/>
  <c r="AN62" i="128" s="1"/>
  <c r="AN35" i="128"/>
  <c r="AN102" i="128"/>
  <c r="AN77" i="128"/>
  <c r="AN68" i="129"/>
  <c r="AN84" i="130" s="1"/>
  <c r="AU133" i="131"/>
  <c r="AU131" i="131"/>
  <c r="AU130" i="131" s="1"/>
  <c r="AU132" i="131"/>
  <c r="AN78" i="128" l="1"/>
  <c r="AN38" i="128"/>
  <c r="AV132" i="131"/>
  <c r="AV131" i="131"/>
  <c r="AV130" i="131" s="1"/>
  <c r="AV133" i="131"/>
  <c r="AW133" i="131" l="1"/>
  <c r="AW131" i="131"/>
  <c r="AW130" i="131" s="1"/>
  <c r="AW132" i="131"/>
  <c r="BO129" i="131"/>
  <c r="BO130" i="131" l="1"/>
  <c r="BP130" i="131"/>
  <c r="BM568" i="131"/>
  <c r="AO594" i="131" a="1"/>
  <c r="AO594" i="131" s="1"/>
  <c r="AO569" i="131"/>
  <c r="AS569" i="131"/>
  <c r="AO595" i="131" l="1"/>
  <c r="BM595" i="131" s="1"/>
  <c r="BM594" i="131"/>
  <c r="AN570" i="131"/>
  <c r="BM569" i="131"/>
  <c r="AN600" i="131"/>
  <c r="AS179" i="131"/>
  <c r="AO185" i="131"/>
  <c r="AL600" i="131"/>
  <c r="AM600" i="131"/>
  <c r="AO191" i="131"/>
  <c r="AP193" i="131" s="1"/>
  <c r="AM570" i="131"/>
  <c r="AO597" i="131"/>
  <c r="BM178" i="131"/>
  <c r="AO600" i="131"/>
  <c r="AL570" i="131"/>
  <c r="AO570" i="131"/>
  <c r="AP187" i="131" l="1"/>
  <c r="AO13" i="131"/>
  <c r="AS192" i="131"/>
  <c r="AO192" i="131"/>
  <c r="BM191" i="131"/>
  <c r="AO193" i="131"/>
  <c r="AO187" i="131"/>
  <c r="AO186" i="131"/>
  <c r="AS186" i="131"/>
  <c r="BM185" i="131"/>
  <c r="BM179" i="131"/>
  <c r="AO612" i="131"/>
  <c r="AO598" i="131"/>
  <c r="AO602" i="131"/>
  <c r="AO7" i="128" l="1"/>
  <c r="AO94" i="128" s="1"/>
  <c r="AS94" i="128" s="1"/>
  <c r="AW94" i="128" s="1"/>
  <c r="BA94" i="128" s="1"/>
  <c r="AP15" i="131"/>
  <c r="AO15" i="131"/>
  <c r="AO14" i="131"/>
  <c r="BN192" i="131"/>
  <c r="BM195" i="131"/>
  <c r="BM192" i="131"/>
  <c r="AO604" i="131"/>
  <c r="AO603" i="131"/>
  <c r="AO608" i="131"/>
  <c r="BM189" i="131"/>
  <c r="BN186" i="131"/>
  <c r="BM186" i="131"/>
  <c r="AO107" i="128" l="1"/>
  <c r="BM14" i="128"/>
  <c r="BM13" i="128" l="1"/>
  <c r="BM45" i="128" l="1"/>
  <c r="BM44" i="128"/>
  <c r="BM20" i="128"/>
  <c r="BM22" i="128"/>
  <c r="AO66" i="129"/>
  <c r="AO82" i="130" s="1"/>
  <c r="BM21" i="128"/>
  <c r="AO65" i="129"/>
  <c r="AO81" i="130" s="1"/>
  <c r="BM15" i="128"/>
  <c r="BM11" i="130" l="1"/>
  <c r="BM43" i="128"/>
  <c r="BM24" i="130"/>
  <c r="BM28" i="129"/>
  <c r="BM25" i="130"/>
  <c r="BM29" i="129"/>
  <c r="BM27" i="129"/>
  <c r="BM23" i="130"/>
  <c r="AO33" i="129"/>
  <c r="BM33" i="129" s="1"/>
  <c r="BM72" i="128"/>
  <c r="BM73" i="128"/>
  <c r="BM74" i="128"/>
  <c r="BM14" i="129"/>
  <c r="AO34" i="129"/>
  <c r="BM23" i="128"/>
  <c r="BM70" i="128"/>
  <c r="BM8" i="129"/>
  <c r="AO35" i="129" l="1"/>
  <c r="BM34" i="129"/>
  <c r="BM7" i="130"/>
  <c r="BM20" i="130"/>
  <c r="BM75" i="128"/>
  <c r="BM18" i="129" l="1"/>
  <c r="AO42" i="129"/>
  <c r="BM42" i="129" s="1"/>
  <c r="BM35" i="129"/>
  <c r="BM31" i="128" l="1"/>
  <c r="BM56" i="128"/>
  <c r="BM6" i="130" l="1"/>
  <c r="BR35" i="128"/>
  <c r="BM78" i="128"/>
  <c r="BM10" i="129" l="1"/>
  <c r="BM22" i="130"/>
  <c r="BA69" i="131"/>
  <c r="BA39" i="131"/>
  <c r="BA93" i="131"/>
  <c r="BA29" i="131"/>
  <c r="BA139" i="131"/>
  <c r="BP93" i="131" l="1"/>
  <c r="BP94" i="131" s="1"/>
  <c r="BP69" i="131"/>
  <c r="BP70" i="131" s="1"/>
  <c r="BA70" i="131"/>
  <c r="BA140" i="131"/>
  <c r="BP139" i="131"/>
  <c r="BP140" i="131" s="1"/>
  <c r="BA40" i="131"/>
  <c r="BP39" i="131"/>
  <c r="BP40" i="131" s="1"/>
  <c r="BP29" i="131"/>
  <c r="BP30" i="131" s="1"/>
  <c r="BA30" i="131"/>
  <c r="BM19" i="130"/>
  <c r="AO84" i="129" l="1"/>
  <c r="BM29" i="130"/>
  <c r="BM59" i="130" l="1"/>
  <c r="BM68" i="130"/>
  <c r="BM62" i="130" l="1"/>
  <c r="AO76" i="130"/>
  <c r="AO53" i="129"/>
  <c r="AP55" i="129" s="1"/>
  <c r="AO13" i="129"/>
  <c r="BM6" i="129"/>
  <c r="BM70" i="130"/>
  <c r="BM13" i="129" l="1"/>
  <c r="AO15" i="129"/>
  <c r="AO54" i="129"/>
  <c r="BM54" i="129" s="1"/>
  <c r="AO55" i="129"/>
  <c r="AO56" i="129"/>
  <c r="BM56" i="129" s="1"/>
  <c r="BM53" i="129"/>
  <c r="BN61" i="130"/>
  <c r="BM76" i="130"/>
  <c r="AO23" i="129" l="1"/>
  <c r="BM15" i="129"/>
  <c r="BM23" i="129" l="1"/>
  <c r="BM49" i="129" l="1"/>
  <c r="AO50" i="129"/>
  <c r="BM50" i="129" l="1"/>
  <c r="AO51" i="129"/>
  <c r="BM51" i="129" l="1"/>
  <c r="BM60" i="129" s="1"/>
  <c r="BM61" i="129" s="1"/>
  <c r="AO60" i="129"/>
  <c r="AO61" i="129" s="1"/>
  <c r="BM86" i="131" l="1"/>
  <c r="BM89" i="131" l="1"/>
  <c r="BM87" i="131"/>
  <c r="AO385" i="131" l="1"/>
  <c r="AO386" i="131"/>
  <c r="AO383" i="131"/>
  <c r="BM384" i="131"/>
  <c r="AO384" i="131"/>
  <c r="AO131" i="131" s="1"/>
  <c r="BM131" i="131" l="1"/>
  <c r="AO376" i="131" l="1"/>
  <c r="BM63" i="131"/>
  <c r="AO378" i="131" l="1"/>
  <c r="AP380" i="131"/>
  <c r="AP379" i="131"/>
  <c r="BM65" i="131"/>
  <c r="BM64" i="131"/>
  <c r="BM76" i="131"/>
  <c r="BM84" i="131" s="1"/>
  <c r="AO380" i="131"/>
  <c r="BM376" i="131"/>
  <c r="AO379" i="131"/>
  <c r="AO377" i="131"/>
  <c r="AO257" i="131"/>
  <c r="AO259" i="131" l="1"/>
  <c r="AP261" i="131"/>
  <c r="BN261" i="131" s="1"/>
  <c r="AP260" i="131"/>
  <c r="AO258" i="131"/>
  <c r="AO261" i="131"/>
  <c r="BM261" i="131" s="1"/>
  <c r="AO260" i="131"/>
  <c r="BM257" i="131"/>
  <c r="BM259" i="131" s="1"/>
  <c r="BL50" i="131" l="1"/>
  <c r="BL42" i="131"/>
  <c r="BL47" i="131" s="1"/>
  <c r="BL61" i="131" s="1"/>
  <c r="BL44" i="131" l="1"/>
  <c r="BL96" i="131"/>
  <c r="AK42" i="131"/>
  <c r="AK56" i="131" s="1"/>
  <c r="BL56" i="131" s="1"/>
  <c r="BL43" i="131"/>
  <c r="BL75" i="131"/>
  <c r="BL57" i="131" l="1"/>
  <c r="BL58" i="131"/>
  <c r="AK60" i="131"/>
  <c r="AK59" i="131"/>
  <c r="AK57" i="131"/>
  <c r="AK58" i="131"/>
  <c r="BL100" i="131"/>
  <c r="BL97" i="131"/>
  <c r="BL105" i="131" s="1"/>
  <c r="BL98" i="131"/>
  <c r="BL99" i="131"/>
  <c r="AK47" i="131"/>
  <c r="AK61" i="131" s="1"/>
  <c r="AK44" i="131"/>
  <c r="AK45" i="131"/>
  <c r="AK46" i="131"/>
  <c r="AK49" i="131"/>
  <c r="AK50" i="131" s="1"/>
  <c r="AK43" i="131"/>
  <c r="AK75" i="131"/>
  <c r="AL42" i="131"/>
  <c r="AL56" i="131" s="1"/>
  <c r="AK96" i="131"/>
  <c r="AK102" i="131" s="1"/>
  <c r="AK82" i="131" l="1"/>
  <c r="AK83" i="131"/>
  <c r="BL81" i="131"/>
  <c r="AL60" i="131"/>
  <c r="AL58" i="131"/>
  <c r="AL57" i="131"/>
  <c r="AL59" i="131"/>
  <c r="AL43" i="131"/>
  <c r="AL49" i="131"/>
  <c r="AL75" i="131"/>
  <c r="AL96" i="131"/>
  <c r="AL102" i="131" s="1"/>
  <c r="AL45" i="131"/>
  <c r="AL44" i="131"/>
  <c r="AL47" i="131"/>
  <c r="AL61" i="131" s="1"/>
  <c r="AM42" i="131"/>
  <c r="AM56" i="131" s="1"/>
  <c r="AK100" i="131"/>
  <c r="AK105" i="131" s="1"/>
  <c r="AK97" i="131"/>
  <c r="AK99" i="131"/>
  <c r="AK98" i="131"/>
  <c r="AL50" i="131" l="1"/>
  <c r="AK103" i="131"/>
  <c r="AK104" i="131"/>
  <c r="BL102" i="131"/>
  <c r="BL83" i="131"/>
  <c r="BL82" i="131"/>
  <c r="AL82" i="131"/>
  <c r="AL83" i="131"/>
  <c r="AM60" i="131"/>
  <c r="AM58" i="131"/>
  <c r="AM59" i="131"/>
  <c r="AM57" i="131"/>
  <c r="AM75" i="131"/>
  <c r="AM44" i="131"/>
  <c r="AM96" i="131"/>
  <c r="AM102" i="131" s="1"/>
  <c r="AM49" i="131"/>
  <c r="AM45" i="131"/>
  <c r="AM47" i="131"/>
  <c r="AM61" i="131" s="1"/>
  <c r="AM43" i="131"/>
  <c r="AN42" i="131"/>
  <c r="AN56" i="131" s="1"/>
  <c r="AL100" i="131"/>
  <c r="AL105" i="131" s="1"/>
  <c r="AL97" i="131"/>
  <c r="AL98" i="131"/>
  <c r="AL99" i="131"/>
  <c r="AM50" i="131" l="1"/>
  <c r="AL103" i="131"/>
  <c r="AL104" i="131"/>
  <c r="BL103" i="131"/>
  <c r="BL104" i="131"/>
  <c r="AM83" i="131"/>
  <c r="AM82" i="131"/>
  <c r="AN60" i="131"/>
  <c r="AN59" i="131"/>
  <c r="AN57" i="131"/>
  <c r="AN58" i="131"/>
  <c r="AM98" i="131"/>
  <c r="AM97" i="131"/>
  <c r="AM99" i="131"/>
  <c r="AM100" i="131"/>
  <c r="AM105" i="131" s="1"/>
  <c r="AN96" i="131"/>
  <c r="AN102" i="131" s="1"/>
  <c r="AN47" i="131"/>
  <c r="AN61" i="131" s="1"/>
  <c r="AN45" i="131"/>
  <c r="AN44" i="131"/>
  <c r="AN43" i="131"/>
  <c r="AN49" i="131"/>
  <c r="AN75" i="131"/>
  <c r="AO42" i="131"/>
  <c r="AP42" i="131" s="1"/>
  <c r="AQ42" i="131" s="1"/>
  <c r="AQ49" i="131" l="1"/>
  <c r="AQ50" i="131" s="1"/>
  <c r="AU50" i="131" s="1"/>
  <c r="AY50" i="131" s="1"/>
  <c r="AQ47" i="131"/>
  <c r="AQ61" i="131" s="1"/>
  <c r="AQ96" i="131"/>
  <c r="AQ56" i="131"/>
  <c r="AQ43" i="131"/>
  <c r="AQ44" i="131"/>
  <c r="AQ45" i="131"/>
  <c r="AQ75" i="131"/>
  <c r="AP49" i="131"/>
  <c r="AP50" i="131" s="1"/>
  <c r="AT50" i="131" s="1"/>
  <c r="AX50" i="131" s="1"/>
  <c r="AP56" i="131"/>
  <c r="AP45" i="131"/>
  <c r="AP43" i="131"/>
  <c r="AP44" i="131"/>
  <c r="AP47" i="131"/>
  <c r="AP61" i="131" s="1"/>
  <c r="AP96" i="131"/>
  <c r="AP75" i="131"/>
  <c r="AN50" i="131"/>
  <c r="AM103" i="131"/>
  <c r="AM104" i="131"/>
  <c r="AN83" i="131"/>
  <c r="AN82" i="131"/>
  <c r="BM81" i="131"/>
  <c r="AO75" i="131"/>
  <c r="AO96" i="131"/>
  <c r="AO45" i="131"/>
  <c r="AO43" i="131"/>
  <c r="AO44" i="131"/>
  <c r="BM42" i="131"/>
  <c r="AN100" i="131"/>
  <c r="AN105" i="131" s="1"/>
  <c r="AN97" i="131"/>
  <c r="AN99" i="131"/>
  <c r="AN98" i="131"/>
  <c r="AQ57" i="131" l="1"/>
  <c r="AQ58" i="131"/>
  <c r="AQ102" i="131"/>
  <c r="AQ98" i="131"/>
  <c r="AQ97" i="131"/>
  <c r="AQ100" i="131"/>
  <c r="AQ105" i="131" s="1"/>
  <c r="AQ99" i="131"/>
  <c r="AQ60" i="131"/>
  <c r="AQ59" i="131"/>
  <c r="AT49" i="131"/>
  <c r="AX49" i="131" s="1"/>
  <c r="AU49" i="131"/>
  <c r="AY49" i="131" s="1"/>
  <c r="AP98" i="131"/>
  <c r="AP99" i="131"/>
  <c r="AP102" i="131"/>
  <c r="AP100" i="131"/>
  <c r="AP105" i="131" s="1"/>
  <c r="AP97" i="131"/>
  <c r="AR50" i="131"/>
  <c r="AR49" i="131" s="1"/>
  <c r="AP58" i="131"/>
  <c r="AP57" i="131"/>
  <c r="BM96" i="131"/>
  <c r="BM100" i="131" s="1"/>
  <c r="AO102" i="131"/>
  <c r="AN103" i="131"/>
  <c r="AN104" i="131"/>
  <c r="BM82" i="131"/>
  <c r="BM83" i="131"/>
  <c r="AO82" i="131"/>
  <c r="AO83" i="131"/>
  <c r="BM43" i="131"/>
  <c r="BM75" i="131"/>
  <c r="BM44" i="131"/>
  <c r="AO100" i="131"/>
  <c r="AO105" i="131" s="1"/>
  <c r="AO98" i="131"/>
  <c r="AO99" i="131"/>
  <c r="AO97" i="131"/>
  <c r="AQ103" i="131" l="1"/>
  <c r="AQ104" i="131"/>
  <c r="AV50" i="131"/>
  <c r="AZ50" i="131" s="1"/>
  <c r="AP104" i="131"/>
  <c r="AP103" i="131"/>
  <c r="BM98" i="131"/>
  <c r="BM99" i="131"/>
  <c r="BM97" i="131"/>
  <c r="BM105" i="131" s="1"/>
  <c r="AO104" i="131"/>
  <c r="AO103" i="131"/>
  <c r="BM102" i="131"/>
  <c r="AV49" i="131" l="1"/>
  <c r="AZ49" i="131" s="1"/>
  <c r="BM103" i="131"/>
  <c r="BM104" i="131"/>
  <c r="AO24" i="131" l="1"/>
  <c r="AO158" i="131" s="1"/>
  <c r="AS32" i="131"/>
  <c r="AS24" i="131" s="1"/>
  <c r="AO68" i="131"/>
  <c r="AO92" i="131" s="1"/>
  <c r="AO164" i="131" l="1"/>
  <c r="AO160" i="131" s="1"/>
  <c r="AS158" i="131"/>
  <c r="AP27" i="131"/>
  <c r="AW32" i="131"/>
  <c r="AW35" i="131" s="1"/>
  <c r="AO27" i="131"/>
  <c r="AO56" i="131"/>
  <c r="BM32" i="131"/>
  <c r="BM24" i="131"/>
  <c r="AS35" i="131"/>
  <c r="AS36" i="131"/>
  <c r="AS37" i="131"/>
  <c r="AO47" i="131"/>
  <c r="AO61" i="131" s="1"/>
  <c r="AO25" i="131"/>
  <c r="AP156" i="131"/>
  <c r="AW158" i="131" l="1"/>
  <c r="AS164" i="131"/>
  <c r="AS160" i="131" s="1"/>
  <c r="AS18" i="131" s="1"/>
  <c r="AP162" i="131"/>
  <c r="AO18" i="131"/>
  <c r="AW36" i="131"/>
  <c r="AW24" i="131"/>
  <c r="AP60" i="131"/>
  <c r="AP59" i="131"/>
  <c r="AW37" i="131"/>
  <c r="BA32" i="131"/>
  <c r="BA35" i="131" s="1"/>
  <c r="AO162" i="131"/>
  <c r="AO161" i="131"/>
  <c r="AO156" i="131"/>
  <c r="AO155" i="131"/>
  <c r="AO60" i="131"/>
  <c r="BM56" i="131"/>
  <c r="AO59" i="131"/>
  <c r="AO58" i="131"/>
  <c r="AO57" i="131"/>
  <c r="BM33" i="131"/>
  <c r="BM473" i="131"/>
  <c r="BM474" i="131" s="1"/>
  <c r="BM34" i="131"/>
  <c r="BM35" i="131"/>
  <c r="BM47" i="131"/>
  <c r="BM61" i="131" s="1"/>
  <c r="BM92" i="131"/>
  <c r="BM68" i="131" s="1"/>
  <c r="AS25" i="131"/>
  <c r="AS154" i="131"/>
  <c r="AS13" i="131" s="1"/>
  <c r="AS27" i="131"/>
  <c r="BM6" i="131"/>
  <c r="BM25" i="131"/>
  <c r="BA158" i="131" l="1"/>
  <c r="BA164" i="131" s="1"/>
  <c r="AW164" i="131"/>
  <c r="AW160" i="131" s="1"/>
  <c r="AO8" i="128"/>
  <c r="AO20" i="131"/>
  <c r="AP20" i="131"/>
  <c r="AO19" i="131"/>
  <c r="AO6" i="131"/>
  <c r="AO21" i="131" s="1"/>
  <c r="AW25" i="131"/>
  <c r="AW154" i="131"/>
  <c r="AW156" i="131" s="1"/>
  <c r="AW27" i="131"/>
  <c r="BA24" i="131"/>
  <c r="BA27" i="131" s="1"/>
  <c r="BA37" i="131"/>
  <c r="BA36" i="131"/>
  <c r="BM28" i="131"/>
  <c r="BM8" i="131"/>
  <c r="BM38" i="131"/>
  <c r="AS162" i="131"/>
  <c r="AS161" i="131"/>
  <c r="AS156" i="131"/>
  <c r="AS155" i="131"/>
  <c r="BM58" i="131"/>
  <c r="BM57" i="131"/>
  <c r="BM215" i="131"/>
  <c r="BM169" i="131"/>
  <c r="BM205" i="131"/>
  <c r="BM138" i="131"/>
  <c r="BM194" i="131"/>
  <c r="BM174" i="131"/>
  <c r="BM145" i="131"/>
  <c r="BM210" i="131"/>
  <c r="BM391" i="131"/>
  <c r="BM200" i="131"/>
  <c r="BM221" i="131"/>
  <c r="BM151" i="131"/>
  <c r="BM7" i="131"/>
  <c r="BM181" i="131"/>
  <c r="BM188" i="131"/>
  <c r="AW162" i="131" l="1"/>
  <c r="AW161" i="131"/>
  <c r="AO16" i="131"/>
  <c r="AO215" i="131"/>
  <c r="AO391" i="131"/>
  <c r="AO194" i="131"/>
  <c r="AO188" i="131"/>
  <c r="AO221" i="131"/>
  <c r="AO138" i="131"/>
  <c r="AO7" i="131"/>
  <c r="AO200" i="131"/>
  <c r="AO38" i="131"/>
  <c r="AO8" i="131"/>
  <c r="AO10" i="131"/>
  <c r="AO9" i="131"/>
  <c r="AO9" i="128"/>
  <c r="AO151" i="131"/>
  <c r="AO169" i="131"/>
  <c r="AO210" i="131"/>
  <c r="AO145" i="131"/>
  <c r="AP9" i="131"/>
  <c r="AP10" i="131"/>
  <c r="AO174" i="131"/>
  <c r="AO181" i="131"/>
  <c r="AO205" i="131"/>
  <c r="AO28" i="131"/>
  <c r="AO157" i="131"/>
  <c r="AO163" i="131"/>
  <c r="AO95" i="128"/>
  <c r="AS95" i="128" s="1"/>
  <c r="AW95" i="128" s="1"/>
  <c r="BA95" i="128" s="1"/>
  <c r="AO108" i="128"/>
  <c r="BA160" i="131"/>
  <c r="AW13" i="131"/>
  <c r="AW7" i="128" s="1"/>
  <c r="AW155" i="131"/>
  <c r="BA154" i="131"/>
  <c r="BA155" i="131" s="1"/>
  <c r="BA25" i="131"/>
  <c r="AS14" i="131"/>
  <c r="AS15" i="131"/>
  <c r="AS7" i="128"/>
  <c r="BA161" i="131" l="1"/>
  <c r="BA162" i="131"/>
  <c r="AO109" i="128"/>
  <c r="AO116" i="128" s="1"/>
  <c r="AO125" i="128" s="1"/>
  <c r="AO129" i="128" s="1"/>
  <c r="AP82" i="128"/>
  <c r="AO69" i="128"/>
  <c r="AO99" i="128"/>
  <c r="AS99" i="128" s="1"/>
  <c r="AW99" i="128" s="1"/>
  <c r="BA99" i="128" s="1"/>
  <c r="AO64" i="129"/>
  <c r="AO98" i="128"/>
  <c r="AS98" i="128" s="1"/>
  <c r="AO16" i="128"/>
  <c r="AO82" i="128"/>
  <c r="AO73" i="130"/>
  <c r="AO100" i="128"/>
  <c r="AO97" i="128"/>
  <c r="AS97" i="128" s="1"/>
  <c r="AW15" i="131"/>
  <c r="AW14" i="131"/>
  <c r="BA156" i="131"/>
  <c r="BA13" i="131"/>
  <c r="BA7" i="128" s="1"/>
  <c r="AW13" i="128"/>
  <c r="AW107" i="128"/>
  <c r="AS107" i="128"/>
  <c r="AS13" i="128"/>
  <c r="AW98" i="128" l="1"/>
  <c r="BA98" i="128" s="1"/>
  <c r="AO96" i="128"/>
  <c r="AO24" i="128"/>
  <c r="AO58" i="128"/>
  <c r="AP84" i="128"/>
  <c r="AO71" i="128"/>
  <c r="AO84" i="128"/>
  <c r="AO70" i="129"/>
  <c r="AS70" i="129" s="1"/>
  <c r="AW70" i="129" s="1"/>
  <c r="BA70" i="129" s="1"/>
  <c r="AO74" i="129"/>
  <c r="AS74" i="129" s="1"/>
  <c r="AW74" i="129" s="1"/>
  <c r="BA74" i="129" s="1"/>
  <c r="AO80" i="130"/>
  <c r="AO82" i="129"/>
  <c r="AS82" i="129" s="1"/>
  <c r="AW82" i="129" s="1"/>
  <c r="BA82" i="129" s="1"/>
  <c r="AO78" i="129"/>
  <c r="AS78" i="129" s="1"/>
  <c r="AW78" i="129" s="1"/>
  <c r="BA78" i="129" s="1"/>
  <c r="AO73" i="129"/>
  <c r="AS73" i="129" s="1"/>
  <c r="AW73" i="129" s="1"/>
  <c r="BA73" i="129" s="1"/>
  <c r="AO79" i="129"/>
  <c r="AS79" i="129" s="1"/>
  <c r="AW79" i="129" s="1"/>
  <c r="BA79" i="129" s="1"/>
  <c r="AO76" i="129"/>
  <c r="AS76" i="129" s="1"/>
  <c r="AW76" i="129" s="1"/>
  <c r="BA76" i="129" s="1"/>
  <c r="AO81" i="129"/>
  <c r="AO80" i="129"/>
  <c r="AO75" i="129"/>
  <c r="AS75" i="129" s="1"/>
  <c r="AW75" i="129" s="1"/>
  <c r="BA75" i="129" s="1"/>
  <c r="AO132" i="128"/>
  <c r="AO135" i="128" s="1"/>
  <c r="AO131" i="128"/>
  <c r="BA14" i="131"/>
  <c r="BA15" i="131"/>
  <c r="BA107" i="128"/>
  <c r="BA13" i="128"/>
  <c r="AO94" i="130" l="1"/>
  <c r="AS94" i="130" s="1"/>
  <c r="AW94" i="130" s="1"/>
  <c r="BA94" i="130" s="1"/>
  <c r="AO87" i="130"/>
  <c r="AO88" i="130"/>
  <c r="AO90" i="130"/>
  <c r="AS90" i="130" s="1"/>
  <c r="AW90" i="130" s="1"/>
  <c r="BA90" i="130" s="1"/>
  <c r="AO137" i="128"/>
  <c r="AO138" i="128"/>
  <c r="AO101" i="128"/>
  <c r="AO26" i="128"/>
  <c r="AO30" i="128"/>
  <c r="AP89" i="128"/>
  <c r="AO59" i="128"/>
  <c r="AO76" i="128"/>
  <c r="AO89" i="128"/>
  <c r="AO67" i="129"/>
  <c r="AO83" i="130" s="1"/>
  <c r="AO32" i="128" l="1"/>
  <c r="AO91" i="130"/>
  <c r="AS91" i="130" s="1"/>
  <c r="AW91" i="130" s="1"/>
  <c r="BA91" i="130" s="1"/>
  <c r="AO33" i="128"/>
  <c r="AK129" i="131"/>
  <c r="AL133" i="131" s="1"/>
  <c r="AO107" i="131"/>
  <c r="AK113" i="131"/>
  <c r="AL110" i="131"/>
  <c r="AL111" i="131"/>
  <c r="AK110" i="131"/>
  <c r="AK111" i="131"/>
  <c r="AK112" i="131"/>
  <c r="BL107" i="131"/>
  <c r="AO102" i="128" l="1"/>
  <c r="AO35" i="128"/>
  <c r="AO61" i="128"/>
  <c r="AO62" i="128" s="1"/>
  <c r="AP90" i="128"/>
  <c r="AO77" i="128"/>
  <c r="AO90" i="128"/>
  <c r="AO68" i="129"/>
  <c r="AO84" i="130" s="1"/>
  <c r="AO34" i="131"/>
  <c r="AP111" i="131"/>
  <c r="AP110" i="131"/>
  <c r="AO88" i="131"/>
  <c r="AO26" i="131"/>
  <c r="AL132" i="131"/>
  <c r="AO113" i="131"/>
  <c r="AK133" i="131"/>
  <c r="BL113" i="131"/>
  <c r="AK132" i="131"/>
  <c r="AO130" i="131"/>
  <c r="BL112" i="131"/>
  <c r="BL129" i="131"/>
  <c r="AO108" i="131"/>
  <c r="AO110" i="131"/>
  <c r="AO112" i="131"/>
  <c r="AO129" i="131"/>
  <c r="AO111" i="131"/>
  <c r="BM107" i="131"/>
  <c r="BK107" i="131"/>
  <c r="AP91" i="128" l="1"/>
  <c r="AO91" i="128"/>
  <c r="AO38" i="128"/>
  <c r="AO78" i="128"/>
  <c r="AP132" i="131"/>
  <c r="AP133" i="131"/>
  <c r="AG107" i="131"/>
  <c r="BK88" i="131"/>
  <c r="BK112" i="131"/>
  <c r="BK113" i="131"/>
  <c r="BK26" i="131"/>
  <c r="BK108" i="131"/>
  <c r="BL26" i="131"/>
  <c r="BL88" i="131"/>
  <c r="BM88" i="131"/>
  <c r="BM108" i="131"/>
  <c r="BM26" i="131"/>
  <c r="BM112" i="131"/>
  <c r="BM113" i="131"/>
  <c r="AO132" i="131"/>
  <c r="BM129" i="131"/>
  <c r="AO133" i="131"/>
  <c r="AS131" i="131"/>
  <c r="AS130" i="131" s="1"/>
  <c r="BL108" i="131"/>
  <c r="AK109" i="131" l="1"/>
  <c r="AK131" i="131" s="1"/>
  <c r="BL131" i="131" s="1"/>
  <c r="BM130" i="131"/>
  <c r="BN130" i="131"/>
  <c r="AG129" i="131"/>
  <c r="AG26" i="131"/>
  <c r="AG110" i="131"/>
  <c r="AG111" i="131"/>
  <c r="AG109" i="131"/>
  <c r="AG108" i="131"/>
  <c r="AK26" i="131"/>
  <c r="AK108" i="131"/>
  <c r="AK88" i="131"/>
  <c r="AH110" i="131"/>
  <c r="AK34" i="131"/>
  <c r="AH111" i="131"/>
  <c r="AR107" i="131"/>
  <c r="AR86" i="131" s="1"/>
  <c r="AG132" i="131" l="1"/>
  <c r="AH133" i="131"/>
  <c r="BK129" i="131"/>
  <c r="BL130" i="131" s="1"/>
  <c r="AH132" i="131"/>
  <c r="AK130" i="131"/>
  <c r="AG133" i="131"/>
  <c r="AR110" i="131"/>
  <c r="AR109" i="131"/>
  <c r="AS107" i="131"/>
  <c r="AR113" i="131"/>
  <c r="AR108" i="131"/>
  <c r="AR26" i="131"/>
  <c r="AR34" i="131"/>
  <c r="AS86" i="131" l="1"/>
  <c r="AS63" i="131" s="1"/>
  <c r="AS113" i="131"/>
  <c r="AS34" i="131"/>
  <c r="AS109" i="131"/>
  <c r="AT107" i="131"/>
  <c r="AS110" i="131"/>
  <c r="AS108" i="131"/>
  <c r="AS26" i="131"/>
  <c r="AR63" i="131"/>
  <c r="AR90" i="131"/>
  <c r="AR87" i="131"/>
  <c r="AR92" i="131"/>
  <c r="AR91" i="131"/>
  <c r="AR89" i="131"/>
  <c r="AR88" i="131"/>
  <c r="BN107" i="131"/>
  <c r="AR112" i="131"/>
  <c r="BN86" i="131" l="1"/>
  <c r="BN89" i="131" s="1"/>
  <c r="AU107" i="131"/>
  <c r="AT110" i="131"/>
  <c r="AT109" i="131"/>
  <c r="AT108" i="131"/>
  <c r="AT86" i="131"/>
  <c r="BN109" i="131"/>
  <c r="BN108" i="131"/>
  <c r="AR65" i="131"/>
  <c r="AR68" i="131"/>
  <c r="AR66" i="131"/>
  <c r="AR64" i="131"/>
  <c r="AR67" i="131"/>
  <c r="AS92" i="131"/>
  <c r="AS68" i="131" s="1"/>
  <c r="AS87" i="131"/>
  <c r="AS90" i="131"/>
  <c r="AS89" i="131"/>
  <c r="AS91" i="131"/>
  <c r="AS88" i="131"/>
  <c r="AS112" i="131"/>
  <c r="BN112" i="131" l="1"/>
  <c r="BN87" i="131"/>
  <c r="BN88" i="131"/>
  <c r="AT87" i="131"/>
  <c r="AT90" i="131"/>
  <c r="AT88" i="131"/>
  <c r="AT91" i="131"/>
  <c r="AT89" i="131"/>
  <c r="AS64" i="131"/>
  <c r="AS66" i="131"/>
  <c r="AS65" i="131"/>
  <c r="AS67" i="131"/>
  <c r="AT112" i="131"/>
  <c r="AU109" i="131"/>
  <c r="AV107" i="131"/>
  <c r="AU113" i="131"/>
  <c r="AU110" i="131"/>
  <c r="AU26" i="131"/>
  <c r="AU86" i="131"/>
  <c r="AU112" i="131" s="1"/>
  <c r="AU34" i="131"/>
  <c r="AU108" i="131"/>
  <c r="AV34" i="131" l="1"/>
  <c r="AV109" i="131"/>
  <c r="AV86" i="131"/>
  <c r="AV108" i="131"/>
  <c r="AV110" i="131"/>
  <c r="AV26" i="131"/>
  <c r="AV113" i="131"/>
  <c r="AW107" i="131"/>
  <c r="BO107" i="131" s="1"/>
  <c r="AU90" i="131"/>
  <c r="AU87" i="131"/>
  <c r="AU92" i="131"/>
  <c r="AU88" i="131"/>
  <c r="AU91" i="131"/>
  <c r="AU89" i="131"/>
  <c r="AU63" i="131"/>
  <c r="AV92" i="131" l="1"/>
  <c r="AV89" i="131"/>
  <c r="AV88" i="131"/>
  <c r="AV91" i="131"/>
  <c r="AV87" i="131"/>
  <c r="AV63" i="131"/>
  <c r="AV90" i="131"/>
  <c r="AU64" i="131"/>
  <c r="AU65" i="131"/>
  <c r="AU68" i="131"/>
  <c r="BO109" i="131"/>
  <c r="BO108" i="131"/>
  <c r="AW109" i="131"/>
  <c r="AW113" i="131"/>
  <c r="AX107" i="131"/>
  <c r="AW26" i="131"/>
  <c r="AW34" i="131"/>
  <c r="AW110" i="131"/>
  <c r="AW86" i="131"/>
  <c r="AW112" i="131" s="1"/>
  <c r="AW108" i="131"/>
  <c r="AV112" i="131"/>
  <c r="AX86" i="131" l="1"/>
  <c r="AX112" i="131" s="1"/>
  <c r="AX109" i="131"/>
  <c r="AX108" i="131"/>
  <c r="AY107" i="131"/>
  <c r="AX110" i="131"/>
  <c r="AV64" i="131"/>
  <c r="AV66" i="131"/>
  <c r="AV67" i="131"/>
  <c r="AV65" i="131"/>
  <c r="AV68" i="131"/>
  <c r="AW91" i="131"/>
  <c r="AW92" i="131"/>
  <c r="AW68" i="131" s="1"/>
  <c r="AW90" i="131"/>
  <c r="AW87" i="131"/>
  <c r="AW88" i="131"/>
  <c r="AW63" i="131"/>
  <c r="AW89" i="131"/>
  <c r="BO86" i="131"/>
  <c r="AZ107" i="131" l="1"/>
  <c r="AY113" i="131"/>
  <c r="AY26" i="131"/>
  <c r="AY34" i="131"/>
  <c r="AY86" i="131"/>
  <c r="AY112" i="131" s="1"/>
  <c r="AY110" i="131"/>
  <c r="AY108" i="131"/>
  <c r="AY109" i="131"/>
  <c r="AW64" i="131"/>
  <c r="AW67" i="131"/>
  <c r="AW65" i="131"/>
  <c r="AW66" i="131"/>
  <c r="BO87" i="131"/>
  <c r="BO89" i="131"/>
  <c r="BO88" i="131"/>
  <c r="BO112" i="131"/>
  <c r="AX90" i="131"/>
  <c r="AX89" i="131"/>
  <c r="AX87" i="131"/>
  <c r="AX91" i="131"/>
  <c r="AX88" i="131"/>
  <c r="AZ109" i="131" l="1"/>
  <c r="AZ110" i="131"/>
  <c r="AZ108" i="131"/>
  <c r="AZ86" i="131"/>
  <c r="AZ113" i="131"/>
  <c r="BA107" i="131"/>
  <c r="AZ26" i="131"/>
  <c r="AZ34" i="131"/>
  <c r="AY92" i="131"/>
  <c r="AY90" i="131"/>
  <c r="AY91" i="131"/>
  <c r="AY87" i="131"/>
  <c r="AY89" i="131"/>
  <c r="AY88" i="131"/>
  <c r="AY63" i="131"/>
  <c r="AZ63" i="131" l="1"/>
  <c r="AZ92" i="131"/>
  <c r="AZ89" i="131"/>
  <c r="AZ91" i="131"/>
  <c r="AZ90" i="131"/>
  <c r="AZ87" i="131"/>
  <c r="AZ88" i="131"/>
  <c r="AY68" i="131"/>
  <c r="AY64" i="131"/>
  <c r="AY65" i="131"/>
  <c r="BA26" i="131"/>
  <c r="BA113" i="131"/>
  <c r="BA34" i="131"/>
  <c r="BA110" i="131"/>
  <c r="BA109" i="131"/>
  <c r="BA86" i="131"/>
  <c r="BA108" i="131"/>
  <c r="BP107" i="131"/>
  <c r="AZ112" i="131"/>
  <c r="BA92" i="131" l="1"/>
  <c r="BA68" i="131" s="1"/>
  <c r="BA63" i="131"/>
  <c r="BA89" i="131"/>
  <c r="BA90" i="131"/>
  <c r="BA88" i="131"/>
  <c r="BA87" i="131"/>
  <c r="BA91" i="131"/>
  <c r="BA112" i="131"/>
  <c r="BP86" i="131"/>
  <c r="BP112" i="131" s="1"/>
  <c r="BP108" i="131"/>
  <c r="BP109" i="131"/>
  <c r="AZ65" i="131"/>
  <c r="AZ64" i="131"/>
  <c r="AZ68" i="131"/>
  <c r="AZ67" i="131"/>
  <c r="AZ66" i="131"/>
  <c r="BP87" i="131" l="1"/>
  <c r="BP89" i="131"/>
  <c r="BP88" i="131"/>
  <c r="BA65" i="131"/>
  <c r="BA64" i="131"/>
  <c r="BA66" i="131"/>
  <c r="BA67" i="131"/>
  <c r="BA53" i="131" l="1"/>
  <c r="AO49" i="131"/>
  <c r="AO54" i="131"/>
  <c r="AO50" i="131" l="1"/>
  <c r="AS50" i="131" l="1"/>
  <c r="AW50" i="131" s="1"/>
  <c r="BA50" i="131" s="1"/>
  <c r="AR72" i="131"/>
  <c r="AR52" i="131"/>
  <c r="AS49" i="131" l="1"/>
  <c r="AW49" i="131" s="1"/>
  <c r="BA49" i="131" s="1"/>
  <c r="AR73" i="131"/>
  <c r="AR74" i="131"/>
  <c r="AR81" i="131"/>
  <c r="AR76" i="131"/>
  <c r="AR84" i="131" s="1"/>
  <c r="AS72" i="131"/>
  <c r="BN72" i="131" s="1"/>
  <c r="AR54" i="131"/>
  <c r="AS52" i="131"/>
  <c r="AR82" i="131" l="1"/>
  <c r="AR83" i="131"/>
  <c r="BN73" i="131"/>
  <c r="BN74" i="131"/>
  <c r="AS54" i="131"/>
  <c r="AT72" i="131"/>
  <c r="AT52" i="131"/>
  <c r="BN52" i="131"/>
  <c r="AS81" i="131"/>
  <c r="AS74" i="131"/>
  <c r="AS73" i="131"/>
  <c r="AS76" i="131"/>
  <c r="AS84" i="131" s="1"/>
  <c r="AU52" i="131" l="1"/>
  <c r="AT54" i="131"/>
  <c r="AU72" i="131"/>
  <c r="AS82" i="131"/>
  <c r="AS83" i="131"/>
  <c r="BN54" i="131"/>
  <c r="BN53" i="131"/>
  <c r="AT74" i="131"/>
  <c r="AT73" i="131"/>
  <c r="AU81" i="131" l="1"/>
  <c r="AU73" i="131"/>
  <c r="AU74" i="131"/>
  <c r="AU76" i="131"/>
  <c r="AU84" i="131" s="1"/>
  <c r="AV52" i="131"/>
  <c r="AV72" i="131"/>
  <c r="AU54" i="131"/>
  <c r="AU83" i="131" l="1"/>
  <c r="AU82" i="131"/>
  <c r="AV73" i="131"/>
  <c r="AV74" i="131"/>
  <c r="AV81" i="131"/>
  <c r="AV76" i="131"/>
  <c r="AV84" i="131" s="1"/>
  <c r="AW52" i="131"/>
  <c r="AV54" i="131"/>
  <c r="AW72" i="131"/>
  <c r="AV82" i="131" l="1"/>
  <c r="AV83" i="131"/>
  <c r="AW81" i="131"/>
  <c r="AW73" i="131"/>
  <c r="AW74" i="131"/>
  <c r="AW76" i="131"/>
  <c r="AW84" i="131" s="1"/>
  <c r="BO52" i="131"/>
  <c r="AX72" i="131"/>
  <c r="AX52" i="131"/>
  <c r="AW54" i="131"/>
  <c r="BO72" i="131"/>
  <c r="BO73" i="131" l="1"/>
  <c r="BO74" i="131"/>
  <c r="AY72" i="131"/>
  <c r="AY52" i="131"/>
  <c r="AX54" i="131"/>
  <c r="AX74" i="131"/>
  <c r="AX73" i="131"/>
  <c r="BO54" i="131"/>
  <c r="BO53" i="131"/>
  <c r="AW83" i="131"/>
  <c r="AW82" i="131"/>
  <c r="AY54" i="131" l="1"/>
  <c r="AZ52" i="131"/>
  <c r="AZ72" i="131"/>
  <c r="AY81" i="131"/>
  <c r="AY74" i="131"/>
  <c r="AY73" i="131"/>
  <c r="AY76" i="131"/>
  <c r="AY84" i="131" s="1"/>
  <c r="BA72" i="131" l="1"/>
  <c r="BA52" i="131"/>
  <c r="AZ54" i="131"/>
  <c r="AZ76" i="131"/>
  <c r="AZ84" i="131" s="1"/>
  <c r="AZ81" i="131"/>
  <c r="AZ74" i="131"/>
  <c r="AZ73" i="131"/>
  <c r="AY83" i="131"/>
  <c r="AY82" i="131"/>
  <c r="AZ83" i="131" l="1"/>
  <c r="AZ82" i="131"/>
  <c r="BP52" i="131"/>
  <c r="BA54" i="131"/>
  <c r="BA73" i="131"/>
  <c r="BA81" i="131"/>
  <c r="BA76" i="131"/>
  <c r="BA84" i="131" s="1"/>
  <c r="BA74" i="131"/>
  <c r="BP72" i="131"/>
  <c r="BP54" i="131" l="1"/>
  <c r="BP53" i="131"/>
  <c r="BA83" i="131"/>
  <c r="BA82" i="131"/>
  <c r="BP73" i="131"/>
  <c r="BP74" i="131"/>
  <c r="BA42" i="131" l="1"/>
  <c r="BA75" i="131" s="1"/>
  <c r="AZ42" i="131"/>
  <c r="AY42" i="131"/>
  <c r="AY56" i="131" s="1"/>
  <c r="AX42" i="131"/>
  <c r="AW42" i="131"/>
  <c r="AV42" i="131"/>
  <c r="AU42" i="131"/>
  <c r="AU75" i="131" s="1"/>
  <c r="AT42" i="131"/>
  <c r="AS42" i="131"/>
  <c r="AS43" i="131" s="1"/>
  <c r="AR42" i="131"/>
  <c r="AR43" i="131" s="1"/>
  <c r="AV45" i="131" l="1"/>
  <c r="AV46" i="131"/>
  <c r="AW96" i="131"/>
  <c r="AW102" i="131" s="1"/>
  <c r="AW46" i="131"/>
  <c r="AW75" i="131"/>
  <c r="AW47" i="131"/>
  <c r="AW61" i="131" s="1"/>
  <c r="AR44" i="131"/>
  <c r="AR46" i="131"/>
  <c r="AZ44" i="131"/>
  <c r="AZ46" i="131"/>
  <c r="AZ56" i="131"/>
  <c r="AZ59" i="131" s="1"/>
  <c r="BA43" i="131"/>
  <c r="BA46" i="131"/>
  <c r="AR75" i="131"/>
  <c r="AS47" i="131"/>
  <c r="AS61" i="131" s="1"/>
  <c r="AS46" i="131"/>
  <c r="AR96" i="131"/>
  <c r="AR99" i="131" s="1"/>
  <c r="BO42" i="131"/>
  <c r="AU46" i="131"/>
  <c r="AT46" i="131"/>
  <c r="AX96" i="131"/>
  <c r="AX102" i="131" s="1"/>
  <c r="AY46" i="131"/>
  <c r="AX46" i="131"/>
  <c r="AR56" i="131"/>
  <c r="AU44" i="131"/>
  <c r="AU56" i="131"/>
  <c r="AW43" i="131"/>
  <c r="AZ45" i="131"/>
  <c r="BA45" i="131"/>
  <c r="AU47" i="131"/>
  <c r="AU61" i="131" s="1"/>
  <c r="AZ43" i="131"/>
  <c r="AT44" i="131"/>
  <c r="AY75" i="131"/>
  <c r="AZ47" i="131"/>
  <c r="AZ61" i="131" s="1"/>
  <c r="BA44" i="131"/>
  <c r="AT75" i="131"/>
  <c r="AS56" i="131"/>
  <c r="AU45" i="131"/>
  <c r="AW45" i="131"/>
  <c r="AX44" i="131"/>
  <c r="BP42" i="131"/>
  <c r="BA47" i="131"/>
  <c r="BA61" i="131" s="1"/>
  <c r="BA56" i="131"/>
  <c r="AR47" i="131"/>
  <c r="AR61" i="131" s="1"/>
  <c r="AS75" i="131"/>
  <c r="AT43" i="131"/>
  <c r="AU43" i="131"/>
  <c r="AV44" i="131"/>
  <c r="AY45" i="131"/>
  <c r="AY96" i="131"/>
  <c r="AT45" i="131"/>
  <c r="AT96" i="131"/>
  <c r="AU96" i="131"/>
  <c r="AV56" i="131"/>
  <c r="AV96" i="131"/>
  <c r="AX75" i="131"/>
  <c r="AW56" i="131"/>
  <c r="AY43" i="131"/>
  <c r="AS45" i="131"/>
  <c r="AS96" i="131"/>
  <c r="AV47" i="131"/>
  <c r="AV61" i="131" s="1"/>
  <c r="AX43" i="131"/>
  <c r="AY44" i="131"/>
  <c r="AZ96" i="131"/>
  <c r="BA96" i="131"/>
  <c r="BN42" i="131"/>
  <c r="AY47" i="131"/>
  <c r="AY61" i="131" s="1"/>
  <c r="AS44" i="131"/>
  <c r="AV75" i="131"/>
  <c r="AR45" i="131"/>
  <c r="AV43" i="131"/>
  <c r="AW44" i="131"/>
  <c r="AX45" i="131"/>
  <c r="AZ75" i="131"/>
  <c r="AZ58" i="131" l="1"/>
  <c r="AZ60" i="131"/>
  <c r="AX99" i="131"/>
  <c r="AX97" i="131"/>
  <c r="AX100" i="131"/>
  <c r="AX105" i="131" s="1"/>
  <c r="AW99" i="131"/>
  <c r="AW100" i="131"/>
  <c r="AW105" i="131" s="1"/>
  <c r="AR102" i="131"/>
  <c r="AR104" i="131" s="1"/>
  <c r="BP96" i="131"/>
  <c r="BP99" i="131" s="1"/>
  <c r="AR97" i="131"/>
  <c r="BO49" i="131"/>
  <c r="BO75" i="131"/>
  <c r="BO43" i="131"/>
  <c r="AR100" i="131"/>
  <c r="AR105" i="131" s="1"/>
  <c r="AR98" i="131"/>
  <c r="AU57" i="131"/>
  <c r="AU58" i="131"/>
  <c r="AR58" i="131"/>
  <c r="AR60" i="131"/>
  <c r="AR59" i="131"/>
  <c r="AR57" i="131"/>
  <c r="AZ99" i="131"/>
  <c r="AZ98" i="131"/>
  <c r="AZ100" i="131"/>
  <c r="AZ105" i="131" s="1"/>
  <c r="AZ97" i="131"/>
  <c r="AZ102" i="131"/>
  <c r="AS98" i="131"/>
  <c r="AS97" i="131"/>
  <c r="AS99" i="131"/>
  <c r="AS100" i="131"/>
  <c r="AS105" i="131" s="1"/>
  <c r="AS102" i="131"/>
  <c r="AW103" i="131" s="1"/>
  <c r="AS58" i="131"/>
  <c r="AS57" i="131"/>
  <c r="AS60" i="131"/>
  <c r="AS59" i="131"/>
  <c r="AX98" i="131"/>
  <c r="AY58" i="131"/>
  <c r="AY57" i="131"/>
  <c r="AW98" i="131"/>
  <c r="AW58" i="131"/>
  <c r="AW57" i="131"/>
  <c r="AW59" i="131"/>
  <c r="AW60" i="131"/>
  <c r="BN96" i="131"/>
  <c r="AY99" i="131"/>
  <c r="AY97" i="131"/>
  <c r="AY100" i="131"/>
  <c r="AY105" i="131" s="1"/>
  <c r="AY98" i="131"/>
  <c r="AY102" i="131"/>
  <c r="AW97" i="131"/>
  <c r="BP44" i="131"/>
  <c r="BP75" i="131"/>
  <c r="BP49" i="131"/>
  <c r="BP43" i="131"/>
  <c r="AV98" i="131"/>
  <c r="AV100" i="131"/>
  <c r="AV105" i="131" s="1"/>
  <c r="AV97" i="131"/>
  <c r="AV99" i="131"/>
  <c r="AV102" i="131"/>
  <c r="BN75" i="131"/>
  <c r="BN43" i="131"/>
  <c r="BN49" i="131"/>
  <c r="BN50" i="131" s="1"/>
  <c r="BN44" i="131"/>
  <c r="AV57" i="131"/>
  <c r="AV58" i="131"/>
  <c r="AV60" i="131"/>
  <c r="AV59" i="131"/>
  <c r="BA59" i="131"/>
  <c r="BA60" i="131"/>
  <c r="BA57" i="131"/>
  <c r="BA58" i="131"/>
  <c r="BO44" i="131"/>
  <c r="AT98" i="131"/>
  <c r="AT99" i="131"/>
  <c r="AT100" i="131"/>
  <c r="AT105" i="131" s="1"/>
  <c r="AT97" i="131"/>
  <c r="BO96" i="131"/>
  <c r="AT102" i="131"/>
  <c r="AX104" i="131" s="1"/>
  <c r="BA98" i="131"/>
  <c r="BA99" i="131"/>
  <c r="BA102" i="131"/>
  <c r="BA97" i="131"/>
  <c r="BA100" i="131"/>
  <c r="BA105" i="131" s="1"/>
  <c r="AU99" i="131"/>
  <c r="AU97" i="131"/>
  <c r="AU102" i="131"/>
  <c r="AU100" i="131"/>
  <c r="AU105" i="131" s="1"/>
  <c r="AU98" i="131"/>
  <c r="AZ57" i="131"/>
  <c r="BP50" i="131" l="1"/>
  <c r="AR103" i="131"/>
  <c r="AW104" i="131"/>
  <c r="BP100" i="131"/>
  <c r="BN102" i="131"/>
  <c r="BN97" i="131"/>
  <c r="BN105" i="131" s="1"/>
  <c r="BN98" i="131"/>
  <c r="BN99" i="131"/>
  <c r="BN100" i="131"/>
  <c r="AU104" i="131"/>
  <c r="AU103" i="131"/>
  <c r="AZ104" i="131"/>
  <c r="AZ103" i="131"/>
  <c r="BO99" i="131"/>
  <c r="BO98" i="131"/>
  <c r="BO100" i="131"/>
  <c r="BO97" i="131"/>
  <c r="BO105" i="131" s="1"/>
  <c r="AY103" i="131"/>
  <c r="AY104" i="131"/>
  <c r="AS104" i="131"/>
  <c r="AS103" i="131"/>
  <c r="AV104" i="131"/>
  <c r="AV103" i="131"/>
  <c r="BP98" i="131"/>
  <c r="BP102" i="131"/>
  <c r="BP97" i="131"/>
  <c r="BP105" i="131" s="1"/>
  <c r="BA104" i="131"/>
  <c r="BA103" i="131"/>
  <c r="BO50" i="131"/>
  <c r="AT103" i="131"/>
  <c r="AT104" i="131"/>
  <c r="BO102" i="131"/>
  <c r="AX103" i="131"/>
  <c r="BO103" i="131" l="1"/>
  <c r="BO104" i="131"/>
  <c r="BP103" i="131"/>
  <c r="BP104" i="131"/>
  <c r="BN104" i="131"/>
  <c r="BN103" i="131"/>
  <c r="BN32" i="131"/>
  <c r="BN34" i="131" l="1"/>
  <c r="BN33" i="131"/>
  <c r="BN47" i="131"/>
  <c r="BN61" i="131" s="1"/>
  <c r="BN92" i="131"/>
  <c r="BN68" i="131" s="1"/>
  <c r="BN473" i="131"/>
  <c r="BN474" i="131" s="1"/>
  <c r="BN35" i="131"/>
  <c r="AT32" i="131"/>
  <c r="AT34" i="131" s="1"/>
  <c r="AT24" i="131" l="1"/>
  <c r="AT154" i="131" s="1"/>
  <c r="AT37" i="131"/>
  <c r="BN24" i="131"/>
  <c r="AX32" i="131"/>
  <c r="BN56" i="131"/>
  <c r="AT47" i="131"/>
  <c r="AT61" i="131" s="1"/>
  <c r="BO32" i="131"/>
  <c r="AT56" i="131"/>
  <c r="AU36" i="131"/>
  <c r="AT92" i="131"/>
  <c r="AT36" i="131"/>
  <c r="BN63" i="131"/>
  <c r="AT35" i="131"/>
  <c r="AU37" i="131"/>
  <c r="AT63" i="131"/>
  <c r="AT113" i="131" l="1"/>
  <c r="AU27" i="131"/>
  <c r="AT160" i="131"/>
  <c r="AT26" i="131"/>
  <c r="AT25" i="131"/>
  <c r="AT13" i="131"/>
  <c r="AT27" i="131"/>
  <c r="BO24" i="131"/>
  <c r="AT156" i="131"/>
  <c r="AT155" i="131"/>
  <c r="AT81" i="131"/>
  <c r="AT68" i="131"/>
  <c r="AU66" i="131"/>
  <c r="AT66" i="131"/>
  <c r="AT64" i="131"/>
  <c r="AT67" i="131"/>
  <c r="AU67" i="131"/>
  <c r="AT76" i="131"/>
  <c r="AT84" i="131" s="1"/>
  <c r="BO63" i="131"/>
  <c r="AT65" i="131"/>
  <c r="BN58" i="131"/>
  <c r="BN57" i="131"/>
  <c r="BN113" i="131"/>
  <c r="BN26" i="131"/>
  <c r="BN25" i="131"/>
  <c r="AX47" i="131"/>
  <c r="AX61" i="131" s="1"/>
  <c r="BP32" i="131"/>
  <c r="AX24" i="131"/>
  <c r="AX35" i="131"/>
  <c r="AY37" i="131"/>
  <c r="AX56" i="131"/>
  <c r="AY36" i="131"/>
  <c r="AX36" i="131"/>
  <c r="AX37" i="131"/>
  <c r="AX63" i="131"/>
  <c r="AX92" i="131"/>
  <c r="AX34" i="131"/>
  <c r="BN81" i="131"/>
  <c r="BO56" i="131"/>
  <c r="AT57" i="131"/>
  <c r="AT59" i="131"/>
  <c r="AT58" i="131"/>
  <c r="AU60" i="131"/>
  <c r="AU59" i="131"/>
  <c r="AT60" i="131"/>
  <c r="BN65" i="131"/>
  <c r="BN64" i="131"/>
  <c r="BN76" i="131"/>
  <c r="BN84" i="131" s="1"/>
  <c r="BO34" i="131"/>
  <c r="BO35" i="131"/>
  <c r="BO92" i="131"/>
  <c r="BO68" i="131" s="1"/>
  <c r="BO47" i="131"/>
  <c r="BO61" i="131" s="1"/>
  <c r="BO473" i="131"/>
  <c r="BO474" i="131" s="1"/>
  <c r="BO33" i="131"/>
  <c r="AT161" i="131" l="1"/>
  <c r="AT162" i="131"/>
  <c r="BO25" i="131"/>
  <c r="AT14" i="131"/>
  <c r="AT7" i="128"/>
  <c r="AT15" i="131"/>
  <c r="BO26" i="131"/>
  <c r="BO113" i="131"/>
  <c r="BO64" i="131"/>
  <c r="BO65" i="131"/>
  <c r="BO76" i="131"/>
  <c r="BO84" i="131" s="1"/>
  <c r="AY27" i="131"/>
  <c r="AX25" i="131"/>
  <c r="BP24" i="131"/>
  <c r="AX113" i="131"/>
  <c r="AX27" i="131"/>
  <c r="AX26" i="131"/>
  <c r="AX160" i="131"/>
  <c r="AX154" i="131"/>
  <c r="BP35" i="131"/>
  <c r="BP92" i="131"/>
  <c r="BP68" i="131" s="1"/>
  <c r="BP47" i="131"/>
  <c r="BP61" i="131" s="1"/>
  <c r="BP473" i="131"/>
  <c r="BP474" i="131" s="1"/>
  <c r="BP34" i="131"/>
  <c r="BP33" i="131"/>
  <c r="BO57" i="131"/>
  <c r="BO58" i="131"/>
  <c r="AX59" i="131"/>
  <c r="AY59" i="131"/>
  <c r="BP56" i="131"/>
  <c r="AX57" i="131"/>
  <c r="AX58" i="131"/>
  <c r="AX60" i="131"/>
  <c r="AY60" i="131"/>
  <c r="AX67" i="131"/>
  <c r="AX68" i="131"/>
  <c r="AX65" i="131"/>
  <c r="BP63" i="131"/>
  <c r="AX66" i="131"/>
  <c r="AY67" i="131"/>
  <c r="AX64" i="131"/>
  <c r="AY66" i="131"/>
  <c r="AX81" i="131"/>
  <c r="AX76" i="131"/>
  <c r="AX84" i="131" s="1"/>
  <c r="BN83" i="131"/>
  <c r="BN82" i="131"/>
  <c r="BO81" i="131"/>
  <c r="AT82" i="131"/>
  <c r="AT83" i="131"/>
  <c r="AT13" i="128" l="1"/>
  <c r="AT107" i="128"/>
  <c r="BP57" i="131"/>
  <c r="BP58" i="131"/>
  <c r="BP113" i="131"/>
  <c r="BP25" i="131"/>
  <c r="BP26" i="131"/>
  <c r="BP76" i="131"/>
  <c r="BP84" i="131" s="1"/>
  <c r="BP64" i="131"/>
  <c r="BP65" i="131"/>
  <c r="AX156" i="131"/>
  <c r="AX155" i="131"/>
  <c r="AX13" i="131"/>
  <c r="BO82" i="131"/>
  <c r="BO83" i="131"/>
  <c r="AX161" i="131"/>
  <c r="AX162" i="131"/>
  <c r="AX83" i="131"/>
  <c r="AX82" i="131"/>
  <c r="BP81" i="131"/>
  <c r="BP83" i="131" l="1"/>
  <c r="BP82" i="131"/>
  <c r="AX14" i="131"/>
  <c r="AX15" i="131"/>
  <c r="AX7" i="128"/>
  <c r="AP26" i="128" l="1"/>
  <c r="BN14" i="129"/>
  <c r="BN34" i="129"/>
  <c r="AX13" i="128"/>
  <c r="AX107" i="128"/>
  <c r="BN8" i="129"/>
  <c r="BN27" i="129"/>
  <c r="BN29" i="129"/>
  <c r="BN28" i="129"/>
  <c r="BN10" i="129"/>
  <c r="BN33" i="129" l="1"/>
  <c r="BN18" i="129" l="1"/>
  <c r="BN42" i="129"/>
  <c r="BN35" i="129"/>
  <c r="AP84" i="129" l="1"/>
  <c r="BN6" i="129" l="1"/>
  <c r="BN54" i="129" l="1"/>
  <c r="BN53" i="129"/>
  <c r="BN56" i="129"/>
  <c r="BN13" i="129"/>
  <c r="BN15" i="129" l="1"/>
  <c r="BN23" i="129" l="1"/>
  <c r="BN49" i="129" l="1"/>
  <c r="BN50" i="129" l="1"/>
  <c r="BN51" i="129" l="1"/>
  <c r="BN60" i="129" s="1"/>
  <c r="BN61" i="129" s="1"/>
  <c r="AS6" i="131" l="1"/>
  <c r="AS19" i="131"/>
  <c r="AS8" i="128"/>
  <c r="AS163" i="131" l="1"/>
  <c r="AS194" i="131"/>
  <c r="AS157" i="131"/>
  <c r="AS210" i="131"/>
  <c r="AS21" i="131"/>
  <c r="AS151" i="131"/>
  <c r="AS28" i="131"/>
  <c r="AS174" i="131"/>
  <c r="AS181" i="131"/>
  <c r="AS215" i="131"/>
  <c r="AS221" i="131"/>
  <c r="AS145" i="131"/>
  <c r="AS38" i="131"/>
  <c r="AS391" i="131"/>
  <c r="AS7" i="131"/>
  <c r="AS8" i="131"/>
  <c r="AS16" i="131"/>
  <c r="AS9" i="128"/>
  <c r="AS45" i="128" s="1"/>
  <c r="AS188" i="131"/>
  <c r="AS138" i="131"/>
  <c r="AS108" i="128"/>
  <c r="AS14" i="128"/>
  <c r="AS15" i="128" s="1"/>
  <c r="AS21" i="128" l="1"/>
  <c r="AS20" i="128"/>
  <c r="AS109" i="128"/>
  <c r="AS22" i="128"/>
  <c r="AS16" i="128"/>
  <c r="AS64" i="129"/>
  <c r="AS69" i="128"/>
  <c r="AS44" i="128"/>
  <c r="AS70" i="128"/>
  <c r="AS65" i="129"/>
  <c r="AS81" i="130" s="1"/>
  <c r="AS72" i="128" l="1"/>
  <c r="AS23" i="128"/>
  <c r="AS24" i="128" s="1"/>
  <c r="AS66" i="129"/>
  <c r="AS82" i="130" s="1"/>
  <c r="AS73" i="128"/>
  <c r="AS43" i="128"/>
  <c r="AS11" i="130" s="1"/>
  <c r="AS8" i="129"/>
  <c r="AS10" i="129"/>
  <c r="AS80" i="130"/>
  <c r="AS27" i="129"/>
  <c r="AS28" i="129"/>
  <c r="AS14" i="129"/>
  <c r="AS34" i="129" s="1"/>
  <c r="AS29" i="129"/>
  <c r="AS71" i="128"/>
  <c r="AS58" i="128"/>
  <c r="AS96" i="128"/>
  <c r="AS74" i="128"/>
  <c r="AT203" i="131"/>
  <c r="BN202" i="131"/>
  <c r="BN203" i="131" s="1"/>
  <c r="AS205" i="131"/>
  <c r="AS204" i="131"/>
  <c r="AW204" i="131" s="1"/>
  <c r="BA204" i="131" s="1"/>
  <c r="AU204" i="131"/>
  <c r="AR204" i="131"/>
  <c r="AV204" i="131" s="1"/>
  <c r="AZ204" i="131" s="1"/>
  <c r="AR197" i="131"/>
  <c r="AR166" i="131" s="1"/>
  <c r="AT197" i="131"/>
  <c r="AT198" i="131" l="1"/>
  <c r="AT18" i="131"/>
  <c r="AR18" i="131"/>
  <c r="AT199" i="131"/>
  <c r="AR198" i="131"/>
  <c r="AR168" i="131"/>
  <c r="AU202" i="131"/>
  <c r="AU197" i="131" s="1"/>
  <c r="AU199" i="131" s="1"/>
  <c r="AY204" i="131"/>
  <c r="AS33" i="129"/>
  <c r="AS35" i="129" s="1"/>
  <c r="AS42" i="129" s="1"/>
  <c r="AS198" i="131"/>
  <c r="AS87" i="130"/>
  <c r="AS88" i="130"/>
  <c r="AS7" i="130"/>
  <c r="AS26" i="128" s="1"/>
  <c r="AS199" i="131"/>
  <c r="BN197" i="131"/>
  <c r="AS200" i="131"/>
  <c r="AR167" i="131"/>
  <c r="AS75" i="128"/>
  <c r="AS100" i="128"/>
  <c r="AS30" i="128"/>
  <c r="AS101" i="128"/>
  <c r="AS76" i="128"/>
  <c r="AS59" i="128"/>
  <c r="AS67" i="129"/>
  <c r="AS83" i="130" s="1"/>
  <c r="AR199" i="131"/>
  <c r="AT166" i="131"/>
  <c r="AT8" i="128" l="1"/>
  <c r="AT6" i="131"/>
  <c r="AT19" i="131"/>
  <c r="AT21" i="131"/>
  <c r="AT20" i="131"/>
  <c r="AS20" i="131"/>
  <c r="AR8" i="128"/>
  <c r="AR19" i="131"/>
  <c r="AR6" i="131"/>
  <c r="BN166" i="131"/>
  <c r="BN167" i="131" s="1"/>
  <c r="AU203" i="131"/>
  <c r="AV202" i="131"/>
  <c r="AU166" i="131"/>
  <c r="AU167" i="131" s="1"/>
  <c r="AU198" i="131"/>
  <c r="AT169" i="131"/>
  <c r="AT167" i="131"/>
  <c r="AT168" i="131"/>
  <c r="AS169" i="131"/>
  <c r="AS168" i="131"/>
  <c r="AS167" i="131"/>
  <c r="BN198" i="131"/>
  <c r="AS31" i="128"/>
  <c r="AS56" i="128" s="1"/>
  <c r="AT9" i="128" l="1"/>
  <c r="AT215" i="131"/>
  <c r="AT7" i="131"/>
  <c r="AT151" i="131"/>
  <c r="AT28" i="131"/>
  <c r="AT8" i="131"/>
  <c r="AT181" i="131"/>
  <c r="AT145" i="131"/>
  <c r="AT194" i="131"/>
  <c r="AT163" i="131"/>
  <c r="AT221" i="131"/>
  <c r="AT174" i="131"/>
  <c r="AT391" i="131"/>
  <c r="AT16" i="131"/>
  <c r="AT138" i="131"/>
  <c r="AT188" i="131"/>
  <c r="AT210" i="131"/>
  <c r="AT157" i="131"/>
  <c r="AT38" i="131"/>
  <c r="AT9" i="131"/>
  <c r="AT10" i="131"/>
  <c r="AT205" i="131"/>
  <c r="AT200" i="131"/>
  <c r="AT14" i="128"/>
  <c r="AT15" i="128" s="1"/>
  <c r="AT108" i="128"/>
  <c r="AR21" i="131"/>
  <c r="AR194" i="131"/>
  <c r="AR188" i="131"/>
  <c r="AR151" i="131"/>
  <c r="AS9" i="131"/>
  <c r="AS10" i="131"/>
  <c r="AR28" i="131"/>
  <c r="AR169" i="131"/>
  <c r="AR7" i="131"/>
  <c r="AR157" i="131"/>
  <c r="AR221" i="131"/>
  <c r="AR174" i="131"/>
  <c r="AR215" i="131"/>
  <c r="AR200" i="131"/>
  <c r="AR210" i="131"/>
  <c r="AR205" i="131"/>
  <c r="AR163" i="131"/>
  <c r="AR38" i="131"/>
  <c r="AR145" i="131"/>
  <c r="AR391" i="131"/>
  <c r="AR8" i="131"/>
  <c r="AR138" i="131"/>
  <c r="AR16" i="131"/>
  <c r="AR9" i="128"/>
  <c r="AR181" i="131"/>
  <c r="AR108" i="128"/>
  <c r="AR14" i="128"/>
  <c r="AR15" i="128" s="1"/>
  <c r="AW202" i="131"/>
  <c r="BO202" i="131" s="1"/>
  <c r="BO203" i="131" s="1"/>
  <c r="AV197" i="131"/>
  <c r="AV203" i="131"/>
  <c r="AU168" i="131"/>
  <c r="AS33" i="128"/>
  <c r="AW203" i="131"/>
  <c r="AX202" i="131"/>
  <c r="AW197" i="131" l="1"/>
  <c r="AV198" i="131"/>
  <c r="AV18" i="131"/>
  <c r="AT65" i="129"/>
  <c r="AT81" i="130" s="1"/>
  <c r="AT70" i="128"/>
  <c r="AT83" i="128"/>
  <c r="AT45" i="128"/>
  <c r="AT69" i="128"/>
  <c r="AT22" i="128"/>
  <c r="AT109" i="128"/>
  <c r="AT44" i="128"/>
  <c r="AT43" i="128" s="1"/>
  <c r="AT11" i="130" s="1"/>
  <c r="AT16" i="128"/>
  <c r="AT21" i="128"/>
  <c r="AT64" i="129"/>
  <c r="AT20" i="128"/>
  <c r="AT82" i="128"/>
  <c r="AV199" i="131"/>
  <c r="AV166" i="131"/>
  <c r="AV168" i="131" s="1"/>
  <c r="AR44" i="128"/>
  <c r="AR45" i="128"/>
  <c r="AR16" i="128"/>
  <c r="AR69" i="128"/>
  <c r="AR20" i="128"/>
  <c r="AS82" i="128"/>
  <c r="AR64" i="129"/>
  <c r="AR22" i="128"/>
  <c r="AR21" i="128"/>
  <c r="AR109" i="128"/>
  <c r="AR65" i="129"/>
  <c r="AR81" i="130" s="1"/>
  <c r="AS83" i="128"/>
  <c r="AR70" i="128"/>
  <c r="AW199" i="131"/>
  <c r="AW198" i="131"/>
  <c r="AS61" i="128"/>
  <c r="AS35" i="128"/>
  <c r="AS77" i="128"/>
  <c r="AS68" i="129"/>
  <c r="AS84" i="130" s="1"/>
  <c r="AS102" i="128"/>
  <c r="AY202" i="131"/>
  <c r="AX197" i="131"/>
  <c r="AX18" i="131" s="1"/>
  <c r="AX203" i="131"/>
  <c r="BO197" i="131"/>
  <c r="AV167" i="131" l="1"/>
  <c r="AT74" i="128"/>
  <c r="AT87" i="128"/>
  <c r="AT23" i="128"/>
  <c r="AT72" i="128"/>
  <c r="AT85" i="128"/>
  <c r="AT80" i="130"/>
  <c r="AT14" i="129"/>
  <c r="AT34" i="129" s="1"/>
  <c r="AT27" i="129"/>
  <c r="AT10" i="129"/>
  <c r="AT22" i="130" s="1"/>
  <c r="AT8" i="129"/>
  <c r="AT20" i="130" s="1"/>
  <c r="AT29" i="129"/>
  <c r="AT25" i="130" s="1"/>
  <c r="AT28" i="129"/>
  <c r="AT24" i="130" s="1"/>
  <c r="AV8" i="128"/>
  <c r="AV6" i="131"/>
  <c r="AV19" i="131"/>
  <c r="AT73" i="128"/>
  <c r="AT66" i="129"/>
  <c r="AT82" i="130" s="1"/>
  <c r="AT86" i="128"/>
  <c r="AT96" i="128"/>
  <c r="AT71" i="128"/>
  <c r="AT58" i="128"/>
  <c r="AT24" i="128"/>
  <c r="AT84" i="128"/>
  <c r="AW166" i="131"/>
  <c r="BO166" i="131" s="1"/>
  <c r="BO167" i="131" s="1"/>
  <c r="AW18" i="131"/>
  <c r="AX20" i="131" s="1"/>
  <c r="AR73" i="128"/>
  <c r="AR66" i="129"/>
  <c r="AR82" i="130" s="1"/>
  <c r="AS86" i="128"/>
  <c r="AS87" i="128"/>
  <c r="AR74" i="128"/>
  <c r="AR10" i="129"/>
  <c r="AS22" i="130" s="1"/>
  <c r="AR8" i="129"/>
  <c r="AS20" i="130" s="1"/>
  <c r="AR27" i="129"/>
  <c r="AR29" i="129"/>
  <c r="AS25" i="130" s="1"/>
  <c r="AR28" i="129"/>
  <c r="AS24" i="130" s="1"/>
  <c r="AR14" i="129"/>
  <c r="AR34" i="129" s="1"/>
  <c r="AR80" i="130"/>
  <c r="AS85" i="128"/>
  <c r="AR72" i="128"/>
  <c r="AR23" i="128"/>
  <c r="AR71" i="128"/>
  <c r="AR96" i="128"/>
  <c r="AR58" i="128"/>
  <c r="AS84" i="128"/>
  <c r="AR43" i="128"/>
  <c r="AR11" i="130" s="1"/>
  <c r="AY197" i="131"/>
  <c r="AZ202" i="131"/>
  <c r="AY203" i="131"/>
  <c r="BO198" i="131"/>
  <c r="AX166" i="131"/>
  <c r="AX199" i="131"/>
  <c r="AX198" i="131"/>
  <c r="AX6" i="131"/>
  <c r="AX21" i="131" s="1"/>
  <c r="AX8" i="128"/>
  <c r="AX19" i="131"/>
  <c r="AW167" i="131"/>
  <c r="AW168" i="131"/>
  <c r="AS78" i="128"/>
  <c r="AS6" i="130"/>
  <c r="AS62" i="128"/>
  <c r="AT33" i="129" l="1"/>
  <c r="AT35" i="129" s="1"/>
  <c r="AT42" i="129" s="1"/>
  <c r="AT23" i="130"/>
  <c r="AT76" i="128"/>
  <c r="AT59" i="128"/>
  <c r="AT26" i="128"/>
  <c r="AT30" i="128"/>
  <c r="AT101" i="128"/>
  <c r="AT67" i="129"/>
  <c r="AT83" i="130" s="1"/>
  <c r="AT89" i="128"/>
  <c r="AT88" i="130"/>
  <c r="AT7" i="130"/>
  <c r="AT87" i="130"/>
  <c r="AT19" i="130"/>
  <c r="AV21" i="131"/>
  <c r="AV181" i="131"/>
  <c r="AV194" i="131"/>
  <c r="AV145" i="131"/>
  <c r="AV188" i="131"/>
  <c r="AV205" i="131"/>
  <c r="AV16" i="131"/>
  <c r="AV210" i="131"/>
  <c r="AV157" i="131"/>
  <c r="AV169" i="131"/>
  <c r="AV28" i="131"/>
  <c r="AV163" i="131"/>
  <c r="AV9" i="128"/>
  <c r="AV391" i="131"/>
  <c r="AV138" i="131"/>
  <c r="AV38" i="131"/>
  <c r="AV221" i="131"/>
  <c r="AV7" i="131"/>
  <c r="AV8" i="131"/>
  <c r="AV215" i="131"/>
  <c r="AV151" i="131"/>
  <c r="AV200" i="131"/>
  <c r="AV174" i="131"/>
  <c r="AT75" i="128"/>
  <c r="AT100" i="128"/>
  <c r="AT88" i="128"/>
  <c r="AW6" i="131"/>
  <c r="AX10" i="131" s="1"/>
  <c r="AW8" i="128"/>
  <c r="AW19" i="131"/>
  <c r="AW20" i="131"/>
  <c r="AV14" i="128"/>
  <c r="AV15" i="128" s="1"/>
  <c r="AV108" i="128"/>
  <c r="AS23" i="130"/>
  <c r="AS19" i="130" s="1"/>
  <c r="AS29" i="130" s="1"/>
  <c r="AR33" i="129"/>
  <c r="AR35" i="129" s="1"/>
  <c r="AR42" i="129" s="1"/>
  <c r="AR88" i="130"/>
  <c r="AR87" i="130"/>
  <c r="AR7" i="130"/>
  <c r="AR24" i="128"/>
  <c r="AR100" i="128"/>
  <c r="AR75" i="128"/>
  <c r="AS88" i="128"/>
  <c r="AX200" i="131"/>
  <c r="AX168" i="131"/>
  <c r="AX169" i="131"/>
  <c r="AX167" i="131"/>
  <c r="AY166" i="131"/>
  <c r="AY199" i="131"/>
  <c r="AY198" i="131"/>
  <c r="AX14" i="128"/>
  <c r="AX108" i="128"/>
  <c r="AX9" i="128"/>
  <c r="AX45" i="128" s="1"/>
  <c r="AX16" i="131"/>
  <c r="AX215" i="131"/>
  <c r="AX210" i="131"/>
  <c r="AX221" i="131"/>
  <c r="AX38" i="131"/>
  <c r="AX163" i="131"/>
  <c r="AX7" i="131"/>
  <c r="AX157" i="131"/>
  <c r="AX181" i="131"/>
  <c r="AX174" i="131"/>
  <c r="AX138" i="131"/>
  <c r="AX9" i="131"/>
  <c r="AX194" i="131"/>
  <c r="AX151" i="131"/>
  <c r="AX145" i="131"/>
  <c r="AX391" i="131"/>
  <c r="AX188" i="131"/>
  <c r="AX28" i="131"/>
  <c r="AX8" i="131"/>
  <c r="AX205" i="131"/>
  <c r="AZ203" i="131"/>
  <c r="AZ197" i="131"/>
  <c r="AZ18" i="131" s="1"/>
  <c r="BA202" i="131"/>
  <c r="AV65" i="129" l="1"/>
  <c r="AV81" i="130" s="1"/>
  <c r="AV70" i="128"/>
  <c r="AW108" i="128"/>
  <c r="AW14" i="128"/>
  <c r="AW15" i="128" s="1"/>
  <c r="AT31" i="128"/>
  <c r="AT33" i="128" s="1"/>
  <c r="AW21" i="131"/>
  <c r="AW10" i="131"/>
  <c r="AW194" i="131"/>
  <c r="AW28" i="131"/>
  <c r="AW145" i="131"/>
  <c r="AW138" i="131"/>
  <c r="AW210" i="131"/>
  <c r="AW163" i="131"/>
  <c r="AW169" i="131"/>
  <c r="AW151" i="131"/>
  <c r="AW188" i="131"/>
  <c r="AW391" i="131"/>
  <c r="AW200" i="131"/>
  <c r="AW181" i="131"/>
  <c r="AW7" i="131"/>
  <c r="AW16" i="131"/>
  <c r="AW174" i="131"/>
  <c r="AW38" i="131"/>
  <c r="AW215" i="131"/>
  <c r="AW157" i="131"/>
  <c r="AW221" i="131"/>
  <c r="AW9" i="128"/>
  <c r="AX82" i="128" s="1"/>
  <c r="AW8" i="131"/>
  <c r="AW205" i="131"/>
  <c r="AW9" i="131"/>
  <c r="AV20" i="128"/>
  <c r="AV44" i="128"/>
  <c r="AV21" i="128"/>
  <c r="AV45" i="128"/>
  <c r="AV109" i="128"/>
  <c r="AV69" i="128"/>
  <c r="AV64" i="129"/>
  <c r="AV22" i="128"/>
  <c r="AV74" i="128" s="1"/>
  <c r="AV16" i="128"/>
  <c r="AR26" i="128"/>
  <c r="AS68" i="130"/>
  <c r="AS59" i="130"/>
  <c r="AR30" i="128"/>
  <c r="AR76" i="128"/>
  <c r="AR101" i="128"/>
  <c r="AS89" i="128"/>
  <c r="AR59" i="128"/>
  <c r="AR67" i="129"/>
  <c r="AR83" i="130" s="1"/>
  <c r="BA203" i="131"/>
  <c r="BA197" i="131"/>
  <c r="BP202" i="131"/>
  <c r="AZ166" i="131"/>
  <c r="AZ199" i="131"/>
  <c r="AZ198" i="131"/>
  <c r="AX22" i="128"/>
  <c r="AX64" i="129"/>
  <c r="AX21" i="128"/>
  <c r="AX20" i="128"/>
  <c r="AX109" i="128"/>
  <c r="AX69" i="128"/>
  <c r="AX44" i="128"/>
  <c r="AZ19" i="131"/>
  <c r="AZ6" i="131"/>
  <c r="AZ21" i="131" s="1"/>
  <c r="AZ8" i="128"/>
  <c r="AY168" i="131"/>
  <c r="AY167" i="131"/>
  <c r="AW83" i="128"/>
  <c r="AW65" i="129"/>
  <c r="AW81" i="130" s="1"/>
  <c r="AW70" i="128"/>
  <c r="AX15" i="128"/>
  <c r="AX16" i="128" s="1"/>
  <c r="AV43" i="128" l="1"/>
  <c r="AV11" i="130" s="1"/>
  <c r="AV66" i="129"/>
  <c r="AV82" i="130" s="1"/>
  <c r="AV73" i="128"/>
  <c r="BP197" i="131"/>
  <c r="BA18" i="131"/>
  <c r="AV23" i="128"/>
  <c r="AV72" i="128"/>
  <c r="AT56" i="128"/>
  <c r="AT61" i="128" s="1"/>
  <c r="AV96" i="128"/>
  <c r="AV71" i="128"/>
  <c r="AV58" i="128"/>
  <c r="AT35" i="128"/>
  <c r="AT68" i="129"/>
  <c r="AT84" i="130" s="1"/>
  <c r="AT102" i="128"/>
  <c r="AT77" i="128"/>
  <c r="AT90" i="128"/>
  <c r="AW16" i="128"/>
  <c r="AX84" i="128" s="1"/>
  <c r="AW45" i="128"/>
  <c r="AW22" i="128"/>
  <c r="AX87" i="128" s="1"/>
  <c r="AW109" i="128"/>
  <c r="AW64" i="129"/>
  <c r="AW82" i="128"/>
  <c r="AW44" i="128"/>
  <c r="AW20" i="128"/>
  <c r="AX85" i="128" s="1"/>
  <c r="AW21" i="128"/>
  <c r="AX86" i="128" s="1"/>
  <c r="AW69" i="128"/>
  <c r="AV8" i="129"/>
  <c r="AV10" i="129"/>
  <c r="AV14" i="129"/>
  <c r="AV34" i="129" s="1"/>
  <c r="AV28" i="129"/>
  <c r="AV29" i="129"/>
  <c r="AV80" i="130"/>
  <c r="AV27" i="129"/>
  <c r="AS72" i="130"/>
  <c r="AS73" i="130"/>
  <c r="AS84" i="129"/>
  <c r="AS70" i="130"/>
  <c r="AR31" i="128"/>
  <c r="AR56" i="128" s="1"/>
  <c r="AZ200" i="131"/>
  <c r="AX58" i="128"/>
  <c r="AX96" i="128"/>
  <c r="AX71" i="128"/>
  <c r="AZ167" i="131"/>
  <c r="AZ168" i="131"/>
  <c r="AZ169" i="131"/>
  <c r="AX83" i="128"/>
  <c r="AX65" i="129"/>
  <c r="AX81" i="130" s="1"/>
  <c r="AX70" i="128"/>
  <c r="AX23" i="128"/>
  <c r="AX72" i="128"/>
  <c r="BP203" i="131"/>
  <c r="AX66" i="129"/>
  <c r="AX82" i="130" s="1"/>
  <c r="AX73" i="128"/>
  <c r="BA166" i="131"/>
  <c r="BA199" i="131"/>
  <c r="BA198" i="131"/>
  <c r="AX27" i="129"/>
  <c r="AX10" i="129"/>
  <c r="AX29" i="129"/>
  <c r="AX28" i="129"/>
  <c r="AX8" i="129"/>
  <c r="AX80" i="130"/>
  <c r="AX14" i="129"/>
  <c r="AX34" i="129" s="1"/>
  <c r="AX74" i="128"/>
  <c r="BA8" i="128"/>
  <c r="BA19" i="131"/>
  <c r="BA20" i="131"/>
  <c r="BA6" i="131"/>
  <c r="BA21" i="131" s="1"/>
  <c r="AZ14" i="128"/>
  <c r="AZ108" i="128"/>
  <c r="AZ8" i="131"/>
  <c r="AZ28" i="131"/>
  <c r="AZ38" i="131"/>
  <c r="AZ181" i="131"/>
  <c r="AZ9" i="128"/>
  <c r="AZ45" i="128" s="1"/>
  <c r="AZ7" i="131"/>
  <c r="AZ138" i="131"/>
  <c r="AZ157" i="131"/>
  <c r="AZ215" i="131"/>
  <c r="AZ145" i="131"/>
  <c r="AZ16" i="131"/>
  <c r="AZ391" i="131"/>
  <c r="AZ210" i="131"/>
  <c r="AZ194" i="131"/>
  <c r="AZ151" i="131"/>
  <c r="AZ163" i="131"/>
  <c r="AZ188" i="131"/>
  <c r="AZ221" i="131"/>
  <c r="AZ174" i="131"/>
  <c r="AZ205" i="131"/>
  <c r="AX43" i="128"/>
  <c r="BP198" i="131"/>
  <c r="AW43" i="128" l="1"/>
  <c r="AW11" i="130" s="1"/>
  <c r="AV33" i="129"/>
  <c r="AV35" i="129" s="1"/>
  <c r="AV42" i="129" s="1"/>
  <c r="AV88" i="130"/>
  <c r="AV7" i="130"/>
  <c r="AV87" i="130"/>
  <c r="AW29" i="129"/>
  <c r="AW27" i="129"/>
  <c r="AW10" i="129"/>
  <c r="AW8" i="129"/>
  <c r="AW14" i="129"/>
  <c r="AW80" i="130"/>
  <c r="AW28" i="129"/>
  <c r="AT62" i="128"/>
  <c r="AT6" i="130"/>
  <c r="AT29" i="130" s="1"/>
  <c r="AW74" i="128"/>
  <c r="AW87" i="128"/>
  <c r="AW71" i="128"/>
  <c r="AW58" i="128"/>
  <c r="AW84" i="128"/>
  <c r="AW96" i="128"/>
  <c r="AV24" i="128"/>
  <c r="AV100" i="128"/>
  <c r="AV75" i="128"/>
  <c r="AT78" i="128"/>
  <c r="AT91" i="128"/>
  <c r="AW86" i="128"/>
  <c r="AW66" i="129"/>
  <c r="AW82" i="130" s="1"/>
  <c r="AW73" i="128"/>
  <c r="AW85" i="128"/>
  <c r="AW23" i="128"/>
  <c r="AX88" i="128" s="1"/>
  <c r="AW72" i="128"/>
  <c r="AR33" i="128"/>
  <c r="AR35" i="128" s="1"/>
  <c r="AZ15" i="128"/>
  <c r="AZ16" i="128" s="1"/>
  <c r="BA7" i="131"/>
  <c r="BA157" i="131"/>
  <c r="BA391" i="131"/>
  <c r="BA16" i="131"/>
  <c r="BA28" i="131"/>
  <c r="BA38" i="131"/>
  <c r="BA9" i="128"/>
  <c r="BA45" i="128" s="1"/>
  <c r="BA138" i="131"/>
  <c r="BA174" i="131"/>
  <c r="BA181" i="131"/>
  <c r="BA8" i="131"/>
  <c r="BA145" i="131"/>
  <c r="BA215" i="131"/>
  <c r="BA194" i="131"/>
  <c r="BA221" i="131"/>
  <c r="BA151" i="131"/>
  <c r="BA10" i="131"/>
  <c r="BA9" i="131"/>
  <c r="BA188" i="131"/>
  <c r="BA163" i="131"/>
  <c r="BA210" i="131"/>
  <c r="BA205" i="131"/>
  <c r="AZ109" i="128"/>
  <c r="AZ22" i="128"/>
  <c r="AZ20" i="128"/>
  <c r="AZ21" i="128"/>
  <c r="AZ64" i="129"/>
  <c r="AZ69" i="128"/>
  <c r="AZ44" i="128"/>
  <c r="BA14" i="128"/>
  <c r="BA15" i="128" s="1"/>
  <c r="BA108" i="128"/>
  <c r="BA200" i="131"/>
  <c r="AX11" i="130"/>
  <c r="BA169" i="131"/>
  <c r="BA167" i="131"/>
  <c r="BA168" i="131"/>
  <c r="AX7" i="130"/>
  <c r="AX88" i="130"/>
  <c r="AX87" i="130"/>
  <c r="BP166" i="131"/>
  <c r="AX100" i="128"/>
  <c r="AX75" i="128"/>
  <c r="AX24" i="128"/>
  <c r="AX23" i="130"/>
  <c r="AX33" i="129"/>
  <c r="AX35" i="129" s="1"/>
  <c r="AX42" i="129" s="1"/>
  <c r="AX20" i="130"/>
  <c r="AW20" i="130" l="1"/>
  <c r="BO8" i="129"/>
  <c r="AW7" i="130"/>
  <c r="AW87" i="130"/>
  <c r="AW88" i="130"/>
  <c r="AW24" i="128"/>
  <c r="AW100" i="128"/>
  <c r="AW75" i="128"/>
  <c r="AW88" i="128"/>
  <c r="BO10" i="129"/>
  <c r="AW22" i="130"/>
  <c r="BO27" i="129"/>
  <c r="AW33" i="129"/>
  <c r="AW23" i="130"/>
  <c r="AV26" i="128"/>
  <c r="AV67" i="129"/>
  <c r="AV83" i="130" s="1"/>
  <c r="AV30" i="128"/>
  <c r="AV59" i="128"/>
  <c r="AV101" i="128"/>
  <c r="AV76" i="128"/>
  <c r="BO29" i="129"/>
  <c r="AW25" i="130"/>
  <c r="AT68" i="130"/>
  <c r="AT59" i="130"/>
  <c r="BO14" i="129"/>
  <c r="AW34" i="129"/>
  <c r="BO34" i="129" s="1"/>
  <c r="AX25" i="130"/>
  <c r="AX22" i="130"/>
  <c r="AW24" i="130"/>
  <c r="BO28" i="129"/>
  <c r="AX24" i="130"/>
  <c r="AR77" i="128"/>
  <c r="AR102" i="128"/>
  <c r="AS90" i="128"/>
  <c r="AR61" i="128"/>
  <c r="AR68" i="129"/>
  <c r="AR84" i="130" s="1"/>
  <c r="AR78" i="128"/>
  <c r="AS91" i="128"/>
  <c r="AZ43" i="128"/>
  <c r="AZ11" i="130" s="1"/>
  <c r="AZ23" i="128"/>
  <c r="AZ24" i="128" s="1"/>
  <c r="AZ72" i="128"/>
  <c r="BP167" i="131"/>
  <c r="AZ74" i="128"/>
  <c r="AZ65" i="129"/>
  <c r="AZ81" i="130" s="1"/>
  <c r="AZ70" i="128"/>
  <c r="AX30" i="128"/>
  <c r="AX59" i="128"/>
  <c r="AX101" i="128"/>
  <c r="AX67" i="129"/>
  <c r="AX83" i="130" s="1"/>
  <c r="AX89" i="128"/>
  <c r="AX26" i="128"/>
  <c r="AX76" i="128"/>
  <c r="BA83" i="128"/>
  <c r="BA65" i="129"/>
  <c r="BA81" i="130" s="1"/>
  <c r="BA70" i="128"/>
  <c r="BA82" i="128"/>
  <c r="BA22" i="128"/>
  <c r="BA109" i="128"/>
  <c r="BA64" i="129"/>
  <c r="BA16" i="128"/>
  <c r="BA20" i="128"/>
  <c r="BA21" i="128"/>
  <c r="BA69" i="128"/>
  <c r="BA44" i="128"/>
  <c r="AZ96" i="128"/>
  <c r="AZ58" i="128"/>
  <c r="AZ71" i="128"/>
  <c r="AZ10" i="129"/>
  <c r="AZ8" i="129"/>
  <c r="AZ29" i="129"/>
  <c r="AZ80" i="130"/>
  <c r="AZ28" i="129"/>
  <c r="AZ27" i="129"/>
  <c r="AZ14" i="129"/>
  <c r="AZ34" i="129" s="1"/>
  <c r="AZ66" i="129"/>
  <c r="AZ82" i="130" s="1"/>
  <c r="AZ73" i="128"/>
  <c r="AX19" i="130" l="1"/>
  <c r="AT73" i="130"/>
  <c r="AT70" i="130"/>
  <c r="AT84" i="129"/>
  <c r="AT72" i="130"/>
  <c r="AT71" i="130"/>
  <c r="AW67" i="129"/>
  <c r="AW83" i="130" s="1"/>
  <c r="AW101" i="128"/>
  <c r="AW76" i="128"/>
  <c r="AW89" i="128"/>
  <c r="AW30" i="128"/>
  <c r="AW59" i="128"/>
  <c r="AW26" i="128"/>
  <c r="AV31" i="128"/>
  <c r="AV56" i="128" s="1"/>
  <c r="BO33" i="129"/>
  <c r="AW35" i="129"/>
  <c r="AW19" i="130"/>
  <c r="AR62" i="128"/>
  <c r="AR6" i="130"/>
  <c r="AZ87" i="130"/>
  <c r="AZ88" i="130"/>
  <c r="AZ7" i="130"/>
  <c r="BA43" i="128"/>
  <c r="AX31" i="128"/>
  <c r="AX33" i="128" s="1"/>
  <c r="BA66" i="129"/>
  <c r="BA82" i="130" s="1"/>
  <c r="BA86" i="128"/>
  <c r="BA73" i="128"/>
  <c r="AZ33" i="129"/>
  <c r="AZ35" i="129" s="1"/>
  <c r="AZ42" i="129" s="1"/>
  <c r="BA23" i="128"/>
  <c r="BA85" i="128"/>
  <c r="BA72" i="128"/>
  <c r="BA96" i="128"/>
  <c r="BA58" i="128"/>
  <c r="BA84" i="128"/>
  <c r="BA71" i="128"/>
  <c r="AZ30" i="128"/>
  <c r="AZ101" i="128"/>
  <c r="AZ26" i="128"/>
  <c r="AZ59" i="128"/>
  <c r="AZ67" i="129"/>
  <c r="AZ83" i="130" s="1"/>
  <c r="AZ76" i="128"/>
  <c r="BA14" i="129"/>
  <c r="BA10" i="129"/>
  <c r="BP10" i="129" s="1"/>
  <c r="BA29" i="129"/>
  <c r="BA8" i="129"/>
  <c r="BP8" i="129" s="1"/>
  <c r="BA27" i="129"/>
  <c r="BA80" i="130"/>
  <c r="BA28" i="129"/>
  <c r="AZ100" i="128"/>
  <c r="AZ75" i="128"/>
  <c r="BA87" i="128"/>
  <c r="BA74" i="128"/>
  <c r="AV33" i="128" l="1"/>
  <c r="AW31" i="128"/>
  <c r="AW56" i="128" s="1"/>
  <c r="AW42" i="129"/>
  <c r="BO42" i="129" s="1"/>
  <c r="BO35" i="129"/>
  <c r="AV102" i="128"/>
  <c r="AV68" i="129"/>
  <c r="AV84" i="130" s="1"/>
  <c r="AV77" i="128"/>
  <c r="AV61" i="128"/>
  <c r="AV35" i="128"/>
  <c r="AX35" i="128"/>
  <c r="AX102" i="128"/>
  <c r="AX68" i="129"/>
  <c r="AX84" i="130" s="1"/>
  <c r="AX77" i="128"/>
  <c r="BA87" i="130"/>
  <c r="BA88" i="130"/>
  <c r="BA7" i="130"/>
  <c r="AZ31" i="128"/>
  <c r="AZ33" i="128" s="1"/>
  <c r="BA33" i="129"/>
  <c r="BA23" i="130"/>
  <c r="BP27" i="129"/>
  <c r="BA100" i="128"/>
  <c r="BA88" i="128"/>
  <c r="BA75" i="128"/>
  <c r="BA22" i="130"/>
  <c r="BP14" i="129"/>
  <c r="BA34" i="129"/>
  <c r="BP34" i="129" s="1"/>
  <c r="BA24" i="130"/>
  <c r="BP28" i="129"/>
  <c r="BA24" i="128"/>
  <c r="BA11" i="130"/>
  <c r="BA20" i="130"/>
  <c r="BA25" i="130"/>
  <c r="BP29" i="129"/>
  <c r="AX56" i="128"/>
  <c r="AX61" i="128" s="1"/>
  <c r="AW33" i="128" l="1"/>
  <c r="AX90" i="128" s="1"/>
  <c r="AV62" i="128"/>
  <c r="AV6" i="130"/>
  <c r="AV78" i="128"/>
  <c r="AW77" i="128"/>
  <c r="AW68" i="129"/>
  <c r="AW84" i="130" s="1"/>
  <c r="AW102" i="128"/>
  <c r="AW35" i="128"/>
  <c r="AW90" i="128"/>
  <c r="AW61" i="128"/>
  <c r="AZ35" i="128"/>
  <c r="AZ102" i="128"/>
  <c r="AZ68" i="129"/>
  <c r="AZ84" i="130" s="1"/>
  <c r="AZ77" i="128"/>
  <c r="AX6" i="130"/>
  <c r="AX62" i="128"/>
  <c r="BA19" i="130"/>
  <c r="AX78" i="128"/>
  <c r="AZ56" i="128"/>
  <c r="BA101" i="128"/>
  <c r="BA89" i="128"/>
  <c r="BA67" i="129"/>
  <c r="BA83" i="130" s="1"/>
  <c r="BA30" i="128"/>
  <c r="BA26" i="128"/>
  <c r="BA59" i="128"/>
  <c r="BA76" i="128"/>
  <c r="BP33" i="129"/>
  <c r="BA35" i="129"/>
  <c r="AW62" i="128" l="1"/>
  <c r="AW6" i="130"/>
  <c r="AW29" i="130" s="1"/>
  <c r="AW91" i="128"/>
  <c r="AW78" i="128"/>
  <c r="AX91" i="128"/>
  <c r="AZ61" i="128"/>
  <c r="AX29" i="130"/>
  <c r="AZ78" i="128"/>
  <c r="BP35" i="129"/>
  <c r="BA42" i="129"/>
  <c r="BP42" i="129" s="1"/>
  <c r="BA31" i="128"/>
  <c r="AW68" i="130" l="1"/>
  <c r="AW59" i="130"/>
  <c r="BA56" i="128"/>
  <c r="AZ6" i="130"/>
  <c r="AZ62" i="128"/>
  <c r="BA33" i="128"/>
  <c r="AX68" i="130"/>
  <c r="AX59" i="130"/>
  <c r="AW73" i="130" l="1"/>
  <c r="AW72" i="130"/>
  <c r="AW84" i="129"/>
  <c r="AW70" i="130"/>
  <c r="AX71" i="130"/>
  <c r="AX72" i="130"/>
  <c r="AX73" i="130"/>
  <c r="AX84" i="129"/>
  <c r="AX70" i="130"/>
  <c r="BA61" i="128"/>
  <c r="BA102" i="128"/>
  <c r="BA68" i="129"/>
  <c r="BA84" i="130" s="1"/>
  <c r="BA35" i="128"/>
  <c r="BA90" i="128"/>
  <c r="BA77" i="128"/>
  <c r="BA91" i="128" l="1"/>
  <c r="BA78" i="128"/>
  <c r="BA62" i="128"/>
  <c r="BA6" i="130"/>
  <c r="BA29" i="130" l="1"/>
  <c r="BA68" i="130" l="1"/>
  <c r="BA59" i="130"/>
  <c r="BA72" i="130" l="1"/>
  <c r="BA84" i="129"/>
  <c r="BA73" i="130"/>
  <c r="BA70" i="130"/>
  <c r="AU98" i="128"/>
  <c r="AY98" i="128" s="1"/>
  <c r="AM164" i="131"/>
  <c r="AM160" i="131" s="1"/>
  <c r="AQ161" i="131" s="1"/>
  <c r="AN156" i="131"/>
  <c r="BM154" i="131"/>
  <c r="BM160" i="131" l="1"/>
  <c r="BM161" i="131" s="1"/>
  <c r="AM18" i="131"/>
  <c r="AQ19" i="131" s="1"/>
  <c r="AM156" i="131"/>
  <c r="BN154" i="131"/>
  <c r="AR156" i="131"/>
  <c r="AM161" i="131"/>
  <c r="AN162" i="131"/>
  <c r="AU158" i="131"/>
  <c r="BM163" i="131"/>
  <c r="BM157" i="131"/>
  <c r="BM158" i="131"/>
  <c r="BM155" i="131"/>
  <c r="AM155" i="131"/>
  <c r="AM162" i="131"/>
  <c r="BM164" i="131" l="1"/>
  <c r="AR162" i="131"/>
  <c r="BN160" i="131"/>
  <c r="BN161" i="131" s="1"/>
  <c r="AU154" i="131"/>
  <c r="AY158" i="131"/>
  <c r="AU164" i="131"/>
  <c r="AU160" i="131" s="1"/>
  <c r="AU18" i="131" s="1"/>
  <c r="BN13" i="131"/>
  <c r="AR15" i="131"/>
  <c r="BM13" i="131"/>
  <c r="AM6" i="131"/>
  <c r="AM7" i="128"/>
  <c r="AN15" i="131"/>
  <c r="AM14" i="131"/>
  <c r="AM15" i="131"/>
  <c r="BM18" i="131"/>
  <c r="AM8" i="128"/>
  <c r="AN20" i="131"/>
  <c r="AM19" i="131"/>
  <c r="AM20" i="131"/>
  <c r="BN155" i="131"/>
  <c r="BN158" i="131"/>
  <c r="AQ8" i="131" l="1"/>
  <c r="AQ7" i="131"/>
  <c r="BN164" i="131"/>
  <c r="AM16" i="131"/>
  <c r="BN18" i="131"/>
  <c r="BN19" i="131" s="1"/>
  <c r="AR20" i="131"/>
  <c r="AM21" i="131"/>
  <c r="BN7" i="128"/>
  <c r="BN107" i="128"/>
  <c r="BN14" i="131"/>
  <c r="BM19" i="131"/>
  <c r="BM21" i="131"/>
  <c r="BN108" i="128"/>
  <c r="BN8" i="128"/>
  <c r="BO160" i="131"/>
  <c r="AU161" i="131"/>
  <c r="AU162" i="131"/>
  <c r="AV162" i="131"/>
  <c r="BM8" i="128"/>
  <c r="BM95" i="128" s="1"/>
  <c r="AM108" i="128"/>
  <c r="BM108" i="128" s="1"/>
  <c r="AM95" i="128"/>
  <c r="AU95" i="128" s="1"/>
  <c r="AY95" i="128" s="1"/>
  <c r="BM16" i="131"/>
  <c r="BM14" i="131"/>
  <c r="AY164" i="131"/>
  <c r="AY160" i="131" s="1"/>
  <c r="AY18" i="131" s="1"/>
  <c r="AY154" i="131"/>
  <c r="AM107" i="128"/>
  <c r="BM107" i="128" s="1"/>
  <c r="BM7" i="128"/>
  <c r="BM94" i="128" s="1"/>
  <c r="AM94" i="128"/>
  <c r="AU94" i="128" s="1"/>
  <c r="AY94" i="128" s="1"/>
  <c r="AM9" i="128"/>
  <c r="AM145" i="131"/>
  <c r="AM391" i="131"/>
  <c r="AM210" i="131"/>
  <c r="AM9" i="131"/>
  <c r="AM10" i="131"/>
  <c r="AM157" i="131"/>
  <c r="AM221" i="131"/>
  <c r="AM205" i="131"/>
  <c r="AN10" i="131"/>
  <c r="AM151" i="131"/>
  <c r="AM194" i="131"/>
  <c r="AN9" i="131"/>
  <c r="AM200" i="131"/>
  <c r="AM169" i="131"/>
  <c r="AM215" i="131"/>
  <c r="AM38" i="131"/>
  <c r="AM181" i="131"/>
  <c r="AM8" i="131"/>
  <c r="AM28" i="131"/>
  <c r="AM7" i="131"/>
  <c r="AM188" i="131"/>
  <c r="AM174" i="131"/>
  <c r="AM138" i="131"/>
  <c r="AM163" i="131"/>
  <c r="BO154" i="131"/>
  <c r="AU156" i="131"/>
  <c r="AU13" i="131"/>
  <c r="AV156" i="131"/>
  <c r="AU155" i="131"/>
  <c r="AQ69" i="128" l="1"/>
  <c r="BN6" i="131"/>
  <c r="BN21" i="131" s="1"/>
  <c r="AR10" i="131"/>
  <c r="AR9" i="131"/>
  <c r="BN14" i="128"/>
  <c r="BN95" i="128" s="1"/>
  <c r="BM9" i="128"/>
  <c r="AM98" i="128"/>
  <c r="AM64" i="129"/>
  <c r="AM16" i="128"/>
  <c r="AM73" i="130"/>
  <c r="AN82" i="128"/>
  <c r="AM109" i="128"/>
  <c r="AM100" i="128"/>
  <c r="AM69" i="128"/>
  <c r="AM99" i="128"/>
  <c r="AU99" i="128" s="1"/>
  <c r="AY99" i="128" s="1"/>
  <c r="AM82" i="128"/>
  <c r="AM97" i="128"/>
  <c r="BO158" i="131"/>
  <c r="BO155" i="131"/>
  <c r="BP154" i="131"/>
  <c r="AY155" i="131"/>
  <c r="AY13" i="131"/>
  <c r="AY156" i="131"/>
  <c r="AZ156" i="131"/>
  <c r="BP160" i="131"/>
  <c r="AY162" i="131"/>
  <c r="AY161" i="131"/>
  <c r="AZ162" i="131"/>
  <c r="AU8" i="128"/>
  <c r="BO18" i="131"/>
  <c r="AU20" i="131"/>
  <c r="AV20" i="131"/>
  <c r="AU19" i="131"/>
  <c r="BO161" i="131"/>
  <c r="BO164" i="131"/>
  <c r="BO13" i="131"/>
  <c r="AU7" i="128"/>
  <c r="AU6" i="131"/>
  <c r="AU16" i="131" s="1"/>
  <c r="AU15" i="131"/>
  <c r="AV15" i="131"/>
  <c r="AU14" i="131"/>
  <c r="AQ71" i="128" l="1"/>
  <c r="BN188" i="131"/>
  <c r="BN44" i="128"/>
  <c r="BN109" i="128"/>
  <c r="BN145" i="131"/>
  <c r="BN138" i="131"/>
  <c r="BN151" i="131"/>
  <c r="BN9" i="128"/>
  <c r="BN194" i="131"/>
  <c r="BN157" i="131"/>
  <c r="BN221" i="131"/>
  <c r="BN163" i="131"/>
  <c r="BN391" i="131"/>
  <c r="BN205" i="131"/>
  <c r="BN38" i="131"/>
  <c r="BN7" i="131"/>
  <c r="BN16" i="131"/>
  <c r="BN8" i="131"/>
  <c r="BN169" i="131"/>
  <c r="BN215" i="131"/>
  <c r="AR82" i="128"/>
  <c r="BN174" i="131"/>
  <c r="BN200" i="131"/>
  <c r="BN28" i="131"/>
  <c r="BN210" i="131"/>
  <c r="BO19" i="131"/>
  <c r="BM109" i="128"/>
  <c r="AM116" i="128"/>
  <c r="AU108" i="128"/>
  <c r="BO108" i="128" s="1"/>
  <c r="AU14" i="128"/>
  <c r="BO14" i="128" s="1"/>
  <c r="BO8" i="128"/>
  <c r="BN13" i="128"/>
  <c r="BN94" i="128" s="1"/>
  <c r="AU9" i="128"/>
  <c r="BO6" i="131"/>
  <c r="BO16" i="131" s="1"/>
  <c r="AU28" i="131"/>
  <c r="AU181" i="131"/>
  <c r="AU7" i="131"/>
  <c r="AU174" i="131"/>
  <c r="AV10" i="131"/>
  <c r="AU169" i="131"/>
  <c r="AU188" i="131"/>
  <c r="AU210" i="131"/>
  <c r="AU145" i="131"/>
  <c r="AU391" i="131"/>
  <c r="AU221" i="131"/>
  <c r="AU200" i="131"/>
  <c r="AU38" i="131"/>
  <c r="AU9" i="131"/>
  <c r="AU205" i="131"/>
  <c r="AU194" i="131"/>
  <c r="AU151" i="131"/>
  <c r="AU215" i="131"/>
  <c r="AU10" i="131"/>
  <c r="AU138" i="131"/>
  <c r="AV9" i="131"/>
  <c r="AU8" i="131"/>
  <c r="AU157" i="131"/>
  <c r="AU163" i="131"/>
  <c r="BP164" i="131"/>
  <c r="BP161" i="131"/>
  <c r="BN20" i="128"/>
  <c r="BM16" i="128"/>
  <c r="AM58" i="128"/>
  <c r="BM58" i="128" s="1"/>
  <c r="AM71" i="128"/>
  <c r="AM84" i="128"/>
  <c r="AM96" i="128"/>
  <c r="AM24" i="128"/>
  <c r="AN84" i="128"/>
  <c r="AY8" i="128"/>
  <c r="BP18" i="131"/>
  <c r="AY20" i="131"/>
  <c r="AY19" i="131"/>
  <c r="AZ20" i="131"/>
  <c r="AM70" i="129"/>
  <c r="AM80" i="129"/>
  <c r="AM78" i="129"/>
  <c r="AM76" i="129"/>
  <c r="AM79" i="129"/>
  <c r="AM81" i="129"/>
  <c r="AU81" i="129" s="1"/>
  <c r="AY81" i="129" s="1"/>
  <c r="AM73" i="129"/>
  <c r="AU73" i="129" s="1"/>
  <c r="AY73" i="129" s="1"/>
  <c r="AM82" i="129"/>
  <c r="AU82" i="129" s="1"/>
  <c r="AY82" i="129" s="1"/>
  <c r="AM74" i="129"/>
  <c r="AU74" i="129" s="1"/>
  <c r="AY74" i="129" s="1"/>
  <c r="AM75" i="129"/>
  <c r="AU75" i="129" s="1"/>
  <c r="AY75" i="129" s="1"/>
  <c r="AM80" i="130"/>
  <c r="BP155" i="131"/>
  <c r="BP158" i="131"/>
  <c r="BM73" i="130"/>
  <c r="BM99" i="128"/>
  <c r="BM100" i="128"/>
  <c r="BM98" i="128"/>
  <c r="BM69" i="128"/>
  <c r="BM97" i="128"/>
  <c r="AU13" i="128"/>
  <c r="AU107" i="128"/>
  <c r="BO107" i="128" s="1"/>
  <c r="BO7" i="128"/>
  <c r="BO14" i="131"/>
  <c r="AU21" i="131"/>
  <c r="AY6" i="131"/>
  <c r="AY21" i="131" s="1"/>
  <c r="BP13" i="131"/>
  <c r="AY7" i="128"/>
  <c r="AY15" i="131"/>
  <c r="AZ15" i="131"/>
  <c r="AY14" i="131"/>
  <c r="AU44" i="128" l="1"/>
  <c r="AU45" i="128"/>
  <c r="BO45" i="128" s="1"/>
  <c r="AQ76" i="128"/>
  <c r="BN21" i="128"/>
  <c r="BN73" i="128" s="1"/>
  <c r="AR86" i="128"/>
  <c r="AR85" i="128"/>
  <c r="BN69" i="128"/>
  <c r="BN45" i="128"/>
  <c r="BN23" i="128"/>
  <c r="AY16" i="131"/>
  <c r="BO95" i="128"/>
  <c r="AU70" i="129"/>
  <c r="AM26" i="128"/>
  <c r="BM26" i="128" s="1"/>
  <c r="BM24" i="128"/>
  <c r="AM67" i="129"/>
  <c r="AM83" i="130" s="1"/>
  <c r="AM30" i="128"/>
  <c r="AM59" i="128"/>
  <c r="AN89" i="128"/>
  <c r="AM101" i="128"/>
  <c r="AM76" i="128"/>
  <c r="AM89" i="128"/>
  <c r="AM125" i="128"/>
  <c r="BM116" i="128"/>
  <c r="AM90" i="130"/>
  <c r="AU90" i="130" s="1"/>
  <c r="AY90" i="130" s="1"/>
  <c r="AM94" i="130"/>
  <c r="AU94" i="130" s="1"/>
  <c r="AY94" i="130" s="1"/>
  <c r="AM88" i="130"/>
  <c r="AM87" i="130"/>
  <c r="AU15" i="128"/>
  <c r="AU70" i="128" s="1"/>
  <c r="BO13" i="128"/>
  <c r="BO94" i="128" s="1"/>
  <c r="BP19" i="131"/>
  <c r="BO210" i="131"/>
  <c r="BO145" i="131"/>
  <c r="BO138" i="131"/>
  <c r="BO38" i="131"/>
  <c r="BO188" i="131"/>
  <c r="BO151" i="131"/>
  <c r="BO181" i="131"/>
  <c r="BO215" i="131"/>
  <c r="BO8" i="131"/>
  <c r="BO7" i="131"/>
  <c r="BO221" i="131"/>
  <c r="BO205" i="131"/>
  <c r="BO169" i="131"/>
  <c r="BO391" i="131"/>
  <c r="BO28" i="131"/>
  <c r="BO174" i="131"/>
  <c r="BO200" i="131"/>
  <c r="BO194" i="131"/>
  <c r="BO163" i="131"/>
  <c r="BO157" i="131"/>
  <c r="BP8" i="128"/>
  <c r="AY14" i="128"/>
  <c r="BP14" i="128" s="1"/>
  <c r="AY108" i="128"/>
  <c r="BP108" i="128" s="1"/>
  <c r="BM71" i="128"/>
  <c r="BM96" i="128"/>
  <c r="BO9" i="128"/>
  <c r="AU109" i="128"/>
  <c r="BO109" i="128" s="1"/>
  <c r="AU64" i="129"/>
  <c r="AV82" i="128"/>
  <c r="AU82" i="128"/>
  <c r="AU22" i="128"/>
  <c r="AU20" i="128"/>
  <c r="AU21" i="128"/>
  <c r="AU69" i="128"/>
  <c r="AU80" i="129"/>
  <c r="AR87" i="128"/>
  <c r="BN22" i="128"/>
  <c r="BN15" i="128"/>
  <c r="BN70" i="128" s="1"/>
  <c r="AR83" i="128"/>
  <c r="BO44" i="128"/>
  <c r="AU79" i="129"/>
  <c r="BN43" i="128"/>
  <c r="BN11" i="130"/>
  <c r="AY107" i="128"/>
  <c r="BP107" i="128" s="1"/>
  <c r="BP7" i="128"/>
  <c r="AY13" i="128"/>
  <c r="BP14" i="131"/>
  <c r="AU76" i="129"/>
  <c r="BO21" i="131"/>
  <c r="BP6" i="131"/>
  <c r="BP21" i="131" s="1"/>
  <c r="AY9" i="128"/>
  <c r="AY174" i="131"/>
  <c r="AY10" i="131"/>
  <c r="AY210" i="131"/>
  <c r="AY194" i="131"/>
  <c r="AY205" i="131"/>
  <c r="AY181" i="131"/>
  <c r="AY145" i="131"/>
  <c r="AZ10" i="131"/>
  <c r="AY391" i="131"/>
  <c r="AY7" i="131"/>
  <c r="AY8" i="131"/>
  <c r="AY169" i="131"/>
  <c r="AY215" i="131"/>
  <c r="AY138" i="131"/>
  <c r="AY151" i="131"/>
  <c r="AZ9" i="131"/>
  <c r="AY38" i="131"/>
  <c r="AY188" i="131"/>
  <c r="AY200" i="131"/>
  <c r="AY9" i="131"/>
  <c r="AY221" i="131"/>
  <c r="AY28" i="131"/>
  <c r="AY163" i="131"/>
  <c r="AY157" i="131"/>
  <c r="AU78" i="129"/>
  <c r="BN97" i="128"/>
  <c r="BN72" i="128"/>
  <c r="BN98" i="128" l="1"/>
  <c r="AY45" i="128"/>
  <c r="BP45" i="128" s="1"/>
  <c r="AU43" i="128"/>
  <c r="AR88" i="128"/>
  <c r="AY69" i="128"/>
  <c r="AY44" i="128"/>
  <c r="AU16" i="128"/>
  <c r="AU58" i="128" s="1"/>
  <c r="BO58" i="128" s="1"/>
  <c r="BP16" i="131"/>
  <c r="AU80" i="130"/>
  <c r="AU14" i="129"/>
  <c r="AU34" i="129" s="1"/>
  <c r="AY15" i="128"/>
  <c r="AY16" i="128" s="1"/>
  <c r="BP13" i="128"/>
  <c r="BP94" i="128" s="1"/>
  <c r="AR84" i="128"/>
  <c r="BN16" i="128"/>
  <c r="BN58" i="128"/>
  <c r="AM129" i="128"/>
  <c r="BM125" i="128"/>
  <c r="AR20" i="130"/>
  <c r="AR25" i="130"/>
  <c r="BO69" i="128"/>
  <c r="AY70" i="129"/>
  <c r="AU8" i="129"/>
  <c r="AY80" i="129"/>
  <c r="AU29" i="129"/>
  <c r="AY78" i="129"/>
  <c r="AU27" i="129"/>
  <c r="AY109" i="128"/>
  <c r="BP109" i="128" s="1"/>
  <c r="AY22" i="128"/>
  <c r="AY74" i="128" s="1"/>
  <c r="AY64" i="129"/>
  <c r="AY21" i="128"/>
  <c r="AY73" i="128" s="1"/>
  <c r="AY20" i="128"/>
  <c r="AY72" i="128" s="1"/>
  <c r="AZ82" i="128"/>
  <c r="BP9" i="128"/>
  <c r="BP69" i="128" s="1"/>
  <c r="AY82" i="128"/>
  <c r="BO21" i="128"/>
  <c r="AU66" i="129"/>
  <c r="AU82" i="130" s="1"/>
  <c r="AU86" i="128"/>
  <c r="AV86" i="128"/>
  <c r="AU73" i="128"/>
  <c r="AU83" i="128"/>
  <c r="BO15" i="128"/>
  <c r="BO70" i="128" s="1"/>
  <c r="AV83" i="128"/>
  <c r="AU65" i="129"/>
  <c r="AU81" i="130" s="1"/>
  <c r="BM59" i="128"/>
  <c r="AM60" i="128"/>
  <c r="BM60" i="128" s="1"/>
  <c r="AR23" i="130"/>
  <c r="AR24" i="130"/>
  <c r="AR22" i="130"/>
  <c r="AY79" i="129"/>
  <c r="AU28" i="129"/>
  <c r="BP95" i="128"/>
  <c r="BM30" i="128"/>
  <c r="BM32" i="128" s="1"/>
  <c r="AM32" i="128"/>
  <c r="AM33" i="128"/>
  <c r="AM91" i="130"/>
  <c r="AU91" i="130" s="1"/>
  <c r="AY91" i="130" s="1"/>
  <c r="BO22" i="128"/>
  <c r="AV87" i="128"/>
  <c r="AU87" i="128"/>
  <c r="AY76" i="129"/>
  <c r="AU10" i="129"/>
  <c r="BN99" i="128"/>
  <c r="BN74" i="128"/>
  <c r="BP194" i="131"/>
  <c r="BP210" i="131"/>
  <c r="BP391" i="131"/>
  <c r="BP151" i="131"/>
  <c r="BP205" i="131"/>
  <c r="BP28" i="131"/>
  <c r="BP7" i="131"/>
  <c r="BP138" i="131"/>
  <c r="BP8" i="131"/>
  <c r="BP200" i="131"/>
  <c r="BP169" i="131"/>
  <c r="BP221" i="131"/>
  <c r="BP174" i="131"/>
  <c r="BP181" i="131"/>
  <c r="BP145" i="131"/>
  <c r="BP188" i="131"/>
  <c r="BP215" i="131"/>
  <c r="BP38" i="131"/>
  <c r="BP157" i="131"/>
  <c r="BP163" i="131"/>
  <c r="BO20" i="128"/>
  <c r="AU23" i="128"/>
  <c r="AU85" i="128"/>
  <c r="AV85" i="128"/>
  <c r="AU72" i="128"/>
  <c r="AU11" i="130"/>
  <c r="BO11" i="130" s="1"/>
  <c r="BO43" i="128"/>
  <c r="AU74" i="128"/>
  <c r="BM76" i="128"/>
  <c r="BM101" i="128"/>
  <c r="BN75" i="128"/>
  <c r="BN100" i="128"/>
  <c r="AQ77" i="128" l="1"/>
  <c r="AR18" i="129"/>
  <c r="AS18" i="129" s="1"/>
  <c r="AT18" i="129" s="1"/>
  <c r="AQ26" i="128"/>
  <c r="AY43" i="128"/>
  <c r="AY11" i="130" s="1"/>
  <c r="BP11" i="130" s="1"/>
  <c r="AU71" i="128"/>
  <c r="AU84" i="128"/>
  <c r="AV84" i="128"/>
  <c r="AU24" i="128"/>
  <c r="AU89" i="128" s="1"/>
  <c r="AU96" i="128"/>
  <c r="BO16" i="128"/>
  <c r="BO71" i="128" s="1"/>
  <c r="BN7" i="130"/>
  <c r="BP44" i="128"/>
  <c r="AY71" i="128"/>
  <c r="AY10" i="129"/>
  <c r="AY22" i="130" s="1"/>
  <c r="AY29" i="129"/>
  <c r="AZ25" i="130" s="1"/>
  <c r="AY28" i="129"/>
  <c r="AZ24" i="130" s="1"/>
  <c r="BN25" i="130"/>
  <c r="AY70" i="128"/>
  <c r="BN24" i="130"/>
  <c r="AY27" i="129"/>
  <c r="AZ23" i="130" s="1"/>
  <c r="BN22" i="130"/>
  <c r="BO99" i="128"/>
  <c r="BO74" i="128"/>
  <c r="BN23" i="130"/>
  <c r="BN20" i="130"/>
  <c r="BN71" i="128"/>
  <c r="BN96" i="128"/>
  <c r="AR19" i="130"/>
  <c r="AR29" i="130" s="1"/>
  <c r="AR68" i="130" s="1"/>
  <c r="BM33" i="128"/>
  <c r="AM68" i="129"/>
  <c r="AM84" i="130" s="1"/>
  <c r="AM102" i="128"/>
  <c r="AM77" i="128"/>
  <c r="AN90" i="128"/>
  <c r="AM35" i="128"/>
  <c r="AM61" i="128"/>
  <c r="AM90" i="128"/>
  <c r="AU25" i="130"/>
  <c r="AV25" i="130"/>
  <c r="AM132" i="128"/>
  <c r="BM129" i="128"/>
  <c r="BM131" i="128" s="1"/>
  <c r="AM131" i="128"/>
  <c r="BP20" i="128"/>
  <c r="AY23" i="128"/>
  <c r="AZ85" i="128"/>
  <c r="AY85" i="128"/>
  <c r="BO98" i="128"/>
  <c r="BO73" i="128"/>
  <c r="BP21" i="128"/>
  <c r="AZ86" i="128"/>
  <c r="AY66" i="129"/>
  <c r="AY82" i="130" s="1"/>
  <c r="AY86" i="128"/>
  <c r="AV20" i="130"/>
  <c r="AU20" i="130"/>
  <c r="BN24" i="128"/>
  <c r="BN101" i="128" s="1"/>
  <c r="BN26" i="128"/>
  <c r="AR89" i="128"/>
  <c r="BN59" i="128"/>
  <c r="AU24" i="130"/>
  <c r="AV24" i="130"/>
  <c r="AY80" i="130"/>
  <c r="AY14" i="129"/>
  <c r="AY34" i="129" s="1"/>
  <c r="AY8" i="129"/>
  <c r="AU23" i="130"/>
  <c r="AV23" i="130"/>
  <c r="AU33" i="129"/>
  <c r="AU35" i="129" s="1"/>
  <c r="AU42" i="129" s="1"/>
  <c r="BO23" i="128"/>
  <c r="AV88" i="128"/>
  <c r="AU88" i="128"/>
  <c r="AU100" i="128"/>
  <c r="AU75" i="128"/>
  <c r="AU22" i="130"/>
  <c r="AV22" i="130"/>
  <c r="BP22" i="128"/>
  <c r="AZ87" i="128"/>
  <c r="AY87" i="128"/>
  <c r="BP15" i="128"/>
  <c r="BP70" i="128" s="1"/>
  <c r="AZ83" i="128"/>
  <c r="AY83" i="128"/>
  <c r="AY65" i="129"/>
  <c r="AY81" i="130" s="1"/>
  <c r="BO72" i="128"/>
  <c r="BO97" i="128"/>
  <c r="BP16" i="128"/>
  <c r="AY58" i="128"/>
  <c r="BP58" i="128" s="1"/>
  <c r="AZ84" i="128"/>
  <c r="AY84" i="128"/>
  <c r="AY96" i="128"/>
  <c r="AU7" i="130"/>
  <c r="BO7" i="130" s="1"/>
  <c r="AU88" i="130"/>
  <c r="AU87" i="130"/>
  <c r="BP43" i="128" l="1"/>
  <c r="AQ38" i="128"/>
  <c r="AQ78" i="128"/>
  <c r="AY25" i="130"/>
  <c r="AU76" i="128"/>
  <c r="AZ22" i="130"/>
  <c r="BP22" i="130" s="1"/>
  <c r="AU101" i="128"/>
  <c r="AU30" i="128"/>
  <c r="AU31" i="128" s="1"/>
  <c r="BO31" i="128" s="1"/>
  <c r="BO24" i="128"/>
  <c r="AU59" i="128"/>
  <c r="BO59" i="128" s="1"/>
  <c r="AU26" i="128"/>
  <c r="BO26" i="128" s="1"/>
  <c r="AU67" i="129"/>
  <c r="AU83" i="130" s="1"/>
  <c r="AV89" i="128"/>
  <c r="AY24" i="130"/>
  <c r="BP24" i="130" s="1"/>
  <c r="BO96" i="128"/>
  <c r="AY33" i="129"/>
  <c r="AY35" i="129" s="1"/>
  <c r="AY42" i="129" s="1"/>
  <c r="AY23" i="130"/>
  <c r="BP23" i="130" s="1"/>
  <c r="BN19" i="130"/>
  <c r="BO24" i="130"/>
  <c r="BO25" i="130"/>
  <c r="BP25" i="130"/>
  <c r="AV19" i="130"/>
  <c r="AV29" i="130" s="1"/>
  <c r="BP97" i="128"/>
  <c r="BP72" i="128"/>
  <c r="AM91" i="128"/>
  <c r="AN91" i="128"/>
  <c r="AM38" i="128"/>
  <c r="AM78" i="128"/>
  <c r="BO75" i="128"/>
  <c r="BO100" i="128"/>
  <c r="BP71" i="128"/>
  <c r="BP96" i="128"/>
  <c r="BO23" i="130"/>
  <c r="BM61" i="128"/>
  <c r="BM62" i="128" s="1"/>
  <c r="AM62" i="128"/>
  <c r="BP99" i="128"/>
  <c r="BP74" i="128"/>
  <c r="BP98" i="128"/>
  <c r="BP73" i="128"/>
  <c r="BP23" i="128"/>
  <c r="AZ88" i="128"/>
  <c r="AY100" i="128"/>
  <c r="AY88" i="128"/>
  <c r="BO22" i="130"/>
  <c r="AZ20" i="130"/>
  <c r="AY20" i="130"/>
  <c r="BM132" i="128"/>
  <c r="AM135" i="128"/>
  <c r="BM102" i="128"/>
  <c r="BM77" i="128"/>
  <c r="BN30" i="128"/>
  <c r="AR59" i="130"/>
  <c r="AY24" i="128"/>
  <c r="AY75" i="128"/>
  <c r="AY7" i="130"/>
  <c r="BP7" i="130" s="1"/>
  <c r="AY88" i="130"/>
  <c r="AY87" i="130"/>
  <c r="BN76" i="128"/>
  <c r="AU19" i="130"/>
  <c r="BO20" i="130"/>
  <c r="AU18" i="129"/>
  <c r="AV18" i="129" s="1"/>
  <c r="AW18" i="129" s="1"/>
  <c r="BO30" i="128" l="1"/>
  <c r="AZ19" i="130"/>
  <c r="AZ29" i="130" s="1"/>
  <c r="AZ68" i="130" s="1"/>
  <c r="BO76" i="128"/>
  <c r="BO101" i="128"/>
  <c r="BN56" i="128"/>
  <c r="BO19" i="130"/>
  <c r="BN31" i="128"/>
  <c r="BN32" i="128" s="1"/>
  <c r="AU33" i="128"/>
  <c r="BP100" i="128"/>
  <c r="BP75" i="128"/>
  <c r="BO32" i="128"/>
  <c r="AU56" i="128"/>
  <c r="BO56" i="128" s="1"/>
  <c r="AY19" i="130"/>
  <c r="BP20" i="130"/>
  <c r="BR62" i="128"/>
  <c r="BP24" i="128"/>
  <c r="AY26" i="128"/>
  <c r="BP26" i="128" s="1"/>
  <c r="AY59" i="128"/>
  <c r="BP59" i="128" s="1"/>
  <c r="AY30" i="128"/>
  <c r="AY67" i="129"/>
  <c r="AY83" i="130" s="1"/>
  <c r="AZ89" i="128"/>
  <c r="AY89" i="128"/>
  <c r="AY101" i="128"/>
  <c r="AY76" i="128"/>
  <c r="AX18" i="129"/>
  <c r="AY18" i="129" s="1"/>
  <c r="AZ18" i="129" s="1"/>
  <c r="BA18" i="129" s="1"/>
  <c r="BP18" i="129" s="1"/>
  <c r="BO18" i="129"/>
  <c r="AM137" i="128"/>
  <c r="AM138" i="128"/>
  <c r="AR84" i="129"/>
  <c r="AS71" i="130"/>
  <c r="AR73" i="130"/>
  <c r="AR72" i="130"/>
  <c r="AR70" i="130"/>
  <c r="BM137" i="128"/>
  <c r="BM138" i="128"/>
  <c r="AV68" i="130"/>
  <c r="AV59" i="130"/>
  <c r="AZ59" i="130" l="1"/>
  <c r="BP19" i="130"/>
  <c r="BA71" i="130"/>
  <c r="AZ84" i="129"/>
  <c r="AZ72" i="130"/>
  <c r="AZ70" i="130"/>
  <c r="AZ73" i="130"/>
  <c r="AY31" i="128"/>
  <c r="BP31" i="128" s="1"/>
  <c r="BP30" i="128"/>
  <c r="BO33" i="128"/>
  <c r="AU61" i="128"/>
  <c r="AU35" i="128"/>
  <c r="AV90" i="128"/>
  <c r="AU102" i="128"/>
  <c r="AU90" i="128"/>
  <c r="AU68" i="129"/>
  <c r="AU84" i="130" s="1"/>
  <c r="BN33" i="128"/>
  <c r="AU77" i="128"/>
  <c r="AR90" i="128"/>
  <c r="AV84" i="129"/>
  <c r="AW71" i="130"/>
  <c r="AV72" i="130"/>
  <c r="AV73" i="130"/>
  <c r="AV70" i="130"/>
  <c r="BP76" i="128"/>
  <c r="BP101" i="128"/>
  <c r="BO35" i="128" l="1"/>
  <c r="BO77" i="128"/>
  <c r="BO102" i="128"/>
  <c r="BN35" i="128"/>
  <c r="BN77" i="128"/>
  <c r="BN102" i="128"/>
  <c r="AY33" i="128"/>
  <c r="BP32" i="128"/>
  <c r="AU6" i="130"/>
  <c r="AU62" i="128"/>
  <c r="BO61" i="128"/>
  <c r="BO62" i="128" s="1"/>
  <c r="AY56" i="128"/>
  <c r="BP56" i="128" s="1"/>
  <c r="BN61" i="128"/>
  <c r="BN62" i="128" s="1"/>
  <c r="AU78" i="128"/>
  <c r="AR91" i="128"/>
  <c r="AV91" i="128"/>
  <c r="AU91" i="128"/>
  <c r="AU29" i="130" l="1"/>
  <c r="BO6" i="130"/>
  <c r="BP33" i="128"/>
  <c r="AY35" i="128"/>
  <c r="AY61" i="128"/>
  <c r="AY68" i="129"/>
  <c r="AY84" i="130" s="1"/>
  <c r="AY102" i="128"/>
  <c r="AY90" i="128"/>
  <c r="AZ90" i="128"/>
  <c r="AY77" i="128"/>
  <c r="BN78" i="128"/>
  <c r="BS35" i="128"/>
  <c r="BN6" i="130"/>
  <c r="BS62" i="128"/>
  <c r="BO78" i="128"/>
  <c r="BN29" i="130" l="1"/>
  <c r="BP61" i="128"/>
  <c r="BP62" i="128" s="1"/>
  <c r="AY62" i="128"/>
  <c r="AY6" i="130"/>
  <c r="AZ91" i="128"/>
  <c r="AY91" i="128"/>
  <c r="AY78" i="128"/>
  <c r="BP102" i="128"/>
  <c r="BP77" i="128"/>
  <c r="BP35" i="128"/>
  <c r="BP78" i="128" s="1"/>
  <c r="AU59" i="130"/>
  <c r="BO59" i="130" s="1"/>
  <c r="AU68" i="130"/>
  <c r="BO29" i="130"/>
  <c r="AQ84" i="129" l="1"/>
  <c r="BO68" i="130"/>
  <c r="AU71" i="130"/>
  <c r="AU73" i="130"/>
  <c r="AU84" i="129"/>
  <c r="AU70" i="130"/>
  <c r="AU72" i="130"/>
  <c r="AV71" i="130"/>
  <c r="BN59" i="130"/>
  <c r="BP6" i="130"/>
  <c r="AY29" i="130"/>
  <c r="BN68" i="130"/>
  <c r="BM72" i="130"/>
  <c r="AR71" i="130"/>
  <c r="AR61" i="130" l="1"/>
  <c r="AR62" i="130" s="1"/>
  <c r="AR6" i="129"/>
  <c r="BN72" i="130"/>
  <c r="BO72" i="130"/>
  <c r="BN73" i="130"/>
  <c r="BN70" i="130"/>
  <c r="BO73" i="130"/>
  <c r="BO70" i="130"/>
  <c r="AY59" i="130"/>
  <c r="BP59" i="130" s="1"/>
  <c r="AY68" i="130"/>
  <c r="BP29" i="130"/>
  <c r="AS6" i="129" l="1"/>
  <c r="AR53" i="129"/>
  <c r="AR13" i="129"/>
  <c r="AR15" i="129" s="1"/>
  <c r="AR23" i="129" s="1"/>
  <c r="BP68" i="130"/>
  <c r="AY72" i="130"/>
  <c r="BP72" i="130" s="1"/>
  <c r="AY84" i="129"/>
  <c r="AY70" i="130"/>
  <c r="AY73" i="130"/>
  <c r="AY71" i="130"/>
  <c r="AZ71" i="130"/>
  <c r="AS61" i="130"/>
  <c r="AS62" i="130" s="1"/>
  <c r="AR76" i="130"/>
  <c r="BP73" i="130" l="1"/>
  <c r="BP70" i="130"/>
  <c r="AR49" i="129"/>
  <c r="AR50" i="129" s="1"/>
  <c r="AR51" i="129" s="1"/>
  <c r="AR60" i="129" s="1"/>
  <c r="AR61" i="129" s="1"/>
  <c r="AR54" i="129"/>
  <c r="AR55" i="129"/>
  <c r="AR56" i="129"/>
  <c r="AS13" i="129"/>
  <c r="AS15" i="129" s="1"/>
  <c r="AS23" i="129" s="1"/>
  <c r="AS53" i="129"/>
  <c r="AT6" i="129"/>
  <c r="AS76" i="130"/>
  <c r="BN62" i="130"/>
  <c r="AT61" i="130"/>
  <c r="AT62" i="130" s="1"/>
  <c r="AU61" i="130" l="1"/>
  <c r="AU62" i="130" s="1"/>
  <c r="AT76" i="130"/>
  <c r="AT13" i="129"/>
  <c r="AT15" i="129" s="1"/>
  <c r="AT23" i="129" s="1"/>
  <c r="AT53" i="129"/>
  <c r="AU6" i="129"/>
  <c r="AS54" i="129"/>
  <c r="AS56" i="129"/>
  <c r="AS55" i="129"/>
  <c r="AS49" i="129"/>
  <c r="AS50" i="129" s="1"/>
  <c r="AS51" i="129" s="1"/>
  <c r="AS60" i="129" s="1"/>
  <c r="AS61" i="129" s="1"/>
  <c r="BN76" i="130"/>
  <c r="BO61" i="130"/>
  <c r="AT54" i="129" l="1"/>
  <c r="AT55" i="129"/>
  <c r="AT56" i="129"/>
  <c r="AT49" i="129"/>
  <c r="AT50" i="129" s="1"/>
  <c r="AT51" i="129" s="1"/>
  <c r="AT60" i="129" s="1"/>
  <c r="AT61" i="129" s="1"/>
  <c r="AU53" i="129"/>
  <c r="AV6" i="129"/>
  <c r="AU13" i="129"/>
  <c r="AU15" i="129" s="1"/>
  <c r="AU23" i="129" s="1"/>
  <c r="AV61" i="130"/>
  <c r="AV62" i="130" s="1"/>
  <c r="AU76" i="130"/>
  <c r="AV76" i="130" l="1"/>
  <c r="AW61" i="130"/>
  <c r="AW62" i="130" s="1"/>
  <c r="AU55" i="129"/>
  <c r="AU54" i="129"/>
  <c r="AU56" i="129"/>
  <c r="AU49" i="129"/>
  <c r="AU50" i="129" s="1"/>
  <c r="AU51" i="129" s="1"/>
  <c r="AU60" i="129" s="1"/>
  <c r="AU61" i="129" s="1"/>
  <c r="AW6" i="129"/>
  <c r="AV53" i="129"/>
  <c r="AV13" i="129"/>
  <c r="AV15" i="129" s="1"/>
  <c r="AV23" i="129" s="1"/>
  <c r="AV54" i="129" l="1"/>
  <c r="AV55" i="129"/>
  <c r="AV56" i="129"/>
  <c r="AW13" i="129"/>
  <c r="BO6" i="129"/>
  <c r="AW53" i="129"/>
  <c r="AX6" i="129"/>
  <c r="AX61" i="130"/>
  <c r="AX62" i="130" s="1"/>
  <c r="BO62" i="130"/>
  <c r="AW76" i="130"/>
  <c r="AV49" i="129"/>
  <c r="AV50" i="129" s="1"/>
  <c r="AV51" i="129" s="1"/>
  <c r="AV60" i="129" s="1"/>
  <c r="AV61" i="129" s="1"/>
  <c r="AX76" i="130" l="1"/>
  <c r="AY61" i="130"/>
  <c r="AY62" i="130" s="1"/>
  <c r="BO13" i="129"/>
  <c r="AW15" i="129"/>
  <c r="BO76" i="130"/>
  <c r="BP61" i="130"/>
  <c r="AX53" i="129"/>
  <c r="AY6" i="129"/>
  <c r="AX13" i="129"/>
  <c r="AX15" i="129" s="1"/>
  <c r="AX23" i="129" s="1"/>
  <c r="AW54" i="129"/>
  <c r="BO54" i="129" s="1"/>
  <c r="AW55" i="129"/>
  <c r="BO53" i="129"/>
  <c r="AW56" i="129"/>
  <c r="BO56" i="129" s="1"/>
  <c r="AX56" i="129" l="1"/>
  <c r="AX55" i="129"/>
  <c r="AX54" i="129"/>
  <c r="AX49" i="129"/>
  <c r="AX50" i="129" s="1"/>
  <c r="AX51" i="129" s="1"/>
  <c r="AX60" i="129" s="1"/>
  <c r="AX61" i="129" s="1"/>
  <c r="AZ6" i="129"/>
  <c r="AY13" i="129"/>
  <c r="AY15" i="129" s="1"/>
  <c r="AY23" i="129" s="1"/>
  <c r="AY53" i="129"/>
  <c r="BO15" i="129"/>
  <c r="AW23" i="129"/>
  <c r="AZ61" i="130"/>
  <c r="AZ62" i="130" s="1"/>
  <c r="AY76" i="130"/>
  <c r="AY56" i="129" l="1"/>
  <c r="AY55" i="129"/>
  <c r="AY54" i="129"/>
  <c r="BO23" i="129"/>
  <c r="AW49" i="129"/>
  <c r="AZ13" i="129"/>
  <c r="AZ15" i="129" s="1"/>
  <c r="AZ23" i="129" s="1"/>
  <c r="BA6" i="129"/>
  <c r="AZ53" i="129"/>
  <c r="AY49" i="129"/>
  <c r="AY50" i="129" s="1"/>
  <c r="AY51" i="129" s="1"/>
  <c r="AY60" i="129" s="1"/>
  <c r="AY61" i="129" s="1"/>
  <c r="BA61" i="130"/>
  <c r="BA62" i="130" s="1"/>
  <c r="AZ76" i="130"/>
  <c r="BA76" i="130" l="1"/>
  <c r="BP62" i="130"/>
  <c r="BP76" i="130" s="1"/>
  <c r="BP6" i="129"/>
  <c r="BA53" i="129"/>
  <c r="BA13" i="129"/>
  <c r="AZ56" i="129"/>
  <c r="AZ54" i="129"/>
  <c r="AZ55" i="129"/>
  <c r="BO49" i="129"/>
  <c r="AW50" i="129"/>
  <c r="AZ49" i="129"/>
  <c r="AZ50" i="129" s="1"/>
  <c r="AZ51" i="129" s="1"/>
  <c r="AZ60" i="129" s="1"/>
  <c r="AZ61" i="129" s="1"/>
  <c r="BO50" i="129" l="1"/>
  <c r="AW51" i="129"/>
  <c r="BA54" i="129"/>
  <c r="BP54" i="129" s="1"/>
  <c r="BP53" i="129"/>
  <c r="BA56" i="129"/>
  <c r="BP56" i="129" s="1"/>
  <c r="BA55" i="129"/>
  <c r="BA15" i="129"/>
  <c r="BP13" i="129"/>
  <c r="BO51" i="129" l="1"/>
  <c r="BO60" i="129" s="1"/>
  <c r="BO61" i="129" s="1"/>
  <c r="AW60" i="129"/>
  <c r="AW61" i="129" s="1"/>
  <c r="BP15" i="129"/>
  <c r="BA23" i="129"/>
  <c r="BA49" i="129" l="1"/>
  <c r="BP23" i="129"/>
  <c r="BP49" i="129" l="1"/>
  <c r="BA50" i="129"/>
  <c r="BP50" i="129" l="1"/>
  <c r="BA51" i="129"/>
  <c r="BP51" i="129" l="1"/>
  <c r="BP60" i="129" s="1"/>
  <c r="BP61" i="129" s="1"/>
  <c r="BA60" i="129"/>
  <c r="BA61" i="129" s="1"/>
  <c r="AS597" i="131"/>
  <c r="AW598" i="131" s="1"/>
  <c r="BN178" i="131"/>
  <c r="BO179" i="131" s="1"/>
  <c r="AQ179" i="131"/>
  <c r="AR600" i="131"/>
  <c r="AR570" i="131"/>
  <c r="AQ600" i="131"/>
  <c r="AS600" i="131"/>
  <c r="AP600" i="131"/>
  <c r="AR180" i="131"/>
  <c r="AQ181" i="131"/>
  <c r="AP570" i="131"/>
  <c r="AQ180" i="131"/>
  <c r="AQ570" i="131"/>
  <c r="AS570" i="131"/>
  <c r="AQ568" i="131"/>
  <c r="AQ569" i="131" s="1"/>
  <c r="BN568" i="131" l="1"/>
  <c r="BN569" i="131" s="1"/>
  <c r="BN181" i="131"/>
  <c r="AS594" i="131" a="1"/>
  <c r="AS594" i="131" s="1"/>
  <c r="AS595" i="131" s="1"/>
  <c r="BN595" i="131" s="1"/>
  <c r="BN189" i="131"/>
  <c r="BO569" i="131"/>
  <c r="BN195" i="131"/>
  <c r="BN179" i="131"/>
  <c r="AS602" i="131"/>
  <c r="AU569" i="131"/>
  <c r="AS612" i="131"/>
  <c r="AS598" i="131"/>
  <c r="BN594" i="131" l="1"/>
  <c r="AS603" i="131"/>
  <c r="AS608" i="131"/>
  <c r="AS604" i="131"/>
  <c r="AW603"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MacMaster, Griffin J.</author>
  </authors>
  <commentList>
    <comment ref="A1" authorId="0" shapeId="0" xr:uid="{F97113A4-5552-40E6-9C44-9A734142EC21}">
      <text>
        <r>
          <rPr>
            <b/>
            <sz val="9"/>
            <color indexed="81"/>
            <rFont val="Tahoma"/>
            <family val="2"/>
          </rPr>
          <t>&lt;?xml version="1.0" encoding="utf-8"?&gt;&lt;Schema xmlns:xsd="http://www.w3.org/2001/XMLSchema" xmlns:xsi="http://www.w3.org/2001/XMLSchema-instance" Version="2" Timestamp="1773099925"&gt;&lt;FQL&gt;&lt;Q&gt;INTU-US^FE_ESTIMATE(FCF,MEAN,ANN_ROLL,+1,NOW,,,'')&lt;/Q&gt;&lt;R&gt;1&lt;/R&gt;&lt;C&gt;1&lt;/C&gt;&lt;D xsi:type="xsd:double"&gt;5975.6846&lt;/D&gt;&lt;/FQL&gt;&lt;FQL&gt;&lt;Q&gt;INTU-US^FE_ESTIMATE(PRODLINE_SALES_16,MEAN,ANN_ROLL,+1,NOW,,,'')&lt;/Q&gt;&lt;R&gt;1&lt;/R&gt;&lt;C&gt;1&lt;/C&gt;&lt;D xsi:type="xsd:double"&gt;1909.5083&lt;/D&gt;&lt;/FQL&gt;&lt;FQL&gt;&lt;Q&gt;INTU-US^FE_ESTIMATE(PRODLINE_SALES_10,MEAN,ANN_ROLL,+1,NOW,,,'')&lt;/Q&gt;&lt;R&gt;1&lt;/R&gt;&lt;C&gt;1&lt;/C&gt;&lt;D xsi:type="xsd:double"&gt;4787.0464&lt;/D&gt;&lt;/FQL&gt;&lt;FQL&gt;&lt;Q&gt;INTU-US^FE_ESTIMATE(PRODLINE_SALES_12,MEAN,ANN_ROLL,+1,NOW,,,'')&lt;/Q&gt;&lt;R&gt;1&lt;/R&gt;&lt;C&gt;1&lt;/C&gt;&lt;D xsi:type="xsd:double"&gt;11074.616&lt;/D&gt;&lt;/FQL&gt;&lt;FQL&gt;&lt;Q&gt;INTU-US^FE_ESTIMATE(EPS,MEAN,ANN_ROLL,+1,NOW,,,'')&lt;/Q&gt;&lt;R&gt;1&lt;/R&gt;&lt;C&gt;1&lt;/C&gt;&lt;D xsi:type="xsd:double"&gt;19.402018&lt;/D&gt;&lt;/FQL&gt;&lt;FQL&gt;&lt;Q&gt;INTU-US^FE_ESTIMATE(NETPROFIT,MEAN,ANN_ROLL,+1,NOW,,,'')&lt;/Q&gt;&lt;R&gt;1&lt;/R&gt;&lt;C&gt;1&lt;/C&gt;&lt;D xsi:type="xsd:double"&gt;5431.902&lt;/D&gt;&lt;/FQL&gt;&lt;FQL&gt;&lt;Q&gt;INTU-US^FE_ESTIMATE(PTX_INC,MEAN,ANN_ROLL,+1,NOW,,,'')&lt;/Q&gt;&lt;R&gt;1&lt;/R&gt;&lt;C&gt;1&lt;/C&gt;&lt;D xsi:type="xsd:double"&gt;7199.8306&lt;/D&gt;&lt;/FQL&gt;&lt;FQL&gt;&lt;Q&gt;INTU-US^FE_ESTIMATE(EBIT,MEAN,ANN_ROLL,+1,NOW,,,'')&lt;/Q&gt;&lt;R&gt;1&lt;/R&gt;&lt;C&gt;1&lt;/C&gt;&lt;D xsi:type="xsd:double"&gt;7328.0127&lt;/D&gt;&lt;/FQL&gt;&lt;FQL&gt;&lt;Q&gt;INTU-US^FE_ESTIMATE(GROSS_INC,MEAN,ANN_ROLL,+1,NOW,,,'')&lt;/Q&gt;&lt;R&gt;1&lt;/R&gt;&lt;C&gt;1&lt;/C&gt;&lt;D xsi:type="xsd:double"&gt;15093.986&lt;/D&gt;&lt;/FQL&gt;&lt;FQL&gt;&lt;Q&gt;INTU-US^FE_ESTIMATE(SALES,MEAN,ANN_ROLL,+1,NOW,,,'')&lt;/Q&gt;&lt;R&gt;1&lt;/R&gt;&lt;C&gt;1&lt;/C&gt;&lt;D xsi:type="xsd:double"&gt;18364.959&lt;/D&gt;&lt;/FQL&gt;&lt;FQL&gt;&lt;Q&gt;SAP^AVAIL(FE_ESTIMATE(FCF,MEAN,CAL4,2024,NOW,,,''),FE_ESTIMATE(FCF,MEAN,CALA,2024,NOW,,,''))&lt;/Q&gt;&lt;R&gt;1&lt;/R&gt;&lt;C&gt;1&lt;/C&gt;&lt;D xsi:type="xsd:double"&gt;4458.2144&lt;/D&gt;&lt;/FQL&gt;&lt;FQL&gt;&lt;Q&gt;SAP^AVAIL(FE_ESTIMATE(SALES,MEAN,CAL4,2024,NOW,,,''),FE_ESTIMATE(SALES,MEAN,CALA,2024,NOW,,,''))&lt;/Q&gt;&lt;R&gt;1&lt;/R&gt;&lt;C&gt;1&lt;/C&gt;&lt;D xsi:type="xsd:double"&gt;36522.137&lt;/D&gt;&lt;/FQL&gt;&lt;FQL&gt;&lt;Q&gt;SAP^AVAIL(FE_ESTIMATE(FCF,MEAN,CAL4,2023,NOW,,,''),FE_ESTIMATE(FCF,MEAN,CALA,2023,NOW,,,''))&lt;/Q&gt;&lt;R&gt;1&lt;/R&gt;&lt;C&gt;1&lt;/C&gt;&lt;D xsi:type="xsd:double"&gt;5599.309&lt;/D&gt;&lt;/FQL&gt;&lt;FQL&gt;&lt;Q&gt;SAP^AVAIL(FE_ESTIMATE(SALES,MEAN,CAL4,2023,NOW,,,''),FE_ESTIMATE(SALES,MEAN,CALA,2023,NOW,,,''))&lt;/Q&gt;&lt;R&gt;1&lt;/R&gt;&lt;C&gt;1&lt;/C&gt;&lt;D xsi:type="xsd:double"&gt;34001.84&lt;/D&gt;&lt;/FQL&gt;&lt;FQL&gt;&lt;Q&gt;MSFT^AVAIL(FE_ESTIMATE(FCF,MEAN,CAL4,2024,NOW,,,''),FE_ESTIMATE(FCF,MEAN,CALA,2024,NOW,,,''))&lt;/Q&gt;&lt;R&gt;1&lt;/R&gt;&lt;C&gt;1&lt;/C&gt;&lt;D xsi:type="xsd:double"&gt;68042.71&lt;/D&gt;&lt;/FQL&gt;&lt;FQL&gt;&lt;Q&gt;MSFT^AVAIL(FE_ESTIMATE(SALES,MEAN,CAL4,2024,NOW,,,''),FE_ESTIMATE(SALES,MEAN,CALA,2024,NOW,,,''))&lt;/Q&gt;&lt;R&gt;1&lt;/R&gt;&lt;C&gt;1&lt;/C&gt;&lt;D xsi:type="xsd:double"&gt;261802&lt;/D&gt;&lt;/FQL&gt;&lt;FQL&gt;&lt;Q&gt;MSFT^AVAIL(FE_ESTIMATE(FCF,MEAN,CAL4,2023,NOW,,,''),FE_ESTIMATE(FCF,MEAN,CALA,2023,NOW,,,''))&lt;/Q&gt;&lt;R&gt;1&lt;/R&gt;&lt;C&gt;1&lt;/C&gt;&lt;D xsi:type="xsd:double"&gt;64571.887&lt;/D&gt;&lt;/FQL&gt;&lt;FQL&gt;&lt;Q&gt;MSFT^AVAIL(FE_ESTIMATE(SALES,MEAN,CAL4,2023,NOW,,,''),FE_ESTIMATE(SALES,MEAN,CALA,2023,NOW,,,''))&lt;/Q&gt;&lt;R&gt;1&lt;/R&gt;&lt;C&gt;1&lt;/C&gt;&lt;D xsi:type="xsd:double"&gt;227583&lt;/D&gt;&lt;/FQL&gt;&lt;FQL&gt;&lt;Q&gt;CRM^AVAIL(FE_ESTIMATE(FCF,MEAN,CAL4,2024,NOW,,,''),FE_ESTIMATE(FCF,MEAN,CALA,2024,NOW,,,''))&lt;/Q&gt;&lt;R&gt;1&lt;/R&gt;&lt;C&gt;1&lt;/C&gt;&lt;D xsi:type="xsd:double"&gt;12434&lt;/D&gt;&lt;/FQL&gt;&lt;FQL&gt;&lt;Q&gt;CRM^AVAIL(FE_ESTIMATE(SALES,MEAN,CAL4,2024,NOW,,,''),FE_ESTIMATE(SALES,MEAN,CALA,2024,NOW,,,''))&lt;/Q&gt;&lt;R&gt;1&lt;/R&gt;&lt;C&gt;1&lt;/C&gt;&lt;D xsi:type="xsd:double"&gt;37895&lt;/D&gt;&lt;/FQL&gt;&lt;FQL&gt;&lt;Q&gt;CRM^AVAIL(FE_ESTIMATE(FCF,MEAN,CAL4,2023,NOW,,,''),FE_ESTIMATE(FCF,MEAN,CALA,2023,NOW,,,''))&lt;/Q&gt;&lt;R&gt;1&lt;/R&gt;&lt;C&gt;1&lt;/C&gt;&lt;D xsi:type="xsd:double"&gt;9498&lt;/D&gt;&lt;/FQL&gt;&lt;FQL&gt;&lt;Q&gt;CRM^AVAIL(FE_ESTIMATE(SALES,MEAN,CAL4,2023,NOW,,,''),FE_ESTIMATE(SALES,MEAN,CALA,2023,NOW,,,''))&lt;/Q&gt;&lt;R&gt;1&lt;/R&gt;&lt;C&gt;1&lt;/C&gt;&lt;D xsi:type="xsd:double"&gt;34857&lt;/D&gt;&lt;/FQL&gt;&lt;FQL&gt;&lt;Q&gt;ADBE^AVAIL(FE_ESTIMATE(FCF,MEAN,CAL4,2024,NOW,,,''),FE_ESTIMATE(FCF,MEAN,CALA,2024,NOW,,,''))&lt;/Q&gt;&lt;R&gt;1&lt;/R&gt;&lt;C&gt;1&lt;/C&gt;&lt;D xsi:type="xsd:double"&gt;7881.607&lt;/D&gt;&lt;/FQL&gt;&lt;FQL&gt;&lt;Q&gt;ADBE^AVAIL(FE_ESTIMATE(SALES,MEAN,CAL4,2024,NOW,,,''),FE_ESTIMATE(SALES,MEAN,CALA,2024,NOW,,,''))&lt;/Q&gt;&lt;R&gt;1&lt;/R&gt;&lt;C&gt;1&lt;/C&gt;&lt;D xsi:type="xsd:double"&gt;21505&lt;/D&gt;&lt;/FQL&gt;&lt;FQL&gt;&lt;Q&gt;ADBE^AVAIL(FE_ESTIMATE(FCF,MEAN,CAL4,2023,NOW,,,''),FE_ESTIMATE(FCF,MEAN,CALA,2023,NOW,,,''))&lt;/Q&gt;&lt;R&gt;1&lt;/R&gt;&lt;C&gt;1&lt;/C&gt;&lt;D xsi:type="xsd:double"&gt;7132.4546&lt;/D&gt;&lt;/FQL&gt;&lt;FQL&gt;&lt;Q&gt;ADBE^AVAIL(FE_ESTIMATE(SALES,MEAN,CAL4,2023,NOW,,,''),FE_ESTIMATE(SALES,MEAN,CALA,2023,NOW,,,''))&lt;/Q&gt;&lt;R&gt;1&lt;/R&gt;&lt;C&gt;1&lt;/C&gt;&lt;D xsi:type="xsd:double"&gt;19409&lt;/D&gt;&lt;/FQL&gt;&lt;FQL&gt;&lt;Q&gt;INTU^AVAIL(FE_ESTIMATE(FCF,MEAN,CAL4,2024,NOW,,,''),FE_ESTIMATE(FCF,MEAN,CALA,2024,NOW,,,''))&lt;/Q&gt;&lt;R&gt;1&lt;/R&gt;&lt;C&gt;1&lt;/C&gt;&lt;D xsi:type="xsd:double"&gt;5539.0967&lt;/D&gt;&lt;/FQL&gt;&lt;FQL&gt;&lt;Q&gt;INTU^AVAIL(FE_ESTIMATE(SALES,MEAN,CAL4,2024,NOW,,,''),FE_ESTIMATE(SALES,MEAN,CALA,2024,NOW,,,''))&lt;/Q&gt;&lt;R&gt;1&lt;/R&gt;&lt;C&gt;1&lt;/C&gt;&lt;D xsi:type="xsd:double"&gt;17167&lt;/D&gt;&lt;/FQL&gt;&lt;FQL&gt;&lt;Q&gt;INTU^AVAIL(FE_ESTIMATE(FCF,MEAN,CAL4,2023,NOW,,,''),FE_ESTIMATE(FCF,MEAN,CALA,2023,NOW,,,''))&lt;/Q&gt;&lt;R&gt;1&lt;/R&gt;&lt;C&gt;1&lt;/C&gt;&lt;D xsi:type="xsd:double"&gt;4760.005&lt;/D&gt;&lt;/FQL&gt;&lt;FQL&gt;&lt;Q&gt;INTU^AVAIL(FE_ESTIMATE(SALES,MEAN,CAL4,2023,NOW,,,''),FE_ESTIMATE(SALES,MEAN,CALA,2023,NOW,,,''))&lt;/Q&gt;&lt;R&gt;1&lt;/R&gt;&lt;C&gt;1&lt;/C&gt;&lt;D xsi:type="xsd:double"&gt;15094&lt;/D&gt;&lt;/FQL&gt;&lt;FQL&gt;&lt;Q&gt;INTU^AVAIL(FE_ESTIMATE(SALES,MEAN,CAL4,2022,NOW,,,''),FE_ESTIMATE(SALES,MEAN,CALA,2022,NOW,,,''))&lt;/Q&gt;&lt;R&gt;1&lt;/R&gt;&lt;C&gt;1&lt;/C&gt;&lt;D xsi:type="xsd:double"&gt;13684&lt;/D&gt;&lt;/FQL&gt;&lt;FQL&gt;&lt;Q&gt;SAP^AVAIL(FE_ESTIMATE(SALES,MEAN,CAL4,2022,NOW,,,''),FE_ESTIMATE(SALES,MEAN,CALA,2022,NOW,,,''))&lt;/Q&gt;&lt;R&gt;1&lt;/R&gt;&lt;C&gt;1&lt;/C&gt;&lt;D xsi:type="xsd:double"&gt;32252.043&lt;/D&gt;&lt;/FQL&gt;&lt;FQL&gt;&lt;Q&gt;SAP^AVAIL(RTP_MKT_CAP,FREF_MARKET_VALUE_COMPANY(0,,,,,0))&lt;/Q&gt;&lt;R&gt;1&lt;/R&gt;&lt;C&gt;1&lt;/C&gt;&lt;D xsi:type="xsd:double"&gt;367868.44&lt;/D&gt;&lt;/FQL&gt;&lt;FQL&gt;&lt;Q&gt;SAP^AVAIL(FF_NET_DEBT(QTR_R,0), FF_NET_DEBT(SEMI_R,0))&lt;/Q&gt;&lt;R&gt;1&lt;/R&gt;&lt;C&gt;1&lt;/C&gt;&lt;D xsi:type="xsd:double"&gt;-3106.6552&lt;/D&gt;&lt;/FQL&gt;&lt;FQL&gt;&lt;Q&gt;MSFT^AVAIL(FE_ESTIMATE(SALES,MEAN,CAL4,2022,NOW,,,''),FE_ESTIMATE(SALES,MEAN,CALA,2022,NOW,,,''))&lt;/Q&gt;&lt;R&gt;1&lt;/R&gt;&lt;C&gt;1&lt;/C&gt;&lt;D xsi:type="xsd:double"&gt;204094&lt;/D&gt;&lt;/FQL&gt;&lt;FQL&gt;&lt;Q&gt;MSFT^AVAIL(RTP_MKT_CAP,FREF_MARKET_VALUE_COMPANY(0,,,,,0))&lt;/Q&gt;&lt;R&gt;1&lt;/R&gt;&lt;C&gt;1&lt;/C&gt;&lt;D xsi:type="xsd:double"&gt;3380766.8&lt;/D&gt;&lt;/FQL&gt;&lt;FQL&gt;&lt;Q&gt;MSFT^AVAIL(FF_NET_DEBT(QTR_R,0), FF_NET_DEBT(SEMI_R,0))&lt;/Q&gt;&lt;R&gt;1&lt;/R&gt;&lt;C&gt;1&lt;/C&gt;&lt;D xsi:type="xsd:double"&gt;25401&lt;/D&gt;&lt;/FQL&gt;&lt;FQL&gt;&lt;Q&gt;CRM^AVAIL(FE_ESTIMATE(SALES,MEAN,CAL4,2022,NOW,,,''),FE_ESTIMATE(SALES,MEAN,CALA,2022,NOW,,,''))&lt;/Q&gt;&lt;R&gt;1&lt;/R&gt;&lt;C&gt;1&lt;/C&gt;&lt;D xsi:type="xsd:double"&gt;31352&lt;/D&gt;&lt;/FQL&gt;&lt;FQL&gt;&lt;Q&gt;CRM^AVAIL(RTP_MKT_CAP,FREF_MARKET_VALUE_COMPANY(0,,,,,0))&lt;/Q&gt;&lt;R&gt;1&lt;/R&gt;&lt;C&gt;1&lt;/C&gt;&lt;D xsi:type="xsd:double"&gt;271934&lt;/D&gt;&lt;/FQL&gt;&lt;FQL&gt;&lt;Q&gt;CRM^AVAIL(FF_NET_DEBT(QTR_R,0), FF_NET_DEBT(SEMI_R,0))&lt;/Q&gt;&lt;R&gt;1&lt;/R&gt;&lt;C&gt;1&lt;/C&gt;&lt;D xsi:type="xsd:double"&gt;-1962&lt;/D&gt;&lt;/FQL&gt;&lt;FQL&gt;&lt;Q&gt;ADBE^AVAIL(FE_ESTIMATE(SALES,MEAN,CAL4,2022,NOW,,,''),FE_ESTIMATE(SALES,MEAN,CALA,2022,NOW,,,''))&lt;/Q&gt;&lt;R&gt;1&lt;/R&gt;&lt;C&gt;1&lt;/C&gt;&lt;D xsi:type="xsd:double"&gt;17606&lt;/D&gt;&lt;/FQL&gt;&lt;FQL&gt;&lt;Q&gt;ADBE^AVAIL(RTP_MKT_CAP,FREF_MARKET_VALUE_COMPANY(0,,,,,0))&lt;/Q&gt;&lt;R&gt;1&lt;/R&gt;&lt;C&gt;1&lt;/C&gt;&lt;D xsi:type="xsd:double"&gt;176587.45&lt;/D&gt;&lt;/FQL&gt;&lt;FQL&gt;&lt;Q&gt;ADBE^AVAIL(FF_NET_DEBT(QTR_R,0), FF_NET_DEBT(SEMI_R,0))&lt;/Q&gt;&lt;R&gt;1&lt;/R&gt;&lt;C&gt;1&lt;/C&gt;&lt;D xsi:type="xsd:double"&gt;-872&lt;/D&gt;&lt;/FQL&gt;&lt;FQL&gt;&lt;Q&gt;SAP^FG_COMPANY_NAME&lt;/Q&gt;&lt;R&gt;1&lt;/R&gt;&lt;C&gt;1&lt;/C&gt;&lt;D xsi:type="xsd:string"&gt;SAP SE Sponsored ADR&lt;/D&gt;&lt;/FQL&gt;&lt;FQL&gt;&lt;Q&gt;MSFT^FG_COMPANY_NAME&lt;/Q&gt;&lt;R&gt;1&lt;/R&gt;&lt;C&gt;1&lt;/C&gt;&lt;D xsi:type="xsd:string"&gt;Microsoft Corporation&lt;/D&gt;&lt;/FQL&gt;&lt;FQL&gt;&lt;Q&gt;CRM^FG_COMPANY_NAME&lt;/Q&gt;&lt;R&gt;1&lt;/R&gt;&lt;C&gt;1&lt;/C&gt;&lt;D xsi:type="xsd:string"&gt;Salesforce, Inc.&lt;/D&gt;&lt;/FQL&gt;&lt;FQL&gt;&lt;Q&gt;ADBE^FG_COMPANY_NAME&lt;/Q&gt;&lt;R&gt;1&lt;/R&gt;&lt;C&gt;1&lt;/C&gt;&lt;D xsi:type="xsd:string"&gt;Adobe Inc.&lt;/D&gt;&lt;/FQL&gt;&lt;FQL&gt;&lt;Q&gt;INTU-US^FE_ESTIMATE(FCF,MEAN,QTR_ROLL,+1,5/21/25,,,'')&lt;/Q&gt;&lt;R&gt;1&lt;/R&gt;&lt;C&gt;1&lt;/C&gt;&lt;D xsi:type="xsd:double"&gt;3773.8174&lt;/D&gt;&lt;/FQL&gt;&lt;FQL&gt;&lt;Q&gt;INTU-US^FE_ESTIMATE(PRODLINE_SALES_16,MEAN,QTR_ROLL,+1,5/21/25,,,'')&lt;/Q&gt;&lt;R&gt;1&lt;/R&gt;&lt;C&gt;1&lt;/C&gt;&lt;D xsi:type="xsd:double"&gt;464.23334&lt;/D&gt;&lt;/FQL&gt;&lt;FQL&gt;&lt;Q&gt;INTU-US^FE_ESTIMATE(PRODLINE_SALES_10,MEAN,QTR_ROLL,+1,5/21/25,,,'')&lt;/Q&gt;&lt;R&gt;1&lt;/R&gt;&lt;C&gt;1&lt;/C&gt;&lt;D xsi:type="xsd:double"&gt;3994.5386&lt;/D&gt;&lt;/FQL&gt;&lt;FQL&gt;&lt;Q&gt;INTU-US^FE_ESTIMATE(PRODLINE_SALES_12,MEAN,QTR_ROLL,+1,5/21/25,,,'')&lt;/Q&gt;&lt;R&gt;1&lt;/R&gt;&lt;C&gt;1&lt;/C&gt;&lt;D xsi:type="xsd:double"&gt;2847.6667&lt;/D&gt;&lt;/FQL&gt;&lt;FQL&gt;&lt;Q&gt;INTU-US^FE_ESTIMATE(EPS,MEAN,QTR_ROLL,+1,5/21/25,,,'')&lt;/Q&gt;&lt;R&gt;1&lt;/R&gt;&lt;C&gt;1&lt;/C&gt;&lt;D xsi:type="xsd:double"&gt;10.933964&lt;/D&gt;&lt;/FQL&gt;&lt;FQL&gt;&lt;Q&gt;INTU-US^FE_ESTIMATE(NETPROFIT,MEAN,QTR_ROLL,+1,5/21/25,,,'')&lt;/Q&gt;&lt;R&gt;1&lt;/R&gt;&lt;C&gt;1&lt;/C&gt;&lt;D xsi:type="xsd:double"&gt;3100.4355&lt;/D&gt;&lt;/FQL&gt;&lt;FQL&gt;&lt;Q&gt;INTU-US^FE_ESTIMATE(PTX_INC,MEAN,QTR_ROLL,+1,5/21/25,,,'')&lt;/Q&gt;&lt;R&gt;1&lt;/R&gt;&lt;C&gt;1&lt;/C&gt;&lt;D xsi:type="xsd:double"&gt;4081.5486&lt;/D&gt;&lt;/FQL&gt;&lt;FQL&gt;&lt;Q&gt;INTU-US^FE_ESTIMATE(EBIT,MEAN,QTR_ROLL,+1,5/21/25,,,'')&lt;/Q&gt;&lt;R&gt;1&lt;/R&gt;&lt;C&gt;1&lt;/C&gt;&lt;D xsi:type="xsd:double"&gt;4098.261&lt;/D&gt;&lt;/FQL&gt;&lt;FQL&gt;&lt;Q&gt;INTU-US^FE_ESTIMATE(GROSS_INC,MEAN,QTR_ROLL,+1,5/21/25,,,'')&lt;/Q&gt;&lt;R&gt;1&lt;/R&gt;&lt;C&gt;1&lt;/C&gt;&lt;D xsi:type="xsd:double"&gt;6536.38&lt;/D&gt;&lt;/FQL&gt;&lt;FQL&gt;&lt;Q&gt;INTU-US^FE_ESTIMATE(SALES,MEAN,QTR_ROLL,+1,5/21/25,,,'')&lt;/Q&gt;&lt;R&gt;1&lt;/R&gt;&lt;C&gt;1&lt;/C&gt;&lt;D xsi:type="xsd:double"&gt;7567.8003&lt;/D&gt;&lt;/FQL&gt;&lt;FQL&gt;&lt;Q&gt;INTU-US^FE_ESTIMATE(FCF,MEAN,QTR_ROLL,2028/4F,NOW,,,'')&lt;/Q&gt;&lt;R&gt;0&lt;/R&gt;&lt;C&gt;0&lt;/C&gt;&lt;/FQL&gt;&lt;FQL&gt;&lt;Q&gt;INTU-US^FE_ESTIMATE(FCF,MEAN,QTR_ROLL,2028/3F,NOW,,,'')&lt;/Q&gt;&lt;R&gt;0&lt;/R&gt;&lt;C&gt;0&lt;/C&gt;&lt;/FQL&gt;&lt;FQL&gt;&lt;Q&gt;INTU-US^FE_ESTIMATE(FCF,MEAN,QTR_ROLL,2028/2F,NOW,,,'')&lt;/Q&gt;&lt;R&gt;0&lt;/R&gt;&lt;C&gt;0&lt;/C&gt;&lt;/FQL&gt;&lt;FQL&gt;&lt;Q&gt;INTU-US^FE_ESTIMATE(FCF,MEAN,QTR_ROLL,2028/1F,NOW,,,'')&lt;/Q&gt;&lt;R&gt;0&lt;/R&gt;&lt;C&gt;0&lt;/C&gt;&lt;/FQL&gt;&lt;FQL&gt;&lt;Q&gt;INTU-US^FE_ESTIMATE(FCF,MEAN,QTR_ROLL,2027/4F,NOW,,,'')&lt;/Q&gt;&lt;R&gt;1&lt;/R&gt;&lt;C&gt;1&lt;/C&gt;&lt;D xsi:type="xsd:double"&gt;1047&lt;/D&gt;&lt;/FQL&gt;&lt;FQL&gt;&lt;Q&gt;INTU-US^FE_ESTIMATE(FCF,MEAN,QTR_ROLL,2027/3F,NOW,,,'')&lt;/Q&gt;&lt;R&gt;1&lt;/R&gt;&lt;C&gt;1&lt;/C&gt;&lt;D xsi:type="xsd:double"&gt;4806&lt;/D&gt;&lt;/FQL&gt;&lt;FQL&gt;&lt;Q&gt;INTU-US^FE_ESTIMATE(FCF,MEAN,QTR_ROLL,2027/2F,NOW,,,'')&lt;/Q&gt;&lt;R&gt;1&lt;/R&gt;&lt;C&gt;1&lt;/C&gt;&lt;D xsi:type="xsd:double"&gt;1426.75&lt;/D&gt;&lt;/FQL&gt;&lt;FQL&gt;&lt;Q&gt;INTU-US^FE_ESTIMATE(FCF,MEAN,QTR_ROLL,2027/1F,NOW,,,'')&lt;/Q&gt;&lt;R&gt;1&lt;/R&gt;&lt;C&gt;1&lt;/C&gt;&lt;D xsi:type="xsd:double"&gt;688.25&lt;/D&gt;&lt;/FQL&gt;&lt;FQL&gt;&lt;Q&gt;INTU-US^FE_ESTIMATE(FCF,MEAN,QTR_ROLL,2026/4F,NOW,,,'')&lt;/Q&gt;&lt;R&gt;1&lt;/R&gt;&lt;C&gt;1&lt;/C&gt;&lt;D xsi:type="xsd:double"&gt;1202.825&lt;/D&gt;&lt;/FQL&gt;&lt;FQL&gt;&lt;Q&gt;INTU-US^FE_ESTIMATE(FCF,MEAN,QTR_ROLL,2026/3F,NOW,,,'')&lt;/Q&gt;&lt;R&gt;1&lt;/R&gt;&lt;C&gt;1&lt;/C&gt;&lt;D xsi:type="xsd:double"&gt;4193.65&lt;/D&gt;&lt;/FQL&gt;&lt;FQL&gt;&lt;Q&gt;INTU-US^FE_ESTIMATE(FCF,MEAN,QTR_ROLL,2026/2F,NOW,,,'')&lt;/Q&gt;&lt;R&gt;1&lt;/R&gt;&lt;C&gt;1&lt;/C&gt;&lt;D xsi:type="xsd:double"&gt;1162.4&lt;/D&gt;&lt;/FQL&gt;&lt;FQL&gt;&lt;Q&gt;INTU-US^FE_ESTIMATE(FCF,MEAN,QTR_ROLL,2026/1F,NOW,,,'')&lt;/Q&gt;&lt;R&gt;1&lt;/R&gt;&lt;C&gt;1&lt;/C&gt;&lt;D xsi:type="xsd:double"&gt;558.3&lt;/D&gt;&lt;/FQL&gt;&lt;FQL&gt;&lt;Q&gt;INTU-US^FE_ESTIMATE(FCF,MEAN,QTR_ROLL,2025/4F,NOW,,,'')&lt;/Q&gt;&lt;R&gt;1&lt;/R&gt;&lt;C&gt;1&lt;/C&gt;&lt;D xsi:type="xsd:double"&gt;651.53314&lt;/D&gt;&lt;/FQL&gt;&lt;FQL&gt;&lt;Q&gt;INTU-US^FE_ESTIMATE(FCF,MEAN,QTR_ROLL,2025/3F,NOW,,,'')&lt;/Q&gt;&lt;R&gt;1&lt;/R&gt;&lt;C&gt;1&lt;/C&gt;&lt;D xsi:type="xsd:double"&gt;4281.2866&lt;/D&gt;&lt;/FQL&gt;&lt;FQL&gt;&lt;Q&gt;INTU-US^FE_ESTIMATE(FCF,MEAN,QTR_ROLL,2025/2F,NOW,,,'')&lt;/Q&gt;&lt;R&gt;1&lt;/R&gt;&lt;C&gt;1&lt;/C&gt;&lt;D xsi:type="xsd:double"&gt;940.92993&lt;/D&gt;&lt;/FQL&gt;&lt;FQL&gt;&lt;Q&gt;INTU-US^FE_ESTIMATE(FCF,MEAN,QTR_ROLL,2025/1F,NOW,,,'')&lt;/Q&gt;&lt;R&gt;1&lt;/R&gt;&lt;C&gt;1&lt;/C&gt;&lt;D xsi:type="xsd:double"&gt;329&lt;/D&gt;&lt;/FQL&gt;&lt;FQL&gt;&lt;Q&gt;INTU-US^FE_ESTIMATE(FCF,MEAN,QTR_ROLL,2024/4F,NOW,,,'')&lt;/Q&gt;&lt;R&gt;1&lt;/R&gt;&lt;C&gt;1&lt;/C&gt;&lt;D xsi:type="xsd:double"&gt;401.16666&lt;/D&gt;&lt;/FQL&gt;&lt;FQL&gt;&lt;Q&gt;INTU-US^FE_ESTIMATE(FCF,MEAN,QTR_ROLL,2024/3F,NOW,,,'')&lt;/Q&gt;&lt;R&gt;1&lt;/R&gt;&lt;C&gt;1&lt;/C&gt;&lt;D xsi:type="xsd:double"&gt;3868&lt;/D&gt;&lt;/FQL&gt;&lt;FQL&gt;&lt;Q&gt;INTU-US^FE_ESTIMATE(FCF,MEAN,QTR_ROLL,2024/2F,NOW,,,'')&lt;/Q&gt;&lt;R&gt;1&lt;/R&gt;&lt;C&gt;1&lt;/C&gt;&lt;D xsi:type="xsd:double"&gt;562.4286&lt;/D&gt;&lt;/FQL&gt;&lt;FQL&gt;&lt;Q&gt;INTU-US^FE_ESTIMATE(FCF,MEAN,QTR_ROLL,2024/1F,NOW,,,'')&lt;/Q&gt;&lt;R&gt;1&lt;/R&gt;&lt;C&gt;1&lt;/C&gt;&lt;D xsi:type="xsd:double"&gt;-140.85715&lt;/D&gt;&lt;/FQL&gt;&lt;FQL&gt;&lt;Q&gt;INTU-US^FE_ESTIMATE(FCF,MEAN,QTR_ROLL,2023/4F,NOW,,,'')&lt;/Q&gt;&lt;R&gt;1&lt;/R&gt;&lt;C&gt;1&lt;/C&gt;&lt;D xsi:type="xsd:double"&gt;797.6&lt;/D&gt;&lt;/FQL&gt;&lt;FQL&gt;&lt;Q&gt;INTU-US^FE_ESTIMATE(FCF,MEAN,QTR_ROLL,2023/3F,NOW,,,'')&lt;/Q&gt;&lt;R&gt;1&lt;/R&gt;&lt;C&gt;1&lt;/C&gt;&lt;D xsi:type="xsd:double"&gt;3540.8333&lt;/D&gt;&lt;/FQL&gt;&lt;FQL&gt;&lt;Q&gt;INTU-US^FE_ESTIMATE(FCF,MEAN,QTR_ROLL,2023/2F,NOW,,,'')&lt;/Q&gt;&lt;R&gt;1&lt;/R&gt;&lt;C&gt;1&lt;/C&gt;&lt;D xsi:type="xsd:double"&gt;224.4&lt;/D&gt;&lt;/FQL&gt;&lt;FQL&gt;&lt;Q&gt;INTU-US^FE_ESTIMATE(FCF,MEAN,QTR_ROLL,2023/1F,NOW,,,'')&lt;/Q&gt;&lt;R&gt;1&lt;/R&gt;&lt;C&gt;1&lt;/C&gt;&lt;D xsi:type="xsd:double"&gt;210.6&lt;/D&gt;&lt;/FQL&gt;&lt;FQL&gt;&lt;Q&gt;INTU-US^FE_ESTIMATE(FCF,MEAN,QTR_ROLL,2022/4F,NOW,,,'')&lt;/Q&gt;&lt;R&gt;1&lt;/R&gt;&lt;C&gt;1&lt;/C&gt;&lt;D xsi:type="xsd:double"&gt;272.75&lt;/D&gt;&lt;/FQL&gt;&lt;FQL&gt;&lt;Q&gt;INTU-US^FE_ESTIMATE(FCF,MEAN,QTR_ROLL,2022/3F,NOW,,,'')&lt;/Q&gt;&lt;R&gt;1&lt;/R&gt;&lt;C&gt;1&lt;/C&gt;&lt;D xsi:type="xsd:double"&gt;3253.5&lt;/D&gt;&lt;/FQL&gt;&lt;FQL&gt;&lt;Q&gt;INTU-US^FE_ESTIMATE(FCF,MEAN,QTR_ROLL,2022/2F,NOW,,,'')&lt;/Q&gt;&lt;R&gt;1&lt;/R&gt;&lt;C&gt;1&lt;/C&gt;&lt;D xsi:type="xsd:double"&gt;18.8&lt;/D&gt;&lt;/FQL&gt;&lt;FQL&gt;&lt;Q&gt;INTU-US^FE_ESTIMATE(FCF,MEAN,QTR_ROLL,2022/1F,NOW,,,'')&lt;/Q&gt;&lt;R&gt;1&lt;/R&gt;&lt;C&gt;1&lt;/C&gt;&lt;D xsi:type="xsd:double"&gt;239.66667&lt;/D&gt;&lt;/FQL&gt;&lt;FQL&gt;&lt;Q&gt;INTU-US^FE_ESTIMATE(FCF,MEAN,QTR_ROLL,2021/4F,NOW,,,'')&lt;/Q&gt;&lt;R&gt;1&lt;/R&gt;&lt;C&gt;1&lt;/C&gt;&lt;D xsi:type="xsd:double"&gt;521.7167&lt;/D&gt;&lt;/FQL&gt;&lt;FQL&gt;&lt;Q&gt;INTU-US^FE_ESTIMATE(FCF,MEAN,QTR_ROLL,2021/3F,NOW,,,'')&lt;/Q&gt;&lt;R&gt;1&lt;/R&gt;&lt;C&gt;1&lt;/C&gt;&lt;D xsi:type="xsd:double"&gt;2510.6&lt;/D&gt;&lt;/FQL&gt;&lt;FQL&gt;&lt;Q&gt;INTU-US^FE_ESTIMATE(FCF,MEAN,QTR_ROLL,2021/2F,NOW,,,'')&lt;/Q&gt;&lt;R&gt;1&lt;/R&gt;&lt;C&gt;1&lt;/C&gt;&lt;D xsi:type="xsd:double"&gt;244.38333&lt;/D&gt;&lt;/FQL&gt;&lt;FQL&gt;&lt;Q&gt;INTU-US^FE_ESTIMATE(FCF,MEAN,QTR_ROLL,2021/1F,NOW,,,'')&lt;/Q&gt;&lt;R&gt;1&lt;/R&gt;&lt;C&gt;1&lt;/C&gt;&lt;D xsi:type="xsd:double"&gt;7&lt;/D&gt;&lt;/FQL&gt;&lt;FQL&gt;&lt;Q&gt;INTU-US^FE_ESTIMATE(FCF,MEAN,QTR_ROLL,2020/4F,NOW,,,'')&lt;/Q&gt;&lt;R&gt;1&lt;/R&gt;&lt;C&gt;1&lt;/C&gt;&lt;D xsi:type="xsd:double"&gt;258.8&lt;/D&gt;&lt;/FQL&gt;&lt;FQL&gt;&lt;Q&gt;INTU-US^FE_ESTIMATE(FCF,MEAN,QTR_ROLL,2020/3F,NOW,,,'')&lt;/Q&gt;&lt;R&gt;1&lt;/R&gt;&lt;C&gt;1&lt;/C&gt;&lt;D xsi:type="xsd:double"&gt;1894.5&lt;/D&gt;&lt;/FQL&gt;&lt;FQL&gt;&lt;Q&gt;INTU-US^FE_ESTIMATE(FCF,MEAN,QTR_ROLL,2020/2F,NOW,,,'')&lt;/Q&gt;&lt;R&gt;1&lt;/R&gt;&lt;C&gt;1&lt;/C&gt;&lt;D xsi:type="xsd:double"&gt;283&lt;/D&gt;&lt;/FQL&gt;&lt;FQL&gt;&lt;Q&gt;INTU-US^FE_ESTIMATE(FCF,MEAN,QTR_ROLL,2020/1F,NOW,,,'')&lt;/Q&gt;&lt;R&gt;1&lt;/R&gt;&lt;C&gt;1&lt;/C&gt;&lt;D xsi:type="xsd:double"&gt;-164.7&lt;/D&gt;&lt;/FQL&gt;&lt;FQL&gt;&lt;Q&gt;INTU-US^FE_ESTIMATE(FCF,MEAN,QTR_ROLL,2019/4F,NOW,,,'')&lt;/Q&gt;&lt;R&gt;1&lt;/R&gt;&lt;C&gt;1&lt;/C&gt;&lt;D xsi:type="xsd:double"&gt;-148&lt;/D&gt;&lt;/FQL&gt;&lt;FQL&gt;&lt;Q&gt;INTU-US^FE_ESTIMATE(FCF,MEAN,QTR_ROLL,2019/3F,NOW,,,'')&lt;/Q&gt;&lt;R&gt;1&lt;/R&gt;&lt;C&gt;1&lt;/C&gt;&lt;D xsi:type="xsd:double"&gt;2199.775&lt;/D&gt;&lt;/FQL&gt;&lt;FQL&gt;&lt;Q&gt;INTU-US^FE_ESTIMATE(FCF,MEAN,QTR_ROLL,2019/2F,NOW,,,'')&lt;/Q&gt;&lt;R&gt;1&lt;/R&gt;&lt;C&gt;1&lt;/C&gt;&lt;D xsi:type="xsd:double"&gt;296.775&lt;/D&gt;&lt;/FQL&gt;&lt;FQL&gt;&lt;Q&gt;INTU-US^FE_ESTIMATE(FCF,MEAN,QTR_ROLL,2019/1F,NOW,,,'')&lt;/Q&gt;&lt;R&gt;1&lt;/R&gt;&lt;C&gt;1&lt;/C&gt;&lt;D xsi:type="xsd:double"&gt;-178&lt;/D&gt;&lt;/FQL&gt;&lt;FQL&gt;&lt;Q&gt;INTU-US^FE_ESTIMATE(EBIT,MEAN,QTR_ROLL,2020/2F,NOW,,,'')&lt;/Q&gt;&lt;R&gt;1&lt;/R&gt;&lt;C&gt;1&lt;/C&gt;&lt;D xsi:type="xsd:double"&gt;383.92307&lt;/D&gt;&lt;/FQL&gt;&lt;FQL&gt;&lt;Q&gt;INTU-US^FE_ESTIMATE(SALES,MEAN,QTR_ROLL,2019/2F,NOW,,,'')&lt;/Q&gt;&lt;R&gt;1&lt;/R&gt;&lt;C&gt;1&lt;/C&gt;&lt;D xsi:type="xsd:double"&gt;1502&lt;/D&gt;&lt;/FQL&gt;&lt;FQL&gt;&lt;Q&gt;INTU-US^FE_ESTIMATE(EPS_GAAP,MEAN,QTR_ROLL,2022/4F,NOW,,,'')&lt;/Q&gt;&lt;R&gt;1&lt;/R&gt;&lt;C&gt;1&lt;/C&gt;&lt;D xsi:type="xsd:double"&gt;-0.2&lt;/D&gt;&lt;/FQL&gt;&lt;FQL&gt;&lt;Q&gt;INTU-US^FE_ESTIMATE(EPS,MEAN,QTR_ROLL,2019/2F,NOW,,,'')&lt;/Q&gt;&lt;R&gt;1&lt;/R&gt;&lt;C&gt;1&lt;/C&gt;&lt;D xsi:type="xsd:double"&gt;1&lt;/D&gt;&lt;/FQL&gt;&lt;FQL&gt;&lt;Q&gt;INTU-US^FE_ESTIMATE(GROSS_INC,MEAN,QTR_ROLL,2021/2F,NOW,,,'')&lt;/Q&gt;&lt;R&gt;1&lt;/R&gt;&lt;C&gt;1&lt;/C&gt;&lt;D xsi:type="xsd:double"&gt;1233&lt;/D&gt;&lt;/FQL&gt;&lt;FQL&gt;&lt;Q&gt;INTU-US^FE_ESTIMATE(SALES,MEAN,QTR_ROLL,2025/4F,NOW,,,'')&lt;/Q&gt;&lt;R&gt;1&lt;/R&gt;&lt;C&gt;1&lt;/C&gt;&lt;D xsi:type="xsd:double"&gt;3831&lt;/D&gt;&lt;/FQL&gt;&lt;FQL&gt;&lt;Q&gt;INTU-US^FE_ESTIMATE(EBIT,MEAN,QTR_ROLL,2023/1F,NOW,,,'')&lt;/Q&gt;&lt;R&gt;1&lt;/R&gt;&lt;C&gt;1&lt;/C&gt;&lt;D xsi:type="xsd:double"&gt;662&lt;/D&gt;&lt;/FQL&gt;&lt;FQL&gt;&lt;Q&gt;INTU-US^FE_ESTIMATE(SALES,MEAN,QTR_ROLL,2025/1F,NOW,,,'')&lt;/Q&gt;&lt;R&gt;1&lt;/R&gt;&lt;C&gt;1&lt;/C&gt;&lt;D xsi:type="xsd:double"&gt;3283&lt;/D&gt;&lt;/FQL&gt;&lt;FQL&gt;&lt;Q&gt;INTU-US^FE_ESTIMATE(SALES,MEAN,QTR_ROLL,2024/2F,NOW,,,'')&lt;/Q&gt;&lt;R&gt;1&lt;/R&gt;&lt;C&gt;1&lt;/C&gt;&lt;D xsi:type="xsd:double"&gt;3386&lt;/D&gt;&lt;/FQL&gt;&lt;FQL&gt;&lt;Q&gt;INTU-US^FE_ESTIMATE(EPS_GAAP,MEAN,QTR_ROLL,2025/3F,NOW,,,'')&lt;/Q&gt;&lt;R&gt;1&lt;/R&gt;&lt;C&gt;1&lt;/C&gt;&lt;D xsi:type="xsd:double"&gt;10.02&lt;/D&gt;&lt;/FQL&gt;&lt;FQL&gt;&lt;Q&gt;INTU-US^FE_ESTIMATE(EPS,MEAN,QTR_ROLL,2025/1F,NOW,,,'')&lt;/Q&gt;&lt;R&gt;1&lt;/R&gt;&lt;C&gt;1&lt;/C&gt;&lt;D xsi:type="xsd:double"&gt;2.5&lt;/D&gt;&lt;/FQL&gt;&lt;FQL&gt;&lt;Q&gt;INTU-US^FE_ESTIMATE(EPS_GAAP,MEAN,QTR_ROLL,2026/1F,NOW,,,'')&lt;/Q&gt;&lt;R&gt;1&lt;/R&gt;&lt;C&gt;1&lt;/C&gt;&lt;D xsi:type="xsd:double"&gt;1.59&lt;/D&gt;&lt;/FQL&gt;&lt;FQL&gt;&lt;Q&gt;INTU-US^FE_ESTIMATE(GROSS_INC,MEAN,QTR_ROLL,2020/1F,NOW,,,'')&lt;/Q&gt;&lt;R&gt;1&lt;/R&gt;&lt;C&gt;1&lt;/C&gt;&lt;D xsi:type="xsd:double"&gt;893&lt;/D&gt;&lt;/FQL&gt;&lt;FQL&gt;&lt;Q&gt;INTU-US^FE_ESTIMATE(GROSS_INC,MEAN,QTR_ROLL,2028/3F,NOW,,,'')&lt;/Q&gt;&lt;R&gt;1&lt;/R&gt;&lt;C&gt;1&lt;/C&gt;&lt;D xsi:type="xsd:double"&gt;8510.5&lt;/D&gt;&lt;/FQL&gt;&lt;FQL&gt;&lt;Q&gt;INTU-US^FE_ESTIMATE(EPS,MEAN,QTR_ROLL,2028/2F,NOW,,,'')&lt;/Q&gt;&lt;R&gt;1&lt;/R&gt;&lt;C&gt;1&lt;/C&gt;&lt;D xsi:type="xsd:double"&gt;4.9677835&lt;/D&gt;&lt;/FQL&gt;&lt;FQL&gt;&lt;Q&gt;INTU-US^FE_ESTIMATE(EPS,MEAN,QTR_ROLL,2023/2F,NOW,,,'')&lt;/Q&gt;&lt;R&gt;1&lt;/R&gt;&lt;C&gt;1&lt;/C&gt;&lt;D xsi:type="xsd:double"&gt;2.2&lt;/D&gt;&lt;/FQL&gt;&lt;FQL&gt;&lt;Q&gt;INTU-US^FE_ESTIMATE(EPS_GAAP,MEAN,QTR_ROLL,2027/4F,NOW,,,'')&lt;/Q&gt;&lt;R&gt;1&lt;/R&gt;&lt;C&gt;1&lt;/C&gt;&lt;D xsi:type="xsd:double"&gt;1.526799&lt;/D&gt;&lt;/FQL&gt;&lt;FQL&gt;&lt;Q&gt;INTU-US^FE_ESTIMATE(EPS_GAAP,MEAN,QTR_ROLL,2020/1F,NOW,,,'')&lt;/Q&gt;&lt;R&gt;1&lt;/R&gt;&lt;C&gt;1&lt;/C&gt;&lt;D xsi:type="xsd:double"&gt;0.22&lt;/D&gt;&lt;/FQL&gt;&lt;FQL&gt;&lt;Q&gt;INTU-US^FE_ESTIMATE(EBIT,MEAN,QTR_ROLL,2020/3F,NOW,,,'')&lt;/Q&gt;&lt;R&gt;1&lt;/R&gt;&lt;C&gt;1&lt;/C&gt;&lt;D xsi:type="xsd:double"&gt;1539&lt;/D&gt;&lt;/FQL&gt;&lt;FQL&gt;&lt;Q&gt;INTU-US^FE_ESTIMATE(SALES,MEAN,QTR_ROLL,2028/3F,NOW,,,'')&lt;/Q&gt;&lt;R&gt;1&lt;/R&gt;&lt;C&gt;1&lt;/C&gt;&lt;D xsi:type="xsd:double"&gt;10220.326&lt;/D&gt;&lt;/FQL&gt;&lt;FQL&gt;&lt;Q&gt;INTU-US^FE_ESTIMATE(EPS_GAAP,MEAN,QTR_ROLL,2026/2F,NOW,,,'')&lt;/Q&gt;&lt;R&gt;1&lt;/R&gt;&lt;C&gt;1&lt;/C&gt;&lt;D xsi:type="xsd:double"&gt;1.8307227&lt;/D&gt;&lt;/FQL&gt;&lt;FQL&gt;&lt;Q&gt;INTU-US^FE_ESTIMATE(EPS,MEAN,QTR_ROLL,2028/3F,NOW,,,'')&lt;/Q&gt;&lt;R&gt;1&lt;/R&gt;&lt;C&gt;1&lt;/C&gt;&lt;D xsi:type="xsd:double"&gt;15.602662&lt;/D&gt;&lt;/FQL&gt;&lt;FQL&gt;&lt;Q&gt;INTU-US^FE_ESTIMATE(GROSS_INC,MEAN,QTR_ROLL,2023/3F,NOW,,,'')&lt;/Q&gt;&lt;R&gt;1&lt;/R&gt;&lt;C&gt;1&lt;/C&gt;&lt;D xsi:type="xsd:double"&gt;5158.5386&lt;/D&gt;&lt;/FQL&gt;&lt;FQL&gt;&lt;Q&gt;INTU-US^FE_ESTIMATE(SALES,MEAN,QTR_ROLL,2019/3F,NOW,,,'')&lt;/Q&gt;&lt;R&gt;1&lt;/R&gt;&lt;C&gt;1&lt;/C&gt;&lt;D xsi:type="xsd:double"&gt;3272&lt;/D&gt;&lt;/FQL&gt;&lt;FQL&gt;&lt;Q&gt;INTU-US^FE_ESTIMATE(EPS_GAAP,MEAN,QTR_ROLL,2027/3F,NOW,,,'')&lt;/Q&gt;&lt;R&gt;1&lt;/R&gt;&lt;C&gt;1&lt;/C&gt;&lt;D xsi:type="xsd:double"&gt;12.466518&lt;/D&gt;&lt;/FQL&gt;&lt;FQL&gt;&lt;Q&gt;INTU-US^FE_ESTIMATE(SALES,MEAN,QTR_ROLL,2020/2F,NOW,,,'')&lt;/Q&gt;&lt;R&gt;1&lt;/R&gt;&lt;C&gt;1&lt;/C&gt;&lt;D xsi:type="xsd:double"&gt;1697.26&lt;/D&gt;&lt;/FQL&gt;&lt;FQL&gt;&lt;Q&gt;INTU-US^FE_ESTIMATE(EBIT,MEAN,QTR_ROLL,2023/4F,NOW,,,'')&lt;/Q&gt;&lt;R&gt;1&lt;/R&gt;&lt;C&gt;1&lt;/C&gt;&lt;D xsi:type="xsd:double"&gt;627&lt;/D&gt;&lt;/FQL&gt;&lt;FQL&gt;&lt;Q&gt;INTU-US^FE_ESTIMATE(EPS,MEAN,QTR_ROLL,2022/2F,NOW,,,'')&lt;/Q&gt;&lt;R&gt;1&lt;/R&gt;&lt;C&gt;1&lt;/C&gt;&lt;D xsi:type="xsd:double"&gt;1.55&lt;/D&gt;&lt;/FQL&gt;&lt;FQL&gt;&lt;Q&gt;INTU-US^FE_ESTIMATE(GROSS_INC,MEAN,QTR_ROLL,2027/2F,NOW,,,'')&lt;/Q&gt;&lt;R&gt;1&lt;/R&gt;&lt;C&gt;1&lt;/C&gt;&lt;D xsi:type="xsd:double"&gt;4077.9834&lt;/D&gt;&lt;/FQL&gt;&lt;FQL&gt;&lt;Q&gt;INTU-US^FE_ESTIMATE(SALES,MEAN,QTR_ROLL,2024/1F,NOW,,,'')&lt;/Q&gt;&lt;R&gt;1&lt;/R&gt;&lt;C&gt;1&lt;/C&gt;&lt;D xsi:type="xsd:double"&gt;2978&lt;/D&gt;&lt;/FQL&gt;&lt;FQL&gt;&lt;Q&gt;INTU-US^FE_ESTIMATE(EPS_GAAP,MEAN,QTR_ROLL,2021/2F,NOW,,,'')&lt;/Q&gt;&lt;R&gt;1&lt;/R&gt;&lt;C&gt;1&lt;/C&gt;&lt;D xsi:type="xsd:double"&gt;0.07&lt;/D&gt;&lt;/FQL&gt;&lt;FQL&gt;&lt;Q&gt;INTU-US^FE_ESTIMATE(EBIT,MEAN,QTR_ROLL,2026/2F,NOW,,,'')&lt;/Q&gt;&lt;R&gt;1&lt;/R&gt;&lt;C&gt;1&lt;/C&gt;&lt;D xsi:type="xsd:double"&gt;1393.71&lt;/D&gt;&lt;/FQL&gt;&lt;FQL&gt;&lt;Q&gt;INTU-US^FE_ESTIMATE(SALES,MEAN,QTR_ROLL,2028/2F,NOW,,,'')&lt;/Q&gt;&lt;R&gt;1&lt;/R&gt;&lt;C&gt;1&lt;/C&gt;&lt;D xsi:type="xsd:double"&gt;5741.7095&lt;/D&gt;&lt;/FQL&gt;&lt;FQL&gt;&lt;Q&gt;INTU-US^FE_ESTIMATE(GROSS_INC,MEAN,QTR_ROLL,2021/3F,NOW,,,'')&lt;/Q&gt;&lt;R&gt;1&lt;/R&gt;&lt;C&gt;1&lt;/C&gt;&lt;D xsi:type="xsd:double"&gt;3600.5&lt;/D&gt;&lt;/FQL&gt;&lt;FQL&gt;&lt;Q&gt;INTU-US^FE_ESTIMATE(EBIT,MEAN,QTR_ROLL,2020/1F,NOW,,,'')&lt;/Q&gt;&lt;R&gt;1&lt;/R&gt;&lt;C&gt;1&lt;/C&gt;&lt;D xsi:type="xsd:double"&gt;129&lt;/D&gt;&lt;/FQL&gt;&lt;FQL&gt;&lt;Q&gt;INTU-US^FE_ESTIMATE(SALES,MEAN,QTR_ROLL,2022/1F,NOW,,,'')&lt;/Q&gt;&lt;R&gt;1&lt;/R&gt;&lt;C&gt;1&lt;/C&gt;&lt;D xsi:type="xsd:double"&gt;2007&lt;/D&gt;&lt;/FQL&gt;&lt;FQL&gt;&lt;Q&gt;INTU-US^FE_ESTIMATE(GROSS_INC,MEAN,QTR_ROLL,2023/1F,NOW,,,'')&lt;/Q&gt;&lt;R&gt;1&lt;/R&gt;&lt;C&gt;1&lt;/C&gt;&lt;D xsi:type="xsd:double"&gt;2021.8462&lt;/D&gt;&lt;/FQL&gt;&lt;FQL&gt;&lt;Q&gt;INTU-US^FE_ESTIMATE(EPS_GAAP,MEAN,QTR_ROLL,2024/1F,NOW,,,'')&lt;/Q&gt;&lt;R&gt;1&lt;/R&gt;&lt;C&gt;1&lt;/C&gt;&lt;D xsi:type="xsd:double"&gt;0.85&lt;/D&gt;&lt;/FQL&gt;&lt;FQL&gt;&lt;Q&gt;INTU-US^FE_ESTIMATE(EPS,MEAN,QTR_ROLL,2023/3F,NOW,,,'')&lt;/Q&gt;&lt;R&gt;1&lt;/R&gt;&lt;C&gt;1&lt;/C&gt;&lt;D xsi:type="xsd:double"&gt;8.92&lt;/D&gt;&lt;/FQL&gt;&lt;FQL&gt;&lt;Q&gt;INTU-US^FE_ESTIMATE(GROSS_INC,MEAN,QTR_ROLL,2027/1F,NOW,,,'')&lt;/Q&gt;&lt;R&gt;1&lt;/R&gt;&lt;C&gt;1&lt;/C&gt;&lt;D xsi:type="xsd:double"&gt;3559.1428&lt;/D&gt;&lt;/FQL&gt;&lt;FQL&gt;&lt;Q&gt;INTU-US^FE_ESTIMATE(SALES,MEAN,QTR_ROLL,2021/3F,NOW,,,'')&lt;/Q&gt;&lt;R&gt;1&lt;/R&gt;&lt;C&gt;1&lt;/C&gt;&lt;D xsi:type="xsd:double"&gt;4173&lt;/D&gt;&lt;/FQL&gt;&lt;FQL&gt;&lt;Q&gt;INTU-US^FE_ESTIMATE(EBIT,MEAN,QTR_ROLL,2021/2F,NOW,,,'')&lt;/Q&gt;&lt;R&gt;1&lt;/R&gt;&lt;C&gt;1&lt;/C&gt;&lt;D xsi:type="xsd:double"&gt;235&lt;/D&gt;&lt;/FQL&gt;&lt;FQL&gt;&lt;Q&gt;INTU-US^FE_ESTIMATE(EPS_GAAP,MEAN,QTR_ROLL,2026/4F,NOW,,,'')&lt;/Q&gt;&lt;R&gt;1&lt;/R&gt;&lt;C&gt;1&lt;/C&gt;&lt;D xsi:type="xsd:double"&gt;1.165433&lt;/D&gt;&lt;/FQL&gt;&lt;FQL&gt;&lt;Q&gt;INTU-US^FE_ESTIMATE(EPS_GAAP,MEAN,QTR_ROLL,2023/4F,NOW,,,'')&lt;/Q&gt;&lt;R&gt;1&lt;/R&gt;&lt;C&gt;1&lt;/C&gt;&lt;D xsi:type="xsd:double"&gt;0.32&lt;/D&gt;&lt;/FQL&gt;&lt;FQL&gt;&lt;Q&gt;INTU-US^FE_ESTIMATE(GROSS_INC,MEAN,QTR_ROLL,2022/2F,NOW,,,'')&lt;/Q&gt;&lt;R&gt;1&lt;/R&gt;&lt;C&gt;1&lt;/C&gt;&lt;D xsi:type="xsd:double"&gt;2166.182&lt;/D&gt;&lt;/FQL&gt;&lt;FQL&gt;&lt;Q&gt;INTU-US^FE_ESTIMATE(SALES,MEAN,QTR_ROLL,2027/3F,NOW,,,'')&lt;/Q&gt;&lt;R&gt;1&lt;/R&gt;&lt;C&gt;1&lt;/C&gt;&lt;D xsi:type="xsd:double"&gt;9374.014&lt;/D&gt;&lt;/FQL&gt;&lt;FQL&gt;&lt;Q&gt;INTU-US^FE_ESTIMATE(GROSS_INC,MEAN,QTR_ROLL,2026/3F,NOW,,,'')&lt;/Q&gt;&lt;R&gt;1&lt;/R&gt;&lt;C&gt;1&lt;/C&gt;&lt;D xsi:type="xsd:double"&gt;7360.077&lt;/D&gt;&lt;/FQL&gt;&lt;FQL&gt;&lt;Q&gt;INTU-US^FE_ESTIMATE(GROSS_INC,MEAN,QTR_ROLL,2019/1F,NOW,,,'')&lt;/Q&gt;&lt;R&gt;1&lt;/R&gt;&lt;C&gt;1&lt;/C&gt;&lt;D xsi:type="xsd:double"&gt;785.2857&lt;/D&gt;&lt;/FQL&gt;&lt;FQL&gt;&lt;Q&gt;INTU-US^FE_ESTIMATE(EPS_GAAP,MEAN,QTR_ROLL,2028/1F,NOW,,,'')&lt;/Q&gt;&lt;R&gt;1&lt;/R&gt;&lt;C&gt;1&lt;/C&gt;&lt;D xsi:type="xsd:double"&gt;2.364528&lt;/D&gt;&lt;/FQL&gt;&lt;FQL&gt;&lt;Q&gt;INTU-US^FE_ESTIMATE(EPS_GAAP,MEAN,QTR_ROLL,2019/1F,NOW,,,'')&lt;/Q&gt;&lt;R&gt;1&lt;/R&gt;&lt;C&gt;1&lt;/C&gt;&lt;D xsi:type="xsd:double"&gt;0.13&lt;/D&gt;&lt;/FQL&gt;&lt;FQL&gt;&lt;Q&gt;INTU-US^FE_ESTIMATE(EBIT,MEAN,QTR_ROLL,2025/3F,NOW,,,'')&lt;/Q&gt;&lt;R&gt;1&lt;/R&gt;&lt;C&gt;1&lt;/C&gt;&lt;D xsi:type="xsd:double"&gt;4343&lt;/D&gt;&lt;/FQL&gt;&lt;FQL&gt;&lt;Q&gt;INTU-US^FE_ESTIMATE(EPS,MEAN,QTR_ROLL,2026/1F,NOW,,,'')&lt;/Q&gt;&lt;R&gt;1&lt;/R&gt;&lt;C&gt;1&lt;/C&gt;&lt;D xsi:type="xsd:double"&gt;3.34&lt;/D&gt;&lt;/FQL&gt;&lt;FQL&gt;&lt;Q&gt;INTU-US^FE_ESTIMATE(EPS,MEAN,QTR_ROLL,2027/2F,NOW,,,'')&lt;/Q&gt;&lt;R&gt;1&lt;/R&gt;&lt;C&gt;1&lt;/C&gt;&lt;D xsi:type="xsd:double"&gt;4.327731&lt;/D&gt;&lt;/FQL&gt;&lt;FQL&gt;&lt;Q&gt;INTU-US^FE_ESTIMATE(SALES,MEAN,QTR_ROLL,2027/2F,NOW,,,'')&lt;/Q&gt;&lt;R&gt;1&lt;/R&gt;&lt;C&gt;1&lt;/C&gt;&lt;D xsi:type="xsd:double"&gt;5111.6016&lt;/D&gt;&lt;/FQL&gt;&lt;FQL&gt;&lt;Q&gt;INTU-US^FE_ESTIMATE(EPS,MEAN,QTR_ROLL,2021/2F,NOW,,,'')&lt;/Q&gt;&lt;R&gt;1&lt;/R&gt;&lt;C&gt;1&lt;/C&gt;&lt;D xsi:type="xsd:double"&gt;0.68&lt;/D&gt;&lt;/FQL&gt;&lt;FQL&gt;&lt;Q&gt;INTU-US^FE_ESTIMATE(EBIT,MEAN,QTR_ROLL,2022/2F,NOW,,,'')&lt;/Q&gt;&lt;R&gt;1&lt;/R&gt;&lt;C&gt;1&lt;/C&gt;&lt;D xsi:type="xsd:double"&gt;612&lt;/D&gt;&lt;/FQL&gt;&lt;FQL&gt;&lt;Q&gt;INTU-US^FE_ESTIMATE(EPS,MEAN,QTR_ROLL,2021/1F,NOW,,,'')&lt;/Q&gt;&lt;R&gt;1&lt;/R&gt;&lt;C&gt;1&lt;/C&gt;&lt;D xsi:type="xsd:double"&gt;0.94&lt;/D&gt;&lt;/FQL&gt;&lt;FQL&gt;&lt;Q&gt;INTU-US^FE_ESTIMATE(EPS,MEAN,QTR_ROLL,2019/4F,NOW,,,'')&lt;/Q&gt;&lt;R&gt;1&lt;/R&gt;&lt;C&gt;1&lt;/C&gt;&lt;D xsi:type="xsd:double"&gt;-0.09&lt;/D&gt;&lt;/FQL&gt;&lt;FQL&gt;&lt;Q&gt;INTU-US^FE_ESTIMATE(EPS,MEAN,QTR_ROLL,2025/4F,NOW,,,'')&lt;/Q&gt;&lt;R&gt;1&lt;/R&gt;&lt;C&gt;1&lt;/C&gt;&lt;D xsi:type="xsd:double"&gt;2.75&lt;/D&gt;&lt;/FQL&gt;&lt;FQL&gt;&lt;Q&gt;INTU-US^FE_ESTIMATE(EPS,MEAN,QTR_ROLL,2019/3F,NOW,,,'')&lt;/Q&gt;&lt;R&gt;1&lt;/R&gt;&lt;C&gt;1&lt;/C&gt;&lt;D xsi:type="xsd:double"&gt;5.55&lt;/D&gt;&lt;/FQL&gt;&lt;FQL&gt;&lt;Q&gt;INTU-US^FE_ESTIMATE(EPS,MEAN,QTR_ROLL,2023/1F,NOW,,,'')&lt;/Q&gt;&lt;R&gt;1&lt;/R&gt;&lt;C&gt;1&lt;/C&gt;&lt;D xsi:type="xsd:double"&gt;1.66&lt;/D&gt;&lt;/FQL&gt;&lt;FQL&gt;&lt;Q&gt;INTU-US^FE_ESTIMATE(EPS_GAAP,MEAN,QTR_ROLL,2024/4F,NOW,,,'')&lt;/Q&gt;&lt;R&gt;1&lt;/R&gt;&lt;C&gt;1&lt;/C&gt;&lt;D xsi:type="xsd:double"&gt;-0.07&lt;/D&gt;&lt;/FQL&gt;&lt;FQL&gt;&lt;Q&gt;INTU-US^FE_ESTIMATE(EBIT,MEAN,QTR_ROLL,2028/1F,NOW,,,'')&lt;/Q&gt;&lt;R&gt;1&lt;/R&gt;&lt;C&gt;1&lt;/C&gt;&lt;D xsi:type="xsd:double"&gt;1671.564&lt;/D&gt;&lt;/FQL&gt;&lt;FQL&gt;&lt;Q&gt;INTU-US^FE_ESTIMATE(GROSS_INC,MEAN,QTR_ROLL,2025/2F,NOW,,,'')&lt;/Q&gt;&lt;R&gt;1&lt;/R&gt;&lt;C&gt;1&lt;/C&gt;&lt;D xsi:type="xsd:double"&gt;3162.3076&lt;/D&gt;&lt;/FQL&gt;&lt;FQL&gt;&lt;Q&gt;INTU-US^FE_ESTIMATE(EPS_GAAP,MEAN,QTR_ROLL,2020/3F,NOW,,,'')&lt;/Q&gt;&lt;R&gt;1&lt;/R&gt;&lt;C&gt;1&lt;/C&gt;&lt;D xsi:type="xsd:double"&gt;4.11&lt;/D&gt;&lt;/FQL&gt;&lt;FQL&gt;&lt;Q&gt;INTU-US^FE_ESTIMATE(EPS_GAAP,MEAN,QTR_ROLL,2020/2F,NOW,,,'')&lt;/Q&gt;&lt;R&gt;1&lt;/R&gt;&lt;C&gt;1&lt;/C&gt;&lt;D xsi:type="xsd:double"&gt;0.91&lt;/D&gt;&lt;/FQL&gt;&lt;FQL&gt;&lt;Q&gt;INTU-US^FE_ESTIMATE(EBIT,MEAN,QTR_ROLL,2022/1F,NOW,,,'')&lt;/Q&gt;&lt;R&gt;1&lt;/R&gt;&lt;C&gt;1&lt;/C&gt;&lt;D xsi:type="xsd:double"&gt;555&lt;/D&gt;&lt;/FQL&gt;&lt;FQL&gt;&lt;Q&gt;INTU-US^FE_ESTIMATE(EPS,MEAN,QTR_ROLL,2020/3F,NOW,,,'')&lt;/Q&gt;&lt;R&gt;1&lt;/R&gt;&lt;C&gt;1&lt;/C&gt;&lt;D xsi:type="xsd:double"&gt;4.49&lt;/D&gt;&lt;/FQL&gt;&lt;FQL&gt;&lt;Q&gt;INTU-US^FE_ESTIMATE(SALES,MEAN,QTR_ROLL,2024/4F,NOW,,,'')&lt;/Q&gt;&lt;R&gt;1&lt;/R&gt;&lt;C&gt;1&lt;/C&gt;&lt;D xsi:type="xsd:double"&gt;3184&lt;/D&gt;&lt;/FQL&gt;&lt;FQL&gt;&lt;Q&gt;INTU-US^FE_ESTIMATE(EPS,MEAN,QTR_ROLL,2020/2F,NOW,,,'')&lt;/Q&gt;&lt;R&gt;1&lt;/R&gt;&lt;C&gt;1&lt;/C&gt;&lt;D xsi:type="xsd:double"&gt;1.16&lt;/D&gt;&lt;/FQL&gt;&lt;FQL&gt;&lt;Q&gt;INTU-US^FE_ESTIMATE(GROSS_INC,MEAN,QTR_ROLL,2020/4F,NOW,,,'')&lt;/Q&gt;&lt;R&gt;1&lt;/R&gt;&lt;C&gt;1&lt;/C&gt;&lt;D xsi:type="xsd:double"&gt;1509.8&lt;/D&gt;&lt;/FQL&gt;&lt;FQL&gt;&lt;Q&gt;INTU-US^FE_ESTIMATE(GROSS_INC,MEAN,QTR_ROLL,2025/1F,NOW,,,'')&lt;/Q&gt;&lt;R&gt;1&lt;/R&gt;&lt;C&gt;1&lt;/C&gt;&lt;D xsi:type="xsd:double"&gt;2590.7856&lt;/D&gt;&lt;/FQL&gt;&lt;FQL&gt;&lt;Q&gt;INTU-US^FE_ESTIMATE(SALES,MEAN,QTR_ROLL,2024/3F,NOW,,,'')&lt;/Q&gt;&lt;R&gt;1&lt;/R&gt;&lt;C&gt;1&lt;/C&gt;&lt;D xsi:type="xsd:double"&gt;6737&lt;/D&gt;&lt;/FQL&gt;&lt;FQL&gt;&lt;Q&gt;INTU-US^FE_ESTIMATE(EPS,MEAN,QTR_ROLL,2024/3F,NOW,,,'')&lt;/Q&gt;&lt;R&gt;1&lt;/R&gt;&lt;C&gt;1&lt;/C&gt;&lt;D xsi:type="xsd:double"&gt;9.88&lt;/D&gt;&lt;/FQL&gt;&lt;FQL&gt;&lt;Q&gt;INTU-US^FE_ESTIMATE(EBIT,MEAN,QTR_ROLL,2024/1F,NOW,,,'')&lt;/Q&gt;&lt;R&gt;1&lt;/R&gt;&lt;C&gt;1&lt;/C&gt;&lt;D xsi:type="xsd:double"&gt;960&lt;/D&gt;&lt;/FQL&gt;&lt;FQL&gt;&lt;Q&gt;INTU-US^FE_ESTIMATE(EBIT,MEAN,QTR_ROLL,2020/4F,NOW,,,'')&lt;/Q&gt;&lt;R&gt;1&lt;/R&gt;&lt;C&gt;1&lt;/C&gt;&lt;D xsi:type="xsd:double"&gt;616&lt;/D&gt;&lt;/FQL&gt;&lt;FQL&gt;&lt;Q&gt;INTU-US^FE_ESTIMATE(GROSS_INC,MEAN,QTR_ROLL,2027/4F,NOW,,,'')&lt;/Q&gt;&lt;R&gt;1&lt;/R&gt;&lt;C&gt;1&lt;/C&gt;&lt;D xsi:type="xsd:double"&gt;3852.85&lt;/D&gt;&lt;/FQL&gt;&lt;FQL&gt;&lt;Q&gt;INTU-US^FE_ESTIMATE(EBIT,MEAN,QTR_ROLL,2019/3F,NOW,,,'')&lt;/Q&gt;&lt;R&gt;1&lt;/R&gt;&lt;C&gt;1&lt;/C&gt;&lt;D xsi:type="xsd:double"&gt;1888&lt;/D&gt;&lt;/FQL&gt;&lt;FQL&gt;&lt;Q&gt;INTU-US^FE_ESTIMATE(EBIT,MEAN,QTR_ROLL,2028/2F,NOW,,,'')&lt;/Q&gt;&lt;R&gt;1&lt;/R&gt;&lt;C&gt;1&lt;/C&gt;&lt;D xsi:type="xsd:double"&gt;1870.603&lt;/D&gt;&lt;/FQL&gt;&lt;FQL&gt;&lt;Q&gt;INTU-US^FE_ESTIMATE(EPS,MEAN,QTR_ROLL,2027/1F,NOW,,,'')&lt;/Q&gt;&lt;R&gt;1&lt;/R&gt;&lt;C&gt;1&lt;/C&gt;&lt;D xsi:type="xsd:double"&gt;3.912188&lt;/D&gt;&lt;/FQL&gt;&lt;FQL&gt;&lt;Q&gt;INTU-US^FE_ESTIMATE(SALES,MEAN,QTR_ROLL,2020/3F,NOW,,,'')&lt;/Q&gt;&lt;R&gt;1&lt;/R&gt;&lt;C&gt;1&lt;/C&gt;&lt;D xsi:type="xsd:double"&gt;3002&lt;/D&gt;&lt;/FQL&gt;&lt;FQL&gt;&lt;Q&gt;INTU-US^FE_ESTIMATE(EBIT,MEAN,QTR_ROLL,2019/1F,NOW,,,'')&lt;/Q&gt;&lt;R&gt;1&lt;/R&gt;&lt;C&gt;1&lt;/C&gt;&lt;D xsi:type="xsd:double"&gt;102&lt;/D&gt;&lt;/FQL&gt;&lt;FQL&gt;&lt;Q&gt;INTU-US^FE_ESTIMATE(GROSS_INC,MEAN,QTR_ROLL,2020/2F,NOW,,,'')&lt;/Q&gt;&lt;R&gt;1&lt;/R&gt;&lt;C&gt;1&lt;/C&gt;&lt;D xsi:type="xsd:double"&gt;1370.8889&lt;/D&gt;&lt;/FQL&gt;&lt;FQL&gt;&lt;Q&gt;INTU-US^FE_ESTIMATE(EPS,MEAN,QTR_ROLL,2020/4F,NOW,,,'')&lt;/Q&gt;&lt;R&gt;1&lt;/R&gt;&lt;C&gt;1&lt;/C&gt;&lt;D xsi:type="xsd:double"&gt;1.81&lt;/D&gt;&lt;/FQL&gt;&lt;FQL&gt;&lt;Q&gt;INTU-US^FE_ESTIMATE(GROSS_INC,MEAN,QTR_ROLL,2025/4F,NOW,,,'')&lt;/Q&gt;&lt;R&gt;1&lt;/R&gt;&lt;C&gt;1&lt;/C&gt;&lt;D xsi:type="xsd:double"&gt;3069.6&lt;/D&gt;&lt;/FQL&gt;&lt;FQL&gt;&lt;Q&gt;INTU-US^FE_ESTIMATE(EPS_GAAP,MEAN,QTR_ROLL,2028/4F,NOW,,,'')&lt;/Q&gt;&lt;R&gt;1&lt;/R&gt;&lt;C&gt;1&lt;/C&gt;&lt;D xsi:type="xsd:double"&gt;1.9873075&lt;/D&gt;&lt;/FQL&gt;&lt;FQL&gt;&lt;Q&gt;INTU-US^FE_ESTIMATE(EPS_GAAP,MEAN,QTR_ROLL,2019/4F,NOW,,,'')&lt;/Q&gt;&lt;R&gt;1&lt;/R&gt;&lt;C&gt;1&lt;/C&gt;&lt;D xsi:type="xsd:double"&gt;-0.17&lt;/D&gt;&lt;/FQL&gt;&lt;FQL&gt;&lt;Q&gt;INTU-US^FE_ESTIMATE(EBIT,MEAN,QTR_ROLL,2021/4F,NOW,,,'')&lt;/Q&gt;&lt;R&gt;1&lt;/R&gt;&lt;C&gt;1&lt;/C&gt;&lt;D xsi:type="xsd:double"&gt;715&lt;/D&gt;&lt;/FQL&gt;&lt;FQL&gt;&lt;Q&gt;INTU-US^FE_ESTIMATE(SALES,MEAN,QTR_ROLL,2026/4F,NOW,,,'')&lt;/Q&gt;&lt;R&gt;1&lt;/R&gt;&lt;C&gt;1&lt;/C&gt;&lt;D xsi:type="xsd:double"&gt;4244.448&lt;/D&gt;&lt;/FQL&gt;&lt;FQL&gt;&lt;Q&gt;INTU-US^FE_ESTIMATE(EPS,MEAN,QTR_ROLL,2028/1F,NOW,,,'')&lt;/Q&gt;&lt;R&gt;1&lt;/R&gt;&lt;C&gt;1&lt;/C&gt;&lt;D xsi:type="xsd:double"&gt;4.547516&lt;/D&gt;&lt;/FQL&gt;&lt;FQL&gt;&lt;Q&gt;INTU-US^FE_ESTIMATE(GROSS_INC,MEAN,QTR_ROLL,2025/3F,NOW,,,'')&lt;/Q&gt;&lt;R&gt;1&lt;/R&gt;&lt;C&gt;1&lt;/C&gt;&lt;D xsi:type="xsd:double"&gt;6688.077&lt;/D&gt;&lt;/FQL&gt;&lt;FQL&gt;&lt;Q&gt;INTU-US^FE_ESTIMATE(EBIT,MEAN,QTR_ROLL,2026/1F,NOW,,,'')&lt;/Q&gt;&lt;R&gt;1&lt;/R&gt;&lt;C&gt;1&lt;/C&gt;&lt;D xsi:type="xsd:double"&gt;1258&lt;/D&gt;&lt;/FQL&gt;&lt;FQL&gt;&lt;Q&gt;INTU-US^FE_ESTIMATE(GROSS_INC,MEAN,QTR_ROLL,2021/1F,NOW,,,'')&lt;/Q&gt;&lt;R&gt;1&lt;/R&gt;&lt;C&gt;1&lt;/C&gt;&lt;D xsi:type="xsd:double"&gt;1083.1&lt;/D&gt;&lt;/FQL&gt;&lt;FQL&gt;&lt;Q&gt;INTU-US^FE_ESTIMATE(SALES,MEAN,QTR_ROLL,2019/1F,NOW,,,'')&lt;/Q&gt;&lt;R&gt;1&lt;/R&gt;&lt;C&gt;1&lt;/C&gt;&lt;D xsi:type="xsd:double"&gt;1016&lt;/D&gt;&lt;/FQL&gt;&lt;FQL&gt;&lt;Q&gt;INTU-US^FE_ESTIMATE(SALES,MEAN,QTR_ROLL,2027/1F,NOW,,,'')&lt;/Q&gt;&lt;R&gt;1&lt;/R&gt;&lt;C&gt;1&lt;/C&gt;&lt;D xsi:type="xsd:double"&gt;4426.564&lt;/D&gt;&lt;/FQL&gt;&lt;FQL&gt;&lt;Q&gt;INTU-US^FE_ESTIMATE(EPS_GAAP,MEAN,QTR_ROLL,2022/3F,NOW,,,'')&lt;/Q&gt;&lt;R&gt;1&lt;/R&gt;&lt;C&gt;1&lt;/C&gt;&lt;D xsi:type="xsd:double"&gt;6.28&lt;/D&gt;&lt;/FQL&gt;&lt;FQL&gt;&lt;Q&gt;INTU-US^FE_ESTIMATE(EPS_GAAP,MEAN,QTR_ROLL,2019/2F,NOW,,,'')&lt;/Q&gt;&lt;R&gt;1&lt;/R&gt;&lt;C&gt;1&lt;/C&gt;&lt;D xsi:type="xsd:double"&gt;0.72&lt;/D&gt;&lt;/FQL&gt;&lt;FQL&gt;&lt;Q&gt;INTU-US^FE_ESTIMATE(EBIT,MEAN,QTR_ROLL,2019/4F,NOW,,,'')&lt;/Q&gt;&lt;R&gt;1&lt;/R&gt;&lt;C&gt;1&lt;/C&gt;&lt;D xsi:type="xsd:double"&gt;-47&lt;/D&gt;&lt;/FQL&gt;&lt;FQL&gt;&lt;Q&gt;INTU-US^FE_ESTIMATE(EPS_GAAP,MEAN,QTR_ROLL,2022/2F,NOW,,,'')&lt;/Q&gt;&lt;R&gt;1&lt;/R&gt;&lt;C&gt;1&lt;/C&gt;&lt;D xsi:type="xsd:double"&gt;0.35&lt;/D&gt;&lt;/FQL&gt;&lt;FQL&gt;&lt;Q&gt;INTU-US^FE_ESTIMATE(SALES,MEAN,QTR_ROLL,2020/1F,NOW,,,'')&lt;/Q&gt;&lt;R&gt;1&lt;/R&gt;&lt;C&gt;1&lt;/C&gt;&lt;D xsi:type="xsd:double"&gt;1165&lt;/D&gt;&lt;/FQL&gt;&lt;FQL&gt;&lt;Q&gt;INTU-US^FE_ESTIMATE(EPS,MEAN,QTR_ROLL,2027/3F,NOW,,,'')&lt;/Q&gt;&lt;R&gt;1&lt;/R&gt;&lt;C&gt;1&lt;/C&gt;&lt;D xsi:type="xsd:double"&gt;14.395941&lt;/D&gt;&lt;/FQL&gt;&lt;FQL&gt;&lt;Q&gt;INTU-US^FE_ESTIMATE(EPS_GAAP,MEAN,QTR_ROLL,2026/3F,NOW,,,'')&lt;/Q&gt;&lt;R&gt;1&lt;/R&gt;&lt;C&gt;1&lt;/C&gt;&lt;D xsi:type="xsd:double"&gt;11.132285&lt;/D&gt;&lt;/FQL&gt;&lt;FQL&gt;&lt;Q&gt;INTU-US^FE_ESTIMATE(SALES,MEAN,QTR_ROLL,2021/1F,NOW,,,'')&lt;/Q&gt;&lt;R&gt;1&lt;/R&gt;&lt;C&gt;1&lt;/C&gt;&lt;D xsi:type="xsd:double"&gt;1323&lt;/D&gt;&lt;/FQL&gt;&lt;FQL&gt;&lt;Q&gt;INTU-US^FE_ESTIMATE(SALES,MEAN,QTR_ROLL,2027/4F,NOW,,,'')&lt;/Q&gt;&lt;R&gt;1&lt;/R&gt;&lt;C&gt;1&lt;/C&gt;&lt;D xsi:type="xsd:double"&gt;4839.0522&lt;/D&gt;&lt;/FQL&gt;&lt;FQL&gt;&lt;Q&gt;INTU-US^FE_ESTIMATE(GROSS_INC,MEAN,QTR_ROLL,2024/4F,NOW,,,'')&lt;/Q&gt;&lt;R&gt;1&lt;/R&gt;&lt;C&gt;1&lt;/C&gt;&lt;D xsi:type="xsd:double"&gt;2530.182&lt;/D&gt;&lt;/FQL&gt;&lt;FQL&gt;&lt;Q&gt;INTU-US^FE_ESTIMATE(EPS_GAAP,MEAN,QTR_ROLL,2021/3F,NOW,,,'')&lt;/Q&gt;&lt;R&gt;1&lt;/R&gt;&lt;C&gt;1&lt;/C&gt;&lt;D xsi:type="xsd:double"&gt;5.3&lt;/D&gt;&lt;/FQL&gt;&lt;FQL&gt;&lt;Q&gt;INTU-US^FE_ESTIMATE(EBIT,MEAN,QTR_ROLL,2027/4F,NOW,,,'')&lt;/Q&gt;&lt;R&gt;1&lt;/R&gt;&lt;C&gt;1&lt;/C&gt;&lt;D xsi:type="xsd:double"&gt;1395.2076&lt;/D&gt;&lt;/FQL&gt;&lt;FQL&gt;&lt;Q&gt;INTU-US^FE_ESTIMATE(GROSS_INC,MEAN,QTR_ROLL,2019/4F,NOW,,,'')&lt;/Q&gt;&lt;R&gt;1&lt;/R&gt;&lt;C&gt;1&lt;/C&gt;&lt;D xsi:type="xsd:double"&gt;732&lt;/D&gt;&lt;/FQL&gt;&lt;FQL&gt;&lt;Q&gt;INTU-US^FE_ESTIMATE(EPS_GAAP,MEAN,QTR_ROLL,2027/2F,NOW,,,'')&lt;/Q&gt;&lt;R&gt;1&lt;/R&gt;&lt;C&gt;1&lt;/C&gt;&lt;D xsi:type="xsd:double"&gt;2.331294&lt;/D&gt;&lt;/FQL&gt;&lt;FQL&gt;&lt;Q&gt;INTU-US^FE_ESTIMATE(EPS,MEAN,QTR_ROLL,2026/4F,NOW,,,'')&lt;/Q&gt;&lt;R&gt;1&lt;/R&gt;&lt;C&gt;1&lt;/C&gt;&lt;D xsi:type="xsd:double"&gt;3.1517859&lt;/D&gt;&lt;/FQL&gt;&lt;FQL&gt;&lt;Q&gt;INTU-US^FE_ESTIMATE(GROSS_INC,MEAN,QTR_ROLL,2028/4F,NOW,,,'')&lt;/Q&gt;&lt;R&gt;1&lt;/R&gt;&lt;C&gt;1&lt;/C&gt;&lt;D xsi:type="xsd:double"&gt;4196.5&lt;/D&gt;&lt;/FQL&gt;&lt;FQL&gt;&lt;Q&gt;INTU-US^FE_ESTIMATE(SALES,MEAN,QTR_ROLL,2023/4F,NOW,,,'')&lt;/Q&gt;&lt;R&gt;1&lt;/R&gt;&lt;C&gt;1&lt;/C&gt;&lt;D xsi:type="xsd:double"&gt;2712&lt;/D&gt;&lt;/FQL&gt;&lt;FQL&gt;&lt;Q&gt;INTU-US^FE_ESTIMATE(EPS,MEAN,QTR_ROLL,2022/1F,NOW,,,'')&lt;/Q&gt;&lt;R&gt;1&lt;/R&gt;&lt;C&gt;1&lt;/C&gt;&lt;D xsi:type="xsd:double"&gt;1.53&lt;/D&gt;&lt;/FQL&gt;&lt;FQL&gt;&lt;Q&gt;INTU-US^FE_ESTIMATE(GROSS_INC,MEAN,QTR_ROLL,2024/1F,NOW,,,'')&lt;/Q&gt;&lt;R&gt;1&lt;/R&gt;&lt;C&gt;1&lt;/C&gt;&lt;D xsi:type="xsd:double"&gt;2322.7144&lt;/D&gt;&lt;/FQL&gt;&lt;FQL&gt;&lt;Q&gt;INTU-US^FE_ESTIMATE(EPS_GAAP,MEAN,QTR_ROLL,2021/1F,NOW,,,'')&lt;/Q&gt;&lt;R&gt;1&lt;/R&gt;&lt;C&gt;1&lt;/C&gt;&lt;D xsi:type="xsd:double"&gt;0.75&lt;/D&gt;&lt;/FQL&gt;&lt;FQL&gt;&lt;Q&gt;INTU-US^FE_ESTIMATE(EPS,MEAN,QTR_ROLL,2019/1F,NOW,,,'')&lt;/Q&gt;&lt;R&gt;1&lt;/R&gt;&lt;C&gt;1&lt;/C&gt;&lt;D xsi:type="xsd:double"&gt;0.29&lt;/D&gt;&lt;/FQL&gt;&lt;FQL&gt;&lt;Q&gt;INTU-US^FE_ESTIMATE(GROSS_INC,MEAN,QTR_ROLL,2019/3F,NOW,,,'')&lt;/Q&gt;&lt;R&gt;1&lt;/R&gt;&lt;C&gt;1&lt;/C&gt;&lt;D xsi:type="xsd:double"&gt;2935.1428&lt;/D&gt;&lt;/FQL&gt;&lt;FQL&gt;&lt;Q&gt;INTU-US^FE_ESTIMATE(EPS,MEAN,QTR_ROLL,2021/4F,NOW,,,'')&lt;/Q&gt;&lt;R&gt;1&lt;/R&gt;&lt;C&gt;1&lt;/C&gt;&lt;D xsi:type="xsd:double"&gt;1.97&lt;/D&gt;&lt;/FQL&gt;&lt;FQL&gt;&lt;Q&gt;INTU-US^FE_ESTIMATE(GROSS_INC,MEAN,QTR_ROLL,2026/4F,NOW,,,'')&lt;/Q&gt;&lt;R&gt;1&lt;/R&gt;&lt;C&gt;1&lt;/C&gt;&lt;D xsi:type="xsd:double"&gt;3378.1917&lt;/D&gt;&lt;/FQL&gt;&lt;FQL&gt;&lt;Q&gt;INTU-US^FE_ESTIMATE(SALES,MEAN,QTR_ROLL,2025/3F,NOW,,,'')&lt;/Q&gt;&lt;R&gt;1&lt;/R&gt;&lt;C&gt;1&lt;/C&gt;&lt;D xsi:type="xsd:double"&gt;7754&lt;/D&gt;&lt;/FQL&gt;&lt;FQL&gt;&lt;Q&gt;INTU-US^FE_ESTIMATE(EPS_GAAP,MEAN,QTR_ROLL,2020/4F,NOW,,,'')&lt;/Q&gt;&lt;R&gt;1&lt;/R&gt;&lt;C&gt;1&lt;/C&gt;&lt;D xsi:type="xsd:double"&gt;1.68&lt;/D&gt;&lt;/FQL&gt;&lt;FQL&gt;&lt;Q&gt;INTU-US^FE_ESTIMATE(EBIT,MEAN,QTR_ROLL,2027/2F,NOW,,,'')&lt;/Q&gt;&lt;R&gt;1&lt;/R&gt;&lt;C&gt;1&lt;/C&gt;&lt;D xsi:type="xsd:double"&gt;1635.8652&lt;/D&gt;&lt;/FQL&gt;&lt;FQL&gt;&lt;Q&gt;INTU-US^FE_ESTIMATE(EBIT,MEAN,QTR_ROLL,2027/1F,NOW,,,'')&lt;/Q&gt;&lt;R&gt;1&lt;/R&gt;&lt;C&gt;1&lt;/C&gt;&lt;D xsi:type="xsd:double"&gt;1471.0707&lt;/D&gt;&lt;/FQL&gt;&lt;FQL&gt;&lt;Q&gt;INTU-US^FE_ESTIMATE(EPS_GAAP,MEAN,QTR_ROLL,2025/1F,NOW,,,'')&lt;/Q&gt;&lt;R&gt;1&lt;/R&gt;&lt;C&gt;1&lt;/C&gt;&lt;D xsi:type="xsd:double"&gt;0.7&lt;/D&gt;&lt;/FQL&gt;&lt;FQL&gt;&lt;Q&gt;INTU-US^FE_ESTIMATE(EPS,MEAN,QTR_ROLL,2024/1F,NOW,,,'')&lt;/Q&gt;&lt;R&gt;1&lt;/R&gt;&lt;C&gt;1&lt;/C&gt;&lt;D xsi:type="xsd:double"&gt;2.47&lt;/D&gt;&lt;/FQL&gt;&lt;FQL&gt;&lt;Q&gt;INTU-US^FE_ESTIMATE(GROSS_INC,MEAN,QTR_ROLL,2028/1F,NOW,,,'')&lt;/Q&gt;&lt;R&gt;1&lt;/R&gt;&lt;C&gt;1&lt;/C&gt;&lt;D xsi:type="xsd:double"&gt;4023.1333&lt;/D&gt;&lt;/FQL&gt;&lt;FQL&gt;&lt;Q&gt;INTU-US^FE_ESTIMATE(EPS,MEAN,QTR_ROLL,2022/4F,NOW,,,'')&lt;/Q&gt;&lt;R&gt;1&lt;/R&gt;&lt;C&gt;1&lt;/C&gt;&lt;D xsi:type="xsd:double"&gt;1.1&lt;/D&gt;&lt;/FQL&gt;&lt;FQL&gt;&lt;Q&gt;INTU-US^FE_ESTIMATE(EPS,MEAN,QTR_ROLL,2022/3F,NOW,,,'')&lt;/Q&gt;&lt;R&gt;1&lt;/R&gt;&lt;C&gt;1&lt;/C&gt;&lt;D xsi:type="xsd:double"&gt;7.65&lt;/D&gt;&lt;/FQL&gt;&lt;FQL&gt;&lt;Q&gt;INTU-US^FE_ESTIMATE(GROSS_INC,MEAN,QTR_ROLL,2022/3F,NOW,,,'')&lt;/Q&gt;&lt;R&gt;1&lt;/R&gt;&lt;C&gt;1&lt;/C&gt;&lt;D xsi:type="xsd:double"&gt;4867.636&lt;/D&gt;&lt;/FQL&gt;&lt;FQL&gt;&lt;Q&gt;INTU-US^FE_ESTIMATE(EPS_GAAP,MEAN,QTR_ROLL,2019/3F,NOW,,,'')&lt;/Q&gt;&lt;R&gt;1&lt;/R&gt;&lt;C&gt;1&lt;/C&gt;&lt;D xsi:type="xsd:double"&gt;5.22&lt;/D&gt;&lt;/FQL&gt;&lt;FQL&gt;&lt;Q&gt;INTU-US^FE_ESTIMATE(EBIT,MEAN,QTR_ROLL,2024/3F,NOW,,,'')&lt;/Q&gt;&lt;R&gt;1&lt;/R&gt;&lt;C&gt;1&lt;/C&gt;&lt;D xsi:type="xsd:double"&gt;3712&lt;/D&gt;&lt;/FQL&gt;&lt;FQL&gt;&lt;Q&gt;INTU-US^FE_ESTIMATE(GROSS_INC,MEAN,QTR_ROLL,2026/1F,NOW,,,'')&lt;/Q&gt;&lt;R&gt;1&lt;/R&gt;&lt;C&gt;1&lt;/C&gt;&lt;D xsi:type="xsd:double"&gt;3120.8333&lt;/D&gt;&lt;/FQL&gt;&lt;FQL&gt;&lt;Q&gt;INTU-US^FE_ESTIMATE(SALES,MEAN,QTR_ROLL,2021/2F,NOW,,,'')&lt;/Q&gt;&lt;R&gt;1&lt;/R&gt;&lt;C&gt;1&lt;/C&gt;&lt;D xsi:type="xsd:double"&gt;1576&lt;/D&gt;&lt;/FQL&gt;&lt;FQL&gt;&lt;Q&gt;INTU-US^FE_ESTIMATE(EBIT,MEAN,QTR_ROLL,2028/4F,NOW,,,'')&lt;/Q&gt;&lt;R&gt;1&lt;/R&gt;&lt;C&gt;1&lt;/C&gt;&lt;D xsi:type="xsd:double"&gt;1589.6897&lt;/D&gt;&lt;/FQL&gt;&lt;FQL&gt;&lt;Q&gt;INTU-US^FE_ESTIMATE(EPS,MEAN,QTR_ROLL,2027/4F,NOW,,,'')&lt;/Q&gt;&lt;R&gt;1&lt;/R&gt;&lt;C&gt;1&lt;/C&gt;&lt;D xsi:type="xsd:double"&gt;3.6620398&lt;/D&gt;&lt;/FQL&gt;&lt;FQL&gt;&lt;Q&gt;INTU-US^FE_ESTIMATE(SALES,MEAN,QTR_ROLL,2028/4F,NOW,,,'')&lt;/Q&gt;&lt;R&gt;1&lt;/R&gt;&lt;C&gt;1&lt;/C&gt;&lt;D xsi:type="xsd:double"&gt;5422.1494&lt;/D&gt;&lt;/FQL&gt;&lt;FQL&gt;&lt;Q&gt;INTU-US^FE_ESTIMATE(EPS_GAAP,MEAN,QTR_ROLL,2023/3F,NOW,,,'')&lt;/Q&gt;&lt;R&gt;1&lt;/R&gt;&lt;C&gt;1&lt;/C&gt;&lt;D xsi:type="xsd:double"&gt;7.38&lt;/D&gt;&lt;/FQL&gt;&lt;FQL&gt;&lt;Q&gt;INTU-US^FE_ESTIMATE(SALES,MEAN,QTR_ROLL,2023/1F,NOW,,,'')&lt;/Q&gt;&lt;R&gt;1&lt;/R&gt;&lt;C&gt;1&lt;/C&gt;&lt;D xsi:type="xsd:double"&gt;2597&lt;/D&gt;&lt;/FQL&gt;&lt;FQL&gt;&lt;Q&gt;INTU-US^FE_ESTIMATE(EPS,MEAN,QTR_ROLL,2028/4F,NOW,,,'')&lt;/Q&gt;&lt;R&gt;1&lt;/R&gt;&lt;C&gt;1&lt;/C&gt;&lt;D xsi:type="xsd:double"&gt;4.3006334&lt;/D&gt;&lt;/FQL&gt;&lt;FQL&gt;&lt;Q&gt;INTU-US^FE_ESTIMATE(GROSS_INC,MEAN,QTR_ROLL,2021/4F,NOW,,,'')&lt;/Q&gt;&lt;R&gt;1&lt;/R&gt;&lt;C&gt;1&lt;/C&gt;&lt;D xsi:type="xsd:double"&gt;2124.7778&lt;/D&gt;&lt;/FQL&gt;&lt;FQL&gt;&lt;Q&gt;INTU-US^FE_ESTIMATE(EPS_GAAP,MEAN,QTR_ROLL,2023/2F,NOW,,,'')&lt;/Q&gt;&lt;R&gt;1&lt;/R&gt;&lt;C&gt;1&lt;/C&gt;&lt;D xsi:type="xsd:double"&gt;0.6&lt;/D&gt;&lt;/FQL&gt;&lt;FQL&gt;&lt;Q&gt;INTU-US^FE_ESTIMATE(EPS,MEAN,QTR_ROLL,2025/3F,NOW,,,'')&lt;/Q&gt;&lt;R&gt;1&lt;/R&gt;&lt;C&gt;1&lt;/C&gt;&lt;D xsi:type="xsd:double"&gt;11.65&lt;/D&gt;&lt;/FQL&gt;&lt;FQL&gt;&lt;Q&gt;INTU-US^FE_ESTIMATE(EPS_GAAP,MEAN,QTR_ROLL,2025/2F,NOW,,,'')&lt;/Q&gt;&lt;R&gt;1&lt;/R&gt;&lt;C&gt;1&lt;/C&gt;&lt;D xsi:type="xsd:double"&gt;1.67&lt;/D&gt;&lt;/FQL&gt;&lt;FQL&gt;&lt;Q&gt;INTU-US^FE_ESTIMATE(GROSS_INC,MEAN,QTR_ROLL,2020/3F,NOW,,,'')&lt;/Q&gt;&lt;R&gt;1&lt;/R&gt;&lt;C&gt;1&lt;/C&gt;&lt;D xsi:type="xsd:double"&gt;2590.2856&lt;/D&gt;&lt;/FQL&gt;&lt;FQL&gt;&lt;Q&gt;INTU-US^FE_ESTIMATE(GROSS_INC,MEAN,QTR_ROLL,2027/3F,NOW,,,'')&lt;/Q&gt;&lt;R&gt;1&lt;/R&gt;&lt;C&gt;1&lt;/C&gt;&lt;D xsi:type="xsd:double"&gt;8069.35&lt;/D&gt;&lt;/FQL&gt;&lt;FQL&gt;&lt;Q&gt;INTU-US^FE_ESTIMATE(EBIT,MEAN,QTR_ROLL,2024/4F,NOW,,,'')&lt;/Q&gt;&lt;R&gt;1&lt;/R&gt;&lt;C&gt;1&lt;/C&gt;&lt;D xsi:type="xsd:double"&gt;730&lt;/D&gt;&lt;/FQL&gt;&lt;FQL&gt;&lt;Q&gt;INTU-US^FE_ESTIMATE(SALES,MEAN,QTR_ROLL,2025/2F,NOW,,,'')&lt;/Q&gt;&lt;R&gt;1&lt;/R&gt;&lt;C&gt;1&lt;/C&gt;&lt;D xsi:type="xsd:double"&gt;3963&lt;/D&gt;&lt;/FQL&gt;&lt;FQL&gt;&lt;Q&gt;INTU-US^FE_ESTIMATE(EPS_GAAP,MEAN,QTR_ROLL,2025/4F,NOW,,,'')&lt;/Q&gt;&lt;R&gt;1&lt;/R&gt;&lt;C&gt;1&lt;/C&gt;&lt;D xsi:type="xsd:double"&gt;1.35&lt;/D&gt;&lt;/FQL&gt;&lt;FQL&gt;&lt;Q&gt;INTU-US^FE_ESTIMATE(EPS,MEAN,QTR_ROLL,2025/2F,NOW,,,'')&lt;/Q&gt;&lt;R&gt;1&lt;/R&gt;&lt;C&gt;1&lt;/C&gt;&lt;D xsi:type="xsd:double"&gt;3.32&lt;/D&gt;&lt;/FQL&gt;&lt;FQL&gt;&lt;Q&gt;INTU-US^FE_ESTIMATE(GROSS_INC,MEAN,QTR_ROLL,2024/2F,NOW,,,'')&lt;/Q&gt;&lt;R&gt;1&lt;/R&gt;&lt;C&gt;1&lt;/C&gt;&lt;D xsi:type="xsd:double"&gt;2632.0715&lt;/D&gt;&lt;/FQL&gt;&lt;FQL&gt;&lt;Q&gt;INTU-US^FE_ESTIMATE(SALES,MEAN,QTR_ROLL,2022/2F,NOW,,,'')&lt;/Q&gt;&lt;R&gt;1&lt;/R&gt;&lt;C&gt;1&lt;/C&gt;&lt;D xsi:type="xsd:double"&gt;2673&lt;/D&gt;&lt;/FQL&gt;&lt;FQL&gt;&lt;Q&gt;INTU-US^FE_ESTIMATE(EBIT,MEAN,QTR_ROLL,2027/3F,NOW,,,'')&lt;/Q&gt;&lt;R&gt;1&lt;/R&gt;&lt;C&gt;1&lt;/C&gt;&lt;D xsi:type="xsd:double"&gt;5352.8086&lt;/D&gt;&lt;/FQL&gt;&lt;FQL&gt;&lt;Q&gt;INTU-US^FE_ESTIMATE(EBIT,MEAN,QTR_ROLL,2019/2F,NOW,,,'')&lt;/Q&gt;&lt;R&gt;1&lt;/R&gt;&lt;C&gt;1&lt;/C&gt;&lt;D xsi:type="xsd:double"&gt;339&lt;/D&gt;&lt;/FQL&gt;&lt;FQL&gt;&lt;Q&gt;INTU-US^FE_ESTIMATE(EPS_GAAP,MEAN,QTR_ROLL,2028/3F,NOW,,,'')&lt;/Q&gt;&lt;R&gt;1&lt;/R&gt;&lt;C&gt;1&lt;/C&gt;&lt;D xsi:type="xsd:double"&gt;13.982054&lt;/D&gt;&lt;/FQL&gt;&lt;FQL&gt;&lt;Q&gt;INTU-US^FE_ESTIMATE(SALES,MEAN,QTR_ROLL,2026/3F,NOW,,,'')&lt;/Q&gt;&lt;R&gt;1&lt;/R&gt;&lt;C&gt;1&lt;/C&gt;&lt;D xsi:type="xsd:double"&gt;8517.934&lt;/D&gt;&lt;/FQL&gt;&lt;FQL&gt;&lt;Q&gt;INTU-US^FE</t>
        </r>
      </text>
    </comment>
    <comment ref="A2" authorId="0" shapeId="0" xr:uid="{3A27304C-C2C1-4B13-9BF2-DA95EDAAA5BC}">
      <text>
        <r>
          <rPr>
            <b/>
            <sz val="9"/>
            <color indexed="81"/>
            <rFont val="Tahoma"/>
            <family val="2"/>
          </rPr>
          <t>_ESTIMATE(GROSS_INC,MEAN,QTR_ROLL,2023/4F,NOW,,,'')&lt;/Q&gt;&lt;R&gt;1&lt;/R&gt;&lt;C&gt;1&lt;/C&gt;&lt;D xsi:type="xsd:double"&gt;2085.0833&lt;/D&gt;&lt;/FQL&gt;&lt;FQL&gt;&lt;Q&gt;INTU-US^FE_ESTIMATE(EPS_GAAP,MEAN,QTR_ROLL,2028/2F,NOW,,,'')&lt;/Q&gt;&lt;R&gt;1&lt;/R&gt;&lt;C&gt;1&lt;/C&gt;&lt;D xsi:type="xsd:double"&gt;2.8145194&lt;/D&gt;&lt;/FQL&gt;&lt;FQL&gt;&lt;Q&gt;INTU-US^FE_ESTIMATE(EBIT,MEAN,QTR_ROLL,2022/4F,NOW,,,'')&lt;/Q&gt;&lt;R&gt;1&lt;/R&gt;&lt;C&gt;1&lt;/C&gt;&lt;D xsi:type="xsd:double"&gt;433&lt;/D&gt;&lt;/FQL&gt;&lt;FQL&gt;&lt;Q&gt;INTU-US^FE_ESTIMATE(SALES,MEAN,QTR_ROLL,2023/2F,NOW,,,'')&lt;/Q&gt;&lt;R&gt;1&lt;/R&gt;&lt;C&gt;1&lt;/C&gt;&lt;D xsi:type="xsd:double"&gt;3041&lt;/D&gt;&lt;/FQL&gt;&lt;FQL&gt;&lt;Q&gt;INTU-US^FE_ESTIMATE(EBIT,MEAN,QTR_ROLL,2022/3F,NOW,,,'')&lt;/Q&gt;&lt;R&gt;1&lt;/R&gt;&lt;C&gt;1&lt;/C&gt;&lt;D xsi:type="xsd:double"&gt;2904&lt;/D&gt;&lt;/FQL&gt;&lt;FQL&gt;&lt;Q&gt;INTU-US^FE_ESTIMATE(GROSS_INC,MEAN,QTR_ROLL,2022/1F,NOW,,,'')&lt;/Q&gt;&lt;R&gt;1&lt;/R&gt;&lt;C&gt;1&lt;/C&gt;&lt;D xsi:type="xsd:double"&gt;1621.5&lt;/D&gt;&lt;/FQL&gt;&lt;FQL&gt;&lt;Q&gt;INTU-US^FE_ESTIMATE(EPS,MEAN,QTR_ROLL,2021/3F,NOW,,,'')&lt;/Q&gt;&lt;R&gt;1&lt;/R&gt;&lt;C&gt;1&lt;/C&gt;&lt;D xsi:type="xsd:double"&gt;6.07&lt;/D&gt;&lt;/FQL&gt;&lt;FQL&gt;&lt;Q&gt;INTU-US^FE_ESTIMATE(EBIT,MEAN,QTR_ROLL,2026/4F,NOW,,,'')&lt;/Q&gt;&lt;R&gt;1&lt;/R&gt;&lt;C&gt;1&lt;/C&gt;&lt;D xsi:type="xsd:double"&gt;1203.1533&lt;/D&gt;&lt;/FQL&gt;&lt;FQL&gt;&lt;Q&gt;INTU-US^FE_ESTIMATE(EPS_GAAP,MEAN,QTR_ROLL,2024/3F,NOW,,,'')&lt;/Q&gt;&lt;R&gt;1&lt;/R&gt;&lt;C&gt;1&lt;/C&gt;&lt;D xsi:type="xsd:double"&gt;8.42&lt;/D&gt;&lt;/FQL&gt;&lt;FQL&gt;&lt;Q&gt;INTU-US^FE_ESTIMATE(EBIT,MEAN,QTR_ROLL,2026/3F,NOW,,,'')&lt;/Q&gt;&lt;R&gt;1&lt;/R&gt;&lt;C&gt;1&lt;/C&gt;&lt;D xsi:type="xsd:double"&gt;4813.793&lt;/D&gt;&lt;/FQL&gt;&lt;FQL&gt;&lt;Q&gt;INTU-US^FE_ESTIMATE(EPS_GAAP,MEAN,QTR_ROLL,2022/1F,NOW,,,'')&lt;/Q&gt;&lt;R&gt;1&lt;/R&gt;&lt;C&gt;1&lt;/C&gt;&lt;D xsi:type="xsd:double"&gt;0.82&lt;/D&gt;&lt;/FQL&gt;&lt;FQL&gt;&lt;Q&gt;INTU-US^FE_ESTIMATE(EPS_GAAP,MEAN,QTR_ROLL,2021/4F,NOW,,,'')&lt;/Q&gt;&lt;R&gt;1&lt;/R&gt;&lt;C&gt;1&lt;/C&gt;&lt;D xsi:type="xsd:double"&gt;1.37&lt;/D&gt;&lt;/FQL&gt;&lt;FQL&gt;&lt;Q&gt;INTU-US^FE_ESTIMATE(EBIT,MEAN,QTR_ROLL,2024/2F,NOW,,,'')&lt;/Q&gt;&lt;R&gt;1&lt;/R&gt;&lt;C&gt;1&lt;/C&gt;&lt;D xsi:type="xsd:double"&gt;1000&lt;/D&gt;&lt;/FQL&gt;&lt;FQL&gt;&lt;Q&gt;INTU-US^FE_ESTIMATE(SALES,MEAN,QTR_ROLL,2022/3F,NOW,,,'')&lt;/Q&gt;&lt;R&gt;1&lt;/R&gt;&lt;C&gt;1&lt;/C&gt;&lt;D xsi:type="xsd:double"&gt;5632&lt;/D&gt;&lt;/FQL&gt;&lt;FQL&gt;&lt;Q&gt;INTU-US^FE_ESTIMATE(EPS,MEAN,QTR_ROLL,2026/3F,NOW,,,'')&lt;/Q&gt;&lt;R&gt;1&lt;/R&gt;&lt;C&gt;1&lt;/C&gt;&lt;D xsi:type="xsd:double"&gt;12.966936&lt;/D&gt;&lt;/FQL&gt;&lt;FQL&gt;&lt;Q&gt;INTU-US^FE_ESTIMATE(GROSS_INC,MEAN,QTR_ROLL,2019/2F,NOW,,,'')&lt;/Q&gt;&lt;R&gt;1&lt;/R&gt;&lt;C&gt;1&lt;/C&gt;&lt;D xsi:type="xsd:double"&gt;1232&lt;/D&gt;&lt;/FQL&gt;&lt;FQL&gt;&lt;Q&gt;INTU-US^FE_ESTIMATE(SALES,MEAN,QTR_ROLL,2026/1F,NOW,,,'')&lt;/Q&gt;&lt;R&gt;1&lt;/R&gt;&lt;C&gt;1&lt;/C&gt;&lt;D xsi:type="xsd:double"&gt;3885&lt;/D&gt;&lt;/FQL&gt;&lt;FQL&gt;&lt;Q&gt;INTU-US^FE_ESTIMATE(GROSS_INC,MEAN,QTR_ROLL,2026/2F,NOW,,,'')&lt;/Q&gt;&lt;R&gt;1&lt;/R&gt;&lt;C&gt;1&lt;/C&gt;&lt;D xsi:type="xsd:double"&gt;3600.177&lt;/D&gt;&lt;/FQL&gt;&lt;FQL&gt;&lt;Q&gt;INTU-US^FE_ESTIMATE(GROSS_INC,MEAN,QTR_ROLL,2028/2F,NOW,,,'')&lt;/Q&gt;&lt;R&gt;1&lt;/R&gt;&lt;C&gt;1&lt;/C&gt;&lt;D xsi:type="xsd:double"&gt;4586.2&lt;/D&gt;&lt;/FQL&gt;&lt;FQL&gt;&lt;Q&gt;INTU-US^FE_ESTIMATE(EBIT,MEAN,QTR_ROLL,2021/1F,NOW,,,'')&lt;/Q&gt;&lt;R&gt;1&lt;/R&gt;&lt;C&gt;1&lt;/C&gt;&lt;D xsi:type="xsd:double"&gt;334&lt;/D&gt;&lt;/FQL&gt;&lt;FQL&gt;&lt;Q&gt;INTU-US^FE_ESTIMATE(GROSS_INC,MEAN,QTR_ROLL,2024/3F,NOW,,,'')&lt;/Q&gt;&lt;R&gt;1&lt;/R&gt;&lt;C&gt;1&lt;/C&gt;&lt;D xsi:type="xsd:double"&gt;5780.4287&lt;/D&gt;&lt;/FQL&gt;&lt;FQL&gt;&lt;Q&gt;INTU-US^FE_ESTIMATE(EBIT,MEAN,QTR_ROLL,2025/2F,NOW,,,'')&lt;/Q&gt;&lt;R&gt;1&lt;/R&gt;&lt;C&gt;1&lt;/C&gt;&lt;D xsi:type="xsd:double"&gt;1260&lt;/D&gt;&lt;/FQL&gt;&lt;FQL&gt;&lt;Q&gt;INTU-US^FE_ESTIMATE(EPS_GAAP,MEAN,QTR_ROLL,2023/1F,NOW,,,'')&lt;/Q&gt;&lt;R&gt;1&lt;/R&gt;&lt;C&gt;1&lt;/C&gt;&lt;D xsi:type="xsd:double"&gt;0.14&lt;/D&gt;&lt;/FQL&gt;&lt;FQL&gt;&lt;Q&gt;INTU-US^FE_ESTIMATE(SALES,MEAN,QTR_ROLL,2026/2F,NOW,,,'')&lt;/Q&gt;&lt;R&gt;1&lt;/R&gt;&lt;C&gt;1&lt;/C&gt;&lt;D xsi:type="xsd:double"&gt;4533.6143&lt;/D&gt;&lt;/FQL&gt;&lt;FQL&gt;&lt;Q&gt;INTU-US^FE_ESTIMATE(EBIT,MEAN,QTR_ROLL,2023/2F,NOW,,,'')&lt;/Q&gt;&lt;R&gt;1&lt;/R&gt;&lt;C&gt;1&lt;/C&gt;&lt;D xsi:type="xsd:double"&gt;856&lt;/D&gt;&lt;/FQL&gt;&lt;FQL&gt;&lt;Q&gt;INTU-US^FE_ESTIMATE(EPS_GAAP,MEAN,QTR_ROLL,2024/2F,NOW,,,'')&lt;/Q&gt;&lt;R&gt;1&lt;/R&gt;&lt;C&gt;1&lt;/C&gt;&lt;D xsi:type="xsd:double"&gt;1.25&lt;/D&gt;&lt;/FQL&gt;&lt;FQL&gt;&lt;Q&gt;INTU-US^FE_ESTIMATE(EPS,MEAN,QTR_ROLL,2023/4F,NOW,,,'')&lt;/Q&gt;&lt;R&gt;1&lt;/R&gt;&lt;C&gt;1&lt;/C&gt;&lt;D xsi:type="xsd:double"&gt;1.65&lt;/D&gt;&lt;/FQL&gt;&lt;FQL&gt;&lt;Q&gt;INTU-US^FE_ESTIMATE(GROSS_INC,MEAN,QTR_ROLL,2022/4F,NOW,,,'')&lt;/Q&gt;&lt;R&gt;1&lt;/R&gt;&lt;C&gt;1&lt;/C&gt;&lt;D xsi:type="xsd:double"&gt;1877.7778&lt;/D&gt;&lt;/FQL&gt;&lt;FQL&gt;&lt;Q&gt;INTU-US^FE_ESTIMATE(SALES,MEAN,QTR_ROLL,2020/4F,NOW,,,'')&lt;/Q&gt;&lt;R&gt;1&lt;/R&gt;&lt;C&gt;1&lt;/C&gt;&lt;D xsi:type="xsd:double"&gt;1816&lt;/D&gt;&lt;/FQL&gt;&lt;FQL&gt;&lt;Q&gt;INTU-US^FE_ESTIMATE(EBIT,MEAN,QTR_ROLL,2025/1F,NOW,,,'')&lt;/Q&gt;&lt;R&gt;1&lt;/R&gt;&lt;C&gt;1&lt;/C&gt;&lt;D xsi:type="xsd:double"&gt;953&lt;/D&gt;&lt;/FQL&gt;&lt;FQL&gt;&lt;Q&gt;INTU-US^FE_ESTIMATE(SALES,MEAN,QTR_ROLL,2028/1F,NOW,,,'')&lt;/Q&gt;&lt;R&gt;1&lt;/R&gt;&lt;C&gt;1&lt;/C&gt;&lt;D xsi:type="xsd:double"&gt;5020.731&lt;/D&gt;&lt;/FQL&gt;&lt;FQL&gt;&lt;Q&gt;INTU-US^FE_ESTIMATE(GROSS_INC,MEAN,QTR_ROLL,2023/2F,NOW,,,'')&lt;/Q&gt;&lt;R&gt;1&lt;/R&gt;&lt;C&gt;1&lt;/C&gt;&lt;D xsi:type="xsd:double"&gt;2356&lt;/D&gt;&lt;/FQL&gt;&lt;FQL&gt;&lt;Q&gt;INTU-US^FE_ESTIMATE(EPS_GAAP,MEAN,QTR_ROLL,2027/1F,NOW,,,'')&lt;/Q&gt;&lt;R&gt;1&lt;/R&gt;&lt;C&gt;1&lt;/C&gt;&lt;D xsi:type="xsd:double"&gt;1.9723023&lt;/D&gt;&lt;/FQL&gt;&lt;FQL&gt;&lt;Q&gt;INTU-US^FE_ESTIMATE(EBIT,MEAN,QTR_ROLL,2021/3F,NOW,,,'')&lt;/Q&gt;&lt;R&gt;1&lt;/R&gt;&lt;C&gt;1&lt;/C&gt;&lt;D xsi:type="xsd:double"&gt;2201&lt;/D&gt;&lt;/FQL&gt;&lt;FQL&gt;&lt;Q&gt;INTU-US^FE_ESTIMATE(SALES,MEAN,QTR_ROLL,2023/3F,NOW,,,'')&lt;/Q&gt;&lt;R&gt;1&lt;/R&gt;&lt;C&gt;1&lt;/C&gt;&lt;D xsi:type="xsd:double"&gt;6018&lt;/D&gt;&lt;/FQL&gt;&lt;FQL&gt;&lt;Q&gt;INTU-US^FE_ESTIMATE(EBIT,MEAN,QTR_ROLL,2025/4F,NOW,,,'')&lt;/Q&gt;&lt;R&gt;1&lt;/R&gt;&lt;C&gt;1&lt;/C&gt;&lt;D xsi:type="xsd:double"&gt;1016&lt;/D&gt;&lt;/FQL&gt;&lt;FQL&gt;&lt;Q&gt;INTU-US^FE_ESTIMATE(EPS,MEAN,QTR_ROLL,2026/2F,NOW,,,'')&lt;/Q&gt;&lt;R&gt;1&lt;/R&gt;&lt;C&gt;1&lt;/C&gt;&lt;D xsi:type="xsd:double"&gt;3.6841588&lt;/D&gt;&lt;/FQL&gt;&lt;FQL&gt;&lt;Q&gt;INTU-US^FE_ESTIMATE(SALES,MEAN,QTR_ROLL,2021/4F,NOW,,,'')&lt;/Q&gt;&lt;R&gt;1&lt;/R&gt;&lt;C&gt;1&lt;/C&gt;&lt;D xsi:type="xsd:double"&gt;2561&lt;/D&gt;&lt;/FQL&gt;&lt;FQL&gt;&lt;Q&gt;INTU-US^FE_ESTIMATE(SALES,MEAN,QTR_ROLL,2019/4F,NOW,,,'')&lt;/Q&gt;&lt;R&gt;1&lt;/R&gt;&lt;C&gt;1&lt;/C&gt;&lt;D xsi:type="xsd:double"&gt;994&lt;/D&gt;&lt;/FQL&gt;&lt;FQL&gt;&lt;Q&gt;INTU-US^FE_ESTIMATE(EPS,MEAN,QTR_ROLL,2020/1F,NOW,,,'')&lt;/Q&gt;&lt;R&gt;1&lt;/R&gt;&lt;C&gt;1&lt;/C&gt;&lt;D xsi:type="xsd:double"&gt;0.41&lt;/D&gt;&lt;/FQL&gt;&lt;FQL&gt;&lt;Q&gt;INTU-US^FE_ESTIMATE(EPS,MEAN,QTR_ROLL,2024/2F,NOW,,,'')&lt;/Q&gt;&lt;R&gt;1&lt;/R&gt;&lt;C&gt;1&lt;/C&gt;&lt;D xsi:type="xsd:double"&gt;2.63&lt;/D&gt;&lt;/FQL&gt;&lt;FQL&gt;&lt;Q&gt;INTU-US^FE_ESTIMATE(SALES,MEAN,QTR_ROLL,2022/4F,NOW,,,'')&lt;/Q&gt;&lt;R&gt;1&lt;/R&gt;&lt;C&gt;1&lt;/C&gt;&lt;D xsi:type="xsd:double"&gt;2414&lt;/D&gt;&lt;/FQL&gt;&lt;FQL&gt;&lt;Q&gt;INTU-US^FE_ESTIMATE(EBIT,MEAN,QTR_ROLL,2023/3F,NOW,,,'')&lt;/Q&gt;&lt;R&gt;1&lt;/R&gt;&lt;C&gt;1&lt;/C&gt;&lt;D xsi:type="xsd:double"&gt;3358&lt;/D&gt;&lt;/FQL&gt;&lt;FQL&gt;&lt;Q&gt;INTU-US^FE_ESTIMATE(EPS,MEAN,QTR_ROLL,2024/4F,NOW,,,'')&lt;/Q&gt;&lt;R&gt;1&lt;/R&gt;&lt;C&gt;1&lt;/C&gt;&lt;D xsi:type="xsd:double"&gt;1.99&lt;/D&gt;&lt;/FQL&gt;&lt;FQL&gt;&lt;Q&gt;INTU-US^FE_ESTIMATE(EBIT,MEAN,QTR_ROLL,2028/3F,NOW,,,'')&lt;/Q&gt;&lt;R&gt;1&lt;/R&gt;&lt;C&gt;1&lt;/C&gt;&lt;D xsi:type="xsd:double"&gt;5814.1606&lt;/D&gt;&lt;/FQL&gt;&lt;FQL&gt;&lt;Q&gt;INTU-US^CSF_DPS(ANN,0)&lt;/Q&gt;&lt;R&gt;0&lt;/R&gt;&lt;C&gt;0&lt;/C&gt;&lt;/FQL&gt;&lt;FQL&gt;&lt;Q&gt;INTU-US^FE_ESTIMATE(PRODLINE_SALES_16,MEAN,QTR_ROLL,+1,NOW,,,'')&lt;/Q&gt;&lt;R&gt;1&lt;/R&gt;&lt;C&gt;1&lt;/C&gt;&lt;D xsi:type="xsd:double"&gt;576.575&lt;/D&gt;&lt;/FQL&gt;&lt;FQL&gt;&lt;Q&gt;INTU-US^FE_ESTIMATE(PRODLINE_SALES_10,MEAN,QTR_ROLL,+1,NOW,,,'')&lt;/Q&gt;&lt;R&gt;1&lt;/R&gt;&lt;C&gt;1&lt;/C&gt;&lt;D xsi:type="xsd:double"&gt;568.1445&lt;/D&gt;&lt;/FQL&gt;&lt;FQL&gt;&lt;Q&gt;INTU-US^FE_ESTIMATE(PRODLINE_SALES_12,MEAN,QTR_ROLL,+1,NOW,,,'')&lt;/Q&gt;&lt;R&gt;1&lt;/R&gt;&lt;C&gt;1&lt;/C&gt;&lt;D xsi:type="xsd:double"&gt;3113.7&lt;/D&gt;&lt;/FQL&gt;&lt;FQL&gt;&lt;Q&gt;INTU-US^FE_ESTIMATE(EPS,MEAN,QTR_ROLL,+1,NOW,,,'')&lt;/Q&gt;&lt;R&gt;1&lt;/R&gt;&lt;C&gt;1&lt;/C&gt;&lt;D xsi:type="xsd:double"&gt;3.6841588&lt;/D&gt;&lt;/FQL&gt;&lt;FQL&gt;&lt;Q&gt;INTU-US^FE_ESTIMATE(NETPROFIT,MEAN,QTR_ROLL,+1,NOW,,,'')&lt;/Q&gt;&lt;R&gt;1&lt;/R&gt;&lt;C&gt;1&lt;/C&gt;&lt;D xsi:type="xsd:double"&gt;1035.834&lt;/D&gt;&lt;/FQL&gt;&lt;FQL&gt;&lt;Q&gt;INTU-US^FE_ESTIMATE(PTX_INC,MEAN,QTR_ROLL,+1,NOW,,,'')&lt;/Q&gt;&lt;R&gt;1&lt;/R&gt;&lt;C&gt;1&lt;/C&gt;&lt;D xsi:type="xsd:double"&gt;1360.7175&lt;/D&gt;&lt;/FQL&gt;&lt;FQL&gt;&lt;Q&gt;INTU-US^FE_ESTIMATE(EBIT,MEAN,QTR_ROLL,+1,NOW,,,'')&lt;/Q&gt;&lt;R&gt;1&lt;/R&gt;&lt;C&gt;1&lt;/C&gt;&lt;D xsi:type="xsd:double"&gt;1393.71&lt;/D&gt;&lt;/FQL&gt;&lt;FQL&gt;&lt;Q&gt;INTU-US^FE_ESTIMATE(GROSS_INC,MEAN,QTR_ROLL,+1,NOW,,,'')&lt;/Q&gt;&lt;R&gt;1&lt;/R&gt;&lt;C&gt;1&lt;/C&gt;&lt;D xsi:type="xsd:double"&gt;3600.177&lt;/D&gt;&lt;/FQL&gt;&lt;FQL&gt;&lt;Q&gt;INTU-US^FE_ESTIMATE(SALES,MEAN,QTR_ROLL,+1,NOW,,,'')&lt;/Q&gt;&lt;R&gt;1&lt;/R&gt;&lt;C&gt;1&lt;/C&gt;&lt;D xsi:type="xsd:double"&gt;4533.6143&lt;/D&gt;&lt;/FQL&gt;&lt;FQL&gt;&lt;Q&gt;INTU-US^FE_ESTIMATE(FCF,MEAN,QTR_ROLL,+1,NOW,,,'')&lt;/Q&gt;&lt;R&gt;1&lt;/R&gt;&lt;C&gt;1&lt;/C&gt;&lt;D xsi:type="xsd:double"&gt;1085.3115&lt;/D&gt;&lt;/FQL&gt;&lt;/Schema&gt;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Unger, David [WELLS FARGO SEC RES CONS]</author>
    <author>MacMaster, Griffin J.</author>
    <author>tc={07209DA1-25D6-4579-A6AA-DD13931521A2}</author>
    <author>tc={E2584E86-D391-4669-B3E8-5F6F52406581}</author>
    <author>tc={56C3096B-E226-41AA-8030-59BA6823B466}</author>
    <author>tc={B458FDFD-7249-4342-8F2A-93F6ADE263F9}</author>
    <author>tc={07DD2E31-0499-4C58-9B4D-27847538C881}</author>
    <author>tc={349EE313-22B9-47DB-A11A-030381A65F25}</author>
    <author>tc={65F9CD91-2453-49F4-973A-301FA7B6AC52}</author>
    <author>tc={D650E271-A537-4DC3-882C-F1B08AA595BE}</author>
    <author>tc={4D1ABEC0-43B1-4B41-B7EF-0EF75E074FA9}</author>
    <author>tc={3D06C662-1F57-4EC0-A752-489CA782CE34}</author>
    <author>tc={2CA26D0E-6C68-4BA3-9893-55C601338BB0}</author>
    <author>tc={EF5B40AB-2713-4FED-B6CE-AA5099906361}</author>
    <author>tc={3FB1FF88-46FA-40B6-B682-739DD6065C9F}</author>
    <author>tc={7FF49717-5F86-494B-B1DD-D78E5F4EC53D}</author>
    <author>tc={1E1EA1DC-9C97-458F-AAF9-AF827D3201A9}</author>
    <author>tc={F8853269-0DFB-448B-979E-C175C98211F1}</author>
    <author>tc={80D5B7CC-1411-4410-9EA0-86C6D7964D97}</author>
  </authors>
  <commentList>
    <comment ref="AA9" authorId="0" shapeId="0" xr:uid="{00000000-0006-0000-0200-000001000000}">
      <text>
        <r>
          <rPr>
            <b/>
            <sz val="9"/>
            <color indexed="81"/>
            <rFont val="Tahoma"/>
            <family val="2"/>
          </rPr>
          <t>2.66-2.665 2-14-22 pre-announce</t>
        </r>
      </text>
    </comment>
    <comment ref="AH9" authorId="0" shapeId="0" xr:uid="{233CCFA4-C06C-4B1A-90B1-6CCC6CC51720}">
      <text>
        <r>
          <rPr>
            <b/>
            <sz val="9"/>
            <color indexed="81"/>
            <rFont val="Tahoma"/>
            <family val="2"/>
          </rPr>
          <t>$2,860-$2,895</t>
        </r>
        <r>
          <rPr>
            <sz val="9"/>
            <color indexed="81"/>
            <rFont val="Tahoma"/>
            <family val="2"/>
          </rPr>
          <t xml:space="preserve">
</t>
        </r>
      </text>
    </comment>
    <comment ref="BK9" authorId="0" shapeId="0" xr:uid="{00000000-0006-0000-0200-000002000000}">
      <text>
        <r>
          <rPr>
            <b/>
            <sz val="9"/>
            <color indexed="81"/>
            <rFont val="Tahoma"/>
            <family val="2"/>
          </rPr>
          <t>14,035-14,250</t>
        </r>
      </text>
    </comment>
    <comment ref="BN9" authorId="1" shapeId="0" xr:uid="{E9818708-C808-4ACD-A01B-ED6268093772}">
      <text>
        <r>
          <rPr>
            <b/>
            <sz val="9"/>
            <color indexed="81"/>
            <rFont val="Tahoma"/>
            <family val="2"/>
          </rPr>
          <t>MacMaster, Griffin J.:</t>
        </r>
        <r>
          <rPr>
            <sz val="9"/>
            <color indexed="81"/>
            <rFont val="Tahoma"/>
            <family val="2"/>
          </rPr>
          <t xml:space="preserve">
$20.997-$21.186B</t>
        </r>
      </text>
    </comment>
    <comment ref="AB24" authorId="0" shapeId="0" xr:uid="{00000000-0006-0000-0200-000003000000}">
      <text>
        <r>
          <rPr>
            <b/>
            <sz val="9"/>
            <color indexed="81"/>
            <rFont val="Tahoma"/>
            <family val="2"/>
          </rPr>
          <t>$2,865-$2,890</t>
        </r>
      </text>
    </comment>
    <comment ref="AE24" authorId="0" shapeId="0" xr:uid="{00000000-0006-0000-0200-000004000000}">
      <text>
        <r>
          <rPr>
            <b/>
            <sz val="9"/>
            <color indexed="81"/>
            <rFont val="Tahoma"/>
            <family val="2"/>
          </rPr>
          <t>578-593</t>
        </r>
        <r>
          <rPr>
            <sz val="9"/>
            <color indexed="81"/>
            <rFont val="Tahoma"/>
            <family val="2"/>
          </rPr>
          <t xml:space="preserve">
</t>
        </r>
      </text>
    </comment>
    <comment ref="AH24" authorId="0" shapeId="0" xr:uid="{EBF9CD05-29A9-4178-B402-C2B878CF4FC6}">
      <text>
        <r>
          <rPr>
            <b/>
            <sz val="9"/>
            <color indexed="81"/>
            <rFont val="Tahoma"/>
            <family val="2"/>
          </rPr>
          <t>761-781</t>
        </r>
        <r>
          <rPr>
            <sz val="9"/>
            <color indexed="81"/>
            <rFont val="Tahoma"/>
            <family val="2"/>
          </rPr>
          <t xml:space="preserve">
</t>
        </r>
      </text>
    </comment>
    <comment ref="AI24" authorId="0" shapeId="0" xr:uid="{9C664230-04C3-41D9-9FC9-07C2D11AB216}">
      <text>
        <r>
          <rPr>
            <b/>
            <sz val="9"/>
            <color indexed="81"/>
            <rFont val="Tahoma"/>
            <family val="2"/>
          </rPr>
          <t>873-893</t>
        </r>
      </text>
    </comment>
    <comment ref="AL24" authorId="2" shapeId="0" xr:uid="{07209DA1-25D6-4579-A6AA-DD13931521A2}">
      <text>
        <t>[Threaded comment]
Your version of Excel allows you to read this threaded comment; however, any edits to it will get removed if the file is opened in a newer version of Excel. Learn more: https://go.microsoft.com/fwlink/?linkid=870924
Comment:
    884-904</t>
      </text>
    </comment>
    <comment ref="BJ24" authorId="0" shapeId="0" xr:uid="{00000000-0006-0000-0200-000005000000}">
      <text>
        <r>
          <rPr>
            <b/>
            <sz val="9"/>
            <color indexed="81"/>
            <rFont val="Tahoma"/>
            <family val="2"/>
          </rPr>
          <t>$4.37-4.43 11.18.21
$4.37-4.43 2.24.22
$4.451-4.471 5.24.22</t>
        </r>
      </text>
    </comment>
    <comment ref="BK24" authorId="0" shapeId="0" xr:uid="{00000000-0006-0000-0200-000006000000}">
      <text>
        <r>
          <rPr>
            <b/>
            <sz val="9"/>
            <color indexed="81"/>
            <rFont val="Tahoma"/>
            <family val="2"/>
          </rPr>
          <t>$5.258 - $5.363
$5.258 - $5.363 11.29.22
$5.441-$5.461 5.23.23</t>
        </r>
      </text>
    </comment>
    <comment ref="BL24" authorId="0" shapeId="0" xr:uid="{F51524F3-E55D-475A-AEFB-EE2CEF9F88EE}">
      <text>
        <r>
          <rPr>
            <b/>
            <sz val="9"/>
            <color indexed="81"/>
            <rFont val="Tahoma"/>
            <family val="2"/>
          </rPr>
          <t>$6,155-6,260
$6,155-6,260 11.28.23
$6,360-6,380 5.23.24</t>
        </r>
      </text>
    </comment>
    <comment ref="BM24" authorId="3" shapeId="0" xr:uid="{E2584E86-D391-4669-B3E8-5F6F52406581}">
      <text>
        <t>[Threaded comment]
Your version of Excel allows you to read this threaded comment; however, any edits to it will get removed if the file is opened in a newer version of Excel. Learn more: https://go.microsoft.com/fwlink/?linkid=870924
Comment:
    7,241-7,316
Reply:
    7,241 - 7,316</t>
      </text>
    </comment>
    <comment ref="BN24" authorId="4" shapeId="0" xr:uid="{56C3096B-E226-41AA-8030-59BA6823B466}">
      <text>
        <t>[Threaded comment]
Your version of Excel allows you to read this threaded comment; however, any edits to it will get removed if the file is opened in a newer version of Excel. Learn more: https://go.microsoft.com/fwlink/?linkid=870924
Comment:
    8611 - 8688</t>
      </text>
    </comment>
    <comment ref="AR32" authorId="1" shapeId="0" xr:uid="{87B88A7C-CAE9-43B7-8A95-76C85F430A55}">
      <text>
        <r>
          <rPr>
            <b/>
            <sz val="9"/>
            <color indexed="81"/>
            <rFont val="Tahoma"/>
            <family val="2"/>
          </rPr>
          <t>MacMaster, Griffin J.:</t>
        </r>
        <r>
          <rPr>
            <sz val="9"/>
            <color indexed="81"/>
            <rFont val="Tahoma"/>
            <family val="2"/>
          </rPr>
          <t xml:space="preserve">
23%</t>
        </r>
      </text>
    </comment>
    <comment ref="BM32" authorId="5" shapeId="0" xr:uid="{B458FDFD-7249-4342-8F2A-93F6ADE263F9}">
      <text>
        <t>[Threaded comment]
Your version of Excel allows you to read this threaded comment; however, any edits to it will get removed if the file is opened in a newer version of Excel. Learn more: https://go.microsoft.com/fwlink/?linkid=870924
Comment:
    24%</t>
      </text>
    </comment>
    <comment ref="BN32" authorId="1" shapeId="0" xr:uid="{909C2B33-513F-4BF5-AB96-9265694D1D4A}">
      <text>
        <r>
          <rPr>
            <b/>
            <sz val="9"/>
            <color indexed="81"/>
            <rFont val="Tahoma"/>
            <family val="2"/>
          </rPr>
          <t>MacMaster, Griffin J.:</t>
        </r>
        <r>
          <rPr>
            <sz val="9"/>
            <color indexed="81"/>
            <rFont val="Tahoma"/>
            <family val="2"/>
          </rPr>
          <t xml:space="preserve">
Q1: 23%</t>
        </r>
      </text>
    </comment>
    <comment ref="AB35" authorId="0" shapeId="0" xr:uid="{00000000-0006-0000-0200-000007000000}">
      <text>
        <r>
          <rPr>
            <b/>
            <sz val="9"/>
            <color indexed="81"/>
            <rFont val="Tahoma"/>
            <family val="2"/>
          </rPr>
          <t>$7.51-$7.57</t>
        </r>
      </text>
    </comment>
    <comment ref="AC35" authorId="0" shapeId="0" xr:uid="{00000000-0006-0000-0200-000008000000}">
      <text>
        <r>
          <rPr>
            <b/>
            <sz val="9"/>
            <color indexed="81"/>
            <rFont val="Tahoma"/>
            <family val="2"/>
          </rPr>
          <t>$0.94-$1.00</t>
        </r>
      </text>
    </comment>
    <comment ref="AD35" authorId="0" shapeId="0" xr:uid="{00000000-0006-0000-0200-000009000000}">
      <text>
        <r>
          <rPr>
            <b/>
            <sz val="9"/>
            <color indexed="81"/>
            <rFont val="Tahoma"/>
            <family val="2"/>
          </rPr>
          <t>$1.14 - $1.20</t>
        </r>
      </text>
    </comment>
    <comment ref="AE35" authorId="0" shapeId="0" xr:uid="{00000000-0006-0000-0200-00000A000000}">
      <text>
        <r>
          <rPr>
            <b/>
            <sz val="9"/>
            <color indexed="81"/>
            <rFont val="Tahoma"/>
            <family val="2"/>
          </rPr>
          <t>$1.41-$1.45</t>
        </r>
        <r>
          <rPr>
            <sz val="9"/>
            <color indexed="81"/>
            <rFont val="Tahoma"/>
            <family val="2"/>
          </rPr>
          <t xml:space="preserve">
</t>
        </r>
      </text>
    </comment>
    <comment ref="AF35" authorId="0" shapeId="0" xr:uid="{00000000-0006-0000-0200-00000B000000}">
      <text>
        <r>
          <rPr>
            <b/>
            <sz val="9"/>
            <color indexed="81"/>
            <rFont val="Tahoma"/>
            <family val="2"/>
          </rPr>
          <t>$8.42-8.49</t>
        </r>
      </text>
    </comment>
    <comment ref="AG35" authorId="0" shapeId="0" xr:uid="{00000000-0006-0000-0200-00000C000000}">
      <text>
        <r>
          <rPr>
            <b/>
            <sz val="9"/>
            <color indexed="81"/>
            <rFont val="Tahoma"/>
            <family val="2"/>
          </rPr>
          <t>$1.43-$1.48</t>
        </r>
      </text>
    </comment>
    <comment ref="AH35" authorId="0" shapeId="0" xr:uid="{66A201D6-B596-46AE-9A87-E849710E84B6}">
      <text>
        <r>
          <rPr>
            <b/>
            <sz val="9"/>
            <color indexed="81"/>
            <rFont val="Tahoma"/>
            <family val="2"/>
          </rPr>
          <t>$1.94-2.00</t>
        </r>
        <r>
          <rPr>
            <sz val="9"/>
            <color indexed="81"/>
            <rFont val="Tahoma"/>
            <family val="2"/>
          </rPr>
          <t xml:space="preserve">
</t>
        </r>
      </text>
    </comment>
    <comment ref="AI35" authorId="0" shapeId="0" xr:uid="{E18E1952-4169-49DD-9597-34EB6EDAE3E1}">
      <text>
        <r>
          <rPr>
            <b/>
            <sz val="9"/>
            <color indexed="81"/>
            <rFont val="Tahoma"/>
            <family val="2"/>
          </rPr>
          <t>2.25-2.31</t>
        </r>
      </text>
    </comment>
    <comment ref="AJ35" authorId="6" shapeId="0" xr:uid="{07DD2E31-0499-4C58-9B4D-27847538C881}">
      <text>
        <t>[Threaded comment]
Your version of Excel allows you to read this threaded comment; however, any edits to it will get removed if the file is opened in a newer version of Excel. Learn more: https://go.microsoft.com/fwlink/?linkid=870924
Comment:
    $9.31-9.38</t>
      </text>
    </comment>
    <comment ref="AK35" authorId="0" shapeId="0" xr:uid="{1A5FCB6C-1033-496A-B3A7-F64D002EEA28}">
      <text>
        <r>
          <rPr>
            <b/>
            <sz val="9"/>
            <color indexed="81"/>
            <rFont val="Tahoma"/>
            <family val="2"/>
          </rPr>
          <t>$1.80-$1.85
5.23.24</t>
        </r>
        <r>
          <rPr>
            <sz val="9"/>
            <color indexed="81"/>
            <rFont val="Tahoma"/>
            <family val="2"/>
          </rPr>
          <t xml:space="preserve">
</t>
        </r>
      </text>
    </comment>
    <comment ref="AL35" authorId="7" shapeId="0" xr:uid="{349EE313-22B9-47DB-A11A-030381A65F25}">
      <text>
        <t>[Threaded comment]
Your version of Excel allows you to read this threaded comment; however, any edits to it will get removed if the file is opened in a newer version of Excel. Learn more: https://go.microsoft.com/fwlink/?linkid=870924
Comment:
    2.33-2.38</t>
      </text>
    </comment>
    <comment ref="AM35" authorId="8" shapeId="0" xr:uid="{65F9CD91-2453-49F4-973A-301FA7B6AC52}">
      <text>
        <t>[Threaded comment]
Your version of Excel allows you to read this threaded comment; however, any edits to it will get removed if the file is opened in a newer version of Excel. Learn more: https://go.microsoft.com/fwlink/?linkid=870924
Comment:
    $2.55 - $2.61</t>
      </text>
    </comment>
    <comment ref="AN35" authorId="9" shapeId="0" xr:uid="{D650E271-A537-4DC3-882C-F1B08AA595BE}">
      <text>
        <t>[Threaded comment]
Your version of Excel allows you to read this threaded comment; however, any edits to it will get removed if the file is opened in a newer version of Excel. Learn more: https://go.microsoft.com/fwlink/?linkid=870924
Comment:
    $9.31-9.38</t>
      </text>
    </comment>
    <comment ref="AQ35" authorId="1" shapeId="0" xr:uid="{91251859-F071-4DA1-8DF0-2A92112995FF}">
      <text>
        <r>
          <rPr>
            <b/>
            <sz val="9"/>
            <color indexed="81"/>
            <rFont val="Tahoma"/>
            <family val="2"/>
          </rPr>
          <t>MacMaster, Griffin J.:</t>
        </r>
        <r>
          <rPr>
            <sz val="9"/>
            <color indexed="81"/>
            <rFont val="Tahoma"/>
            <family val="2"/>
          </rPr>
          <t xml:space="preserve">
$3.63-$3.68</t>
        </r>
      </text>
    </comment>
    <comment ref="AR35" authorId="1" shapeId="0" xr:uid="{5A5ED137-1B25-4406-8F93-5844CC0EA029}">
      <text>
        <r>
          <rPr>
            <b/>
            <sz val="9"/>
            <color indexed="81"/>
            <rFont val="Tahoma"/>
            <family val="2"/>
          </rPr>
          <t>MacMaster, Griffin J.:</t>
        </r>
        <r>
          <rPr>
            <sz val="9"/>
            <color indexed="81"/>
            <rFont val="Tahoma"/>
            <family val="2"/>
          </rPr>
          <t xml:space="preserve">
$12.45 - $12.51</t>
        </r>
      </text>
    </comment>
    <comment ref="BJ35" authorId="0" shapeId="0" xr:uid="{00000000-0006-0000-0200-00000D000000}">
      <text>
        <r>
          <rPr>
            <b/>
            <sz val="9"/>
            <color indexed="81"/>
            <rFont val="Tahoma"/>
            <family val="2"/>
          </rPr>
          <t xml:space="preserve">$11.48-11.62 11.18.21
$11.48-11.62 2.24.22
$11.68-11.74 5.24.22
</t>
        </r>
        <r>
          <rPr>
            <sz val="9"/>
            <color indexed="81"/>
            <rFont val="Tahoma"/>
            <family val="2"/>
          </rPr>
          <t xml:space="preserve">
</t>
        </r>
      </text>
    </comment>
    <comment ref="BK35" authorId="0" shapeId="0" xr:uid="{00000000-0006-0000-0200-00000E000000}">
      <text>
        <r>
          <rPr>
            <b/>
            <sz val="9"/>
            <color indexed="81"/>
            <rFont val="Tahoma"/>
            <family val="2"/>
          </rPr>
          <t>$13.59 - $13.89
$13.59 - $13.89 11.29.22
$13.59 - $13.89 2.23.23</t>
        </r>
        <r>
          <rPr>
            <sz val="9"/>
            <color indexed="81"/>
            <rFont val="Tahoma"/>
            <family val="2"/>
          </rPr>
          <t xml:space="preserve">
</t>
        </r>
        <r>
          <rPr>
            <b/>
            <sz val="9"/>
            <color indexed="81"/>
            <rFont val="Tahoma"/>
            <family val="2"/>
          </rPr>
          <t>$14.20 - $14.25 5.23.23</t>
        </r>
      </text>
    </comment>
    <comment ref="BL35" authorId="0" shapeId="0" xr:uid="{E8AC0DF7-9BBB-4618-9362-C7E224B4468A}">
      <text>
        <r>
          <rPr>
            <b/>
            <sz val="9"/>
            <color indexed="81"/>
            <rFont val="Tahoma"/>
            <family val="2"/>
          </rPr>
          <t>$16.17-$16.47
$16.17-$16.47 11.28.23
$16.17-$16.47 2.22.24
$16.79-$16.84 5.23.24</t>
        </r>
      </text>
    </comment>
    <comment ref="BM35" authorId="10" shapeId="0" xr:uid="{4D1ABEC0-43B1-4B41-B7EF-0EF75E074FA9}">
      <text>
        <t>[Threaded comment]
Your version of Excel allows you to read this threaded comment; however, any edits to it will get removed if the file is opened in a newer version of Excel. Learn more: https://go.microsoft.com/fwlink/?linkid=870924
Comment:
    19.16-19.36
Reply:
    $19.16 - $19.36
Reply:
    20.07 - 20.12</t>
      </text>
    </comment>
    <comment ref="BN35" authorId="1" shapeId="0" xr:uid="{10882C41-B43F-45D3-9BFC-58E2842C059C}">
      <text>
        <r>
          <rPr>
            <b/>
            <sz val="9"/>
            <color indexed="81"/>
            <rFont val="Tahoma"/>
            <family val="2"/>
          </rPr>
          <t>MacMaster, Griffin J.:</t>
        </r>
        <r>
          <rPr>
            <sz val="9"/>
            <color indexed="81"/>
            <rFont val="Tahoma"/>
            <family val="2"/>
          </rPr>
          <t xml:space="preserve">
$22.98-$23.18</t>
        </r>
      </text>
    </comment>
    <comment ref="BM37" authorId="11" shapeId="0" xr:uid="{3D06C662-1F57-4EC0-A752-489CA782CE34}">
      <text>
        <t>[Threaded comment]
Your version of Excel allows you to read this threaded comment; however, any edits to it will get removed if the file is opened in a newer version of Excel. Learn more: https://go.microsoft.com/fwlink/?linkid=870924
Comment:
    284</t>
      </text>
    </comment>
    <comment ref="AH59" authorId="0" shapeId="0" xr:uid="{5C528550-0E4F-4C32-ACEC-BBB7E6D4D445}">
      <text>
        <r>
          <rPr>
            <b/>
            <sz val="9"/>
            <color indexed="81"/>
            <rFont val="Tahoma"/>
            <family val="2"/>
          </rPr>
          <t>123-143</t>
        </r>
      </text>
    </comment>
    <comment ref="AI59" authorId="0" shapeId="0" xr:uid="{E9649800-0991-48C3-AB57-ADBD83AFF66B}">
      <text>
        <r>
          <rPr>
            <b/>
            <sz val="9"/>
            <color indexed="81"/>
            <rFont val="Tahoma"/>
            <family val="2"/>
          </rPr>
          <t>262-282</t>
        </r>
      </text>
    </comment>
    <comment ref="AL59" authorId="12" shapeId="0" xr:uid="{2CA26D0E-6C68-4BA3-9893-55C601338BB0}">
      <text>
        <t>[Threaded comment]
Your version of Excel allows you to read this threaded comment; however, any edits to it will get removed if the file is opened in a newer version of Excel. Learn more: https://go.microsoft.com/fwlink/?linkid=870924
Comment:
    231-251</t>
      </text>
    </comment>
    <comment ref="BJ59" authorId="0" shapeId="0" xr:uid="{00000000-0006-0000-0200-000011000000}">
      <text>
        <r>
          <rPr>
            <b/>
            <sz val="9"/>
            <color indexed="81"/>
            <rFont val="Tahoma"/>
            <family val="2"/>
          </rPr>
          <t>$2.441-2.501 11.18.21
$2.499-2.519 5.24.22</t>
        </r>
      </text>
    </comment>
    <comment ref="BK59" authorId="0" shapeId="0" xr:uid="{00000000-0006-0000-0200-000012000000}">
      <text>
        <r>
          <rPr>
            <b/>
            <sz val="9"/>
            <color indexed="81"/>
            <rFont val="Tahoma"/>
            <family val="2"/>
          </rPr>
          <t>$2.794-2.899
$3.071-3.091</t>
        </r>
        <r>
          <rPr>
            <sz val="9"/>
            <color indexed="81"/>
            <rFont val="Tahoma"/>
            <family val="2"/>
          </rPr>
          <t xml:space="preserve">
</t>
        </r>
      </text>
    </comment>
    <comment ref="BL59" authorId="0" shapeId="0" xr:uid="{6247B9E0-1310-459F-B9DC-2822BAE04946}">
      <text>
        <r>
          <rPr>
            <b/>
            <sz val="9"/>
            <color indexed="81"/>
            <rFont val="Tahoma"/>
            <family val="2"/>
          </rPr>
          <t>3.615-3.720 11.28.23
3.815-3.835 5.23.24</t>
        </r>
      </text>
    </comment>
    <comment ref="BM59" authorId="13" shapeId="0" xr:uid="{EF5B40AB-2713-4FED-B6CE-AA5099906361}">
      <text>
        <t>[Threaded comment]
Your version of Excel allows you to read this threaded comment; however, any edits to it will get removed if the file is opened in a newer version of Excel. Learn more: https://go.microsoft.com/fwlink/?linkid=870924
Comment:
    4,649-4,724</t>
      </text>
    </comment>
    <comment ref="BN59" authorId="1" shapeId="0" xr:uid="{2A588631-CC98-4D4D-BC31-6088957801CC}">
      <text>
        <r>
          <rPr>
            <b/>
            <sz val="9"/>
            <color indexed="81"/>
            <rFont val="Tahoma"/>
            <family val="2"/>
          </rPr>
          <t>MacMaster, Griffin J.:</t>
        </r>
        <r>
          <rPr>
            <sz val="9"/>
            <color indexed="81"/>
            <rFont val="Tahoma"/>
            <family val="2"/>
          </rPr>
          <t xml:space="preserve">
$5.782 - $5.859B</t>
        </r>
      </text>
    </comment>
    <comment ref="AB62" authorId="0" shapeId="0" xr:uid="{00000000-0006-0000-0200-000013000000}">
      <text>
        <r>
          <rPr>
            <b/>
            <sz val="9"/>
            <color indexed="81"/>
            <rFont val="Tahoma"/>
            <family val="2"/>
          </rPr>
          <t>$6.18-$6.24</t>
        </r>
        <r>
          <rPr>
            <sz val="9"/>
            <color indexed="81"/>
            <rFont val="Tahoma"/>
            <family val="2"/>
          </rPr>
          <t xml:space="preserve">
</t>
        </r>
      </text>
    </comment>
    <comment ref="AC62" authorId="0" shapeId="0" xr:uid="{00000000-0006-0000-0200-000014000000}">
      <text>
        <r>
          <rPr>
            <b/>
            <sz val="9"/>
            <color indexed="81"/>
            <rFont val="Tahoma"/>
            <family val="2"/>
          </rPr>
          <t>$(0.53) - $(0.47)</t>
        </r>
        <r>
          <rPr>
            <sz val="9"/>
            <color indexed="81"/>
            <rFont val="Tahoma"/>
            <family val="2"/>
          </rPr>
          <t xml:space="preserve">
</t>
        </r>
      </text>
    </comment>
    <comment ref="AD62" authorId="0" shapeId="0" xr:uid="{00000000-0006-0000-0200-000015000000}">
      <text>
        <r>
          <rPr>
            <b/>
            <sz val="9"/>
            <color indexed="81"/>
            <rFont val="Tahoma"/>
            <family val="2"/>
          </rPr>
          <t>$(0.43) - $(0.37)</t>
        </r>
      </text>
    </comment>
    <comment ref="AE62" authorId="0" shapeId="0" xr:uid="{00000000-0006-0000-0200-000016000000}">
      <text>
        <r>
          <rPr>
            <b/>
            <sz val="9"/>
            <color indexed="81"/>
            <rFont val="Tahoma"/>
            <family val="2"/>
          </rPr>
          <t>$(0.29) - $(0.23)</t>
        </r>
      </text>
    </comment>
    <comment ref="AF62" authorId="0" shapeId="0" xr:uid="{00000000-0006-0000-0200-000017000000}">
      <text>
        <r>
          <rPr>
            <b/>
            <sz val="9"/>
            <color indexed="81"/>
            <rFont val="Tahoma"/>
            <family val="2"/>
          </rPr>
          <t>$6.82-6.89</t>
        </r>
        <r>
          <rPr>
            <sz val="9"/>
            <color indexed="81"/>
            <rFont val="Tahoma"/>
            <family val="2"/>
          </rPr>
          <t xml:space="preserve">
</t>
        </r>
      </text>
    </comment>
    <comment ref="AG62" authorId="0" shapeId="0" xr:uid="{00000000-0006-0000-0200-000018000000}">
      <text>
        <r>
          <rPr>
            <b/>
            <sz val="9"/>
            <color indexed="81"/>
            <rFont val="Tahoma"/>
            <family val="2"/>
          </rPr>
          <t>($0.34) - ($0.29)</t>
        </r>
      </text>
    </comment>
    <comment ref="AH62" authorId="0" shapeId="0" xr:uid="{AF1C6498-C7D1-4C09-9CCA-0C4D806C558D}">
      <text>
        <r>
          <rPr>
            <b/>
            <sz val="9"/>
            <color indexed="81"/>
            <rFont val="Tahoma"/>
            <family val="2"/>
          </rPr>
          <t>$0.15-0.21</t>
        </r>
      </text>
    </comment>
    <comment ref="AI62" authorId="0" shapeId="0" xr:uid="{0DF415F0-C844-4B1E-9BC7-8933F1007692}">
      <text>
        <r>
          <rPr>
            <b/>
            <sz val="9"/>
            <color indexed="81"/>
            <rFont val="Tahoma"/>
            <family val="2"/>
          </rPr>
          <t>0.62-0.68</t>
        </r>
      </text>
    </comment>
    <comment ref="AJ62" authorId="14" shapeId="0" xr:uid="{3FB1FF88-46FA-40B6-B682-739DD6065C9F}">
      <text>
        <t>[Threaded comment]
Your version of Excel allows you to read this threaded comment; however, any edits to it will get removed if the file is opened in a newer version of Excel. Learn more: https://go.microsoft.com/fwlink/?linkid=870924
Comment:
    $7.77-7.84</t>
      </text>
    </comment>
    <comment ref="AK62" authorId="0" shapeId="0" xr:uid="{9F29B477-4FD9-4087-95FE-C3CBCEFCB2DB}">
      <text>
        <r>
          <rPr>
            <b/>
            <sz val="9"/>
            <color indexed="81"/>
            <rFont val="Tahoma"/>
            <family val="2"/>
          </rPr>
          <t>$0.25-$0.30
5.23.24</t>
        </r>
      </text>
    </comment>
    <comment ref="AL62" authorId="15" shapeId="0" xr:uid="{7FF49717-5F86-494B-B1DD-D78E5F4EC53D}">
      <text>
        <t>[Threaded comment]
Your version of Excel allows you to read this threaded comment; however, any edits to it will get removed if the file is opened in a newer version of Excel. Learn more: https://go.microsoft.com/fwlink/?linkid=870924
Comment:
    0.61-0.66</t>
      </text>
    </comment>
    <comment ref="AM62" authorId="16" shapeId="0" xr:uid="{1E1EA1DC-9C97-458F-AAF9-AF827D3201A9}">
      <text>
        <t>[Threaded comment]
Your version of Excel allows you to read this threaded comment; however, any edits to it will get removed if the file is opened in a newer version of Excel. Learn more: https://go.microsoft.com/fwlink/?linkid=870924
Comment:
    $0.84- $0.90</t>
      </text>
    </comment>
    <comment ref="AN62" authorId="17" shapeId="0" xr:uid="{F8853269-0DFB-448B-979E-C175C98211F1}">
      <text>
        <t>[Threaded comment]
Your version of Excel allows you to read this threaded comment; however, any edits to it will get removed if the file is opened in a newer version of Excel. Learn more: https://go.microsoft.com/fwlink/?linkid=870924
Comment:
    9.22-9.28</t>
      </text>
    </comment>
    <comment ref="AQ62" authorId="1" shapeId="0" xr:uid="{CD9BE893-8379-4C64-AF92-357A69168070}">
      <text>
        <r>
          <rPr>
            <b/>
            <sz val="9"/>
            <color indexed="81"/>
            <rFont val="Tahoma"/>
            <family val="2"/>
          </rPr>
          <t>MacMaster, Griffin J.:</t>
        </r>
        <r>
          <rPr>
            <sz val="9"/>
            <color indexed="81"/>
            <rFont val="Tahoma"/>
            <family val="2"/>
          </rPr>
          <t xml:space="preserve">
$1.76-$1.81</t>
        </r>
      </text>
    </comment>
    <comment ref="AR62" authorId="1" shapeId="0" xr:uid="{AC6E6F6C-627C-4642-AAEF-C324FB2C8482}">
      <text>
        <r>
          <rPr>
            <b/>
            <sz val="9"/>
            <color indexed="81"/>
            <rFont val="Tahoma"/>
            <family val="2"/>
          </rPr>
          <t>MacMaster, Griffin J.:</t>
        </r>
        <r>
          <rPr>
            <sz val="9"/>
            <color indexed="81"/>
            <rFont val="Tahoma"/>
            <family val="2"/>
          </rPr>
          <t xml:space="preserve">
$10.56 - $10.62</t>
        </r>
      </text>
    </comment>
    <comment ref="BJ62" authorId="0" shapeId="0" xr:uid="{00000000-0006-0000-0200-000019000000}">
      <text>
        <r>
          <rPr>
            <b/>
            <sz val="9"/>
            <color indexed="81"/>
            <rFont val="Tahoma"/>
            <family val="2"/>
          </rPr>
          <t>$7-7.16 11.18.21
$7-7.16 2.24.22
$6.95-7.01 5.24.22</t>
        </r>
        <r>
          <rPr>
            <sz val="9"/>
            <color indexed="81"/>
            <rFont val="Tahoma"/>
            <family val="2"/>
          </rPr>
          <t xml:space="preserve">
</t>
        </r>
      </text>
    </comment>
    <comment ref="BK62" authorId="0" shapeId="0" xr:uid="{00000000-0006-0000-0200-00001A000000}">
      <text>
        <r>
          <rPr>
            <b/>
            <sz val="9"/>
            <color indexed="81"/>
            <rFont val="Tahoma"/>
            <family val="2"/>
          </rPr>
          <t>$6.92 - $7.22</t>
        </r>
        <r>
          <rPr>
            <sz val="9"/>
            <color indexed="81"/>
            <rFont val="Tahoma"/>
            <family val="2"/>
          </rPr>
          <t xml:space="preserve">
</t>
        </r>
      </text>
    </comment>
    <comment ref="BL62" authorId="0" shapeId="0" xr:uid="{7A1CF5E1-6427-44E7-B111-B81081DD0336}">
      <text>
        <r>
          <rPr>
            <b/>
            <sz val="9"/>
            <color indexed="81"/>
            <rFont val="Tahoma"/>
            <family val="2"/>
          </rPr>
          <t>$9.37-$9.67
$9.37-$9.67 11.28.23
$9.37-$9.67 2.22.24
$10.78-$10.83 5.23.24</t>
        </r>
      </text>
    </comment>
    <comment ref="BM62" authorId="18" shapeId="0" xr:uid="{80D5B7CC-1411-4410-9EA0-86C6D7964D97}">
      <text>
        <t>[Threaded comment]
Your version of Excel allows you to read this threaded comment; however, any edits to it will get removed if the file is opened in a newer version of Excel. Learn more: https://go.microsoft.com/fwlink/?linkid=870924
Comment:
    12.34-12.54</t>
      </text>
    </comment>
    <comment ref="BN62" authorId="1" shapeId="0" xr:uid="{D3CA9FE4-3DE3-4E2A-BCF0-680647460C97}">
      <text>
        <r>
          <rPr>
            <b/>
            <sz val="9"/>
            <color indexed="81"/>
            <rFont val="Tahoma"/>
            <family val="2"/>
          </rPr>
          <t>MacMaster, Griffin J.:</t>
        </r>
        <r>
          <rPr>
            <sz val="9"/>
            <color indexed="81"/>
            <rFont val="Tahoma"/>
            <family val="2"/>
          </rPr>
          <t xml:space="preserve">
$15.49-$15.69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Unger, David [WELLS FARGO SEC RES CONS]</author>
    <author>tc={6BF4F310-6A9C-436D-ACA7-B37328844963}</author>
    <author>tc={339A77DB-4604-452D-A379-42502CBE4284}</author>
    <author>tc={B98CC252-4A36-4618-B856-9879CAE2D464}</author>
    <author>tc={8CEDBD45-F746-4040-8B94-81C8108B7870}</author>
    <author>tc={24159C4B-5DB8-4F75-9191-AA9AA55074EE}</author>
    <author>MacMaster, Griffin J.</author>
    <author>tc={88CFDC65-2232-49C2-9604-6E0B8A78853F}</author>
    <author>tc={B5B63386-ADFD-4667-A8F9-B8D2F5811555}</author>
    <author>tc={74EFE7A1-24C0-43E4-B37F-1FF859ADA022}</author>
    <author>tc={4BB9583D-7211-47C8-9A34-4FC206E45027}</author>
    <author>tc={6D5435B6-10FB-474E-ABD3-1A2B05D8A5FC}</author>
    <author>Williams, Austin R.</author>
    <author>tc={92562030-7E0B-4656-8FBA-C6316E4369E9}</author>
    <author>tc={5AAF7FD1-D2B0-4F5E-BB11-7089F66584BB}</author>
    <author>tc={DC971349-8CAD-4503-B1B4-25F88EC63DD2}</author>
    <author>tc={0EED218C-A220-4530-B4C1-B13C6336B1F2}</author>
    <author>tc={6815FEE3-74E2-4769-BBEE-85A4525AC43A}</author>
    <author>tc={1668FF42-FAA3-4247-AE06-6A28434979A3}</author>
    <author>tc={16A88C10-C5B0-47F5-B117-ADA8545ABFCE}</author>
    <author>tc={55EBA5DC-577B-41D0-88FD-2EA28E3251B1}</author>
    <author>tc={A57169FA-3497-45CB-8812-389AC64D3622}</author>
    <author>tc={8638540D-8EA7-4427-8FDF-E7FB35575DB5}</author>
    <author>tc={40AFE129-BAE1-4FD0-887A-CA45681B6662}</author>
    <author>tc={7E7959DB-7626-46F3-A8D7-B3982E9A381A}</author>
    <author>tc={ACFFBAD8-B536-48F2-ABD7-7D34F9792583}</author>
    <author>tc={38C8072E-E8A4-42DA-81CD-7B92811CF756}</author>
    <author>tc={AD346423-03FE-4771-AE20-5B9833624CDA}</author>
    <author>tc={2E22A630-B054-4BF8-BE07-7F08F73ABAD0}</author>
    <author>tc={F830BB53-8A96-434E-BAB3-5AE114CEB432}</author>
    <author>tc={5979C2FA-6AA1-4079-B2F1-CE4A8960DD70}</author>
    <author>tc={D534828D-F594-42CF-896B-D216F6B5E477}</author>
    <author>tc={AFE5D669-B67F-4E93-83A5-D0FDEB6D17FD}</author>
    <author>tc={A636A5E2-5E00-4C0E-B931-5A2CF924C45D}</author>
    <author>tc={53140970-4675-4C37-A43B-F1C917C3D2DD}</author>
    <author>tc={5DF68385-453F-4CAF-B7F2-A1356657AE9F}</author>
    <author>tc={2414FCFB-21E1-4FD7-9BE8-9A342A811638}</author>
    <author>tc={C6C6A562-A83E-4D22-97A1-7FE4B1464029}</author>
    <author>tc={D25FB385-7206-4B97-879B-154453939230}</author>
    <author>tc={A21FAAE2-5872-4942-A773-751EBCC3C1FA}</author>
    <author>tc={C5F3D9B1-29FF-444C-A9B2-E63D6E278474}</author>
    <author>tc={A25966EE-3E64-4C92-898F-9A468ED0A633}</author>
    <author>tc={7EF61AD1-042C-441D-91B3-9CEE0DD81A8A}</author>
    <author>tc={06582D8E-DB87-4680-AAF7-FB4AFE003576}</author>
    <author>tc={05293575-0710-43DE-B2B3-C58C9640F8AA}</author>
    <author>tc={799BD6E1-7D52-4B1E-9F5E-E972590914EA}</author>
    <author>tc={CB4394E0-EF0B-4CA4-8C93-2C08E683D493}</author>
    <author>tc={4CA8040C-A833-4416-99AD-96318D5E56C5}</author>
    <author>Verkhovski, Allan</author>
  </authors>
  <commentList>
    <comment ref="AA6" authorId="0" shapeId="0" xr:uid="{00000000-0006-0000-0300-000001000000}">
      <text>
        <r>
          <rPr>
            <b/>
            <sz val="9"/>
            <color indexed="81"/>
            <rFont val="Tahoma"/>
            <family val="2"/>
          </rPr>
          <t>2.66-2.665 2-14-22 pre-announce</t>
        </r>
      </text>
    </comment>
    <comment ref="AB6" authorId="0" shapeId="0" xr:uid="{00000000-0006-0000-0300-000002000000}">
      <text>
        <r>
          <rPr>
            <b/>
            <sz val="9"/>
            <color indexed="81"/>
            <rFont val="Tahoma"/>
            <family val="2"/>
          </rPr>
          <t>$5,490-$5,540</t>
        </r>
        <r>
          <rPr>
            <sz val="9"/>
            <color indexed="81"/>
            <rFont val="Tahoma"/>
            <family val="2"/>
          </rPr>
          <t xml:space="preserve">
</t>
        </r>
      </text>
    </comment>
    <comment ref="AC6" authorId="0" shapeId="0" xr:uid="{00000000-0006-0000-0300-000003000000}">
      <text>
        <r>
          <rPr>
            <b/>
            <sz val="9"/>
            <color indexed="81"/>
            <rFont val="Tahoma"/>
            <family val="2"/>
          </rPr>
          <t>-9% y/y reflecting earlier tax filing deadline</t>
        </r>
      </text>
    </comment>
    <comment ref="AE6" authorId="0" shapeId="0" xr:uid="{00000000-0006-0000-0300-000004000000}">
      <text>
        <r>
          <rPr>
            <b/>
            <sz val="9"/>
            <color indexed="81"/>
            <rFont val="Tahoma"/>
            <family val="2"/>
          </rPr>
          <t>2,875-2,905</t>
        </r>
        <r>
          <rPr>
            <sz val="9"/>
            <color indexed="81"/>
            <rFont val="Tahoma"/>
            <family val="2"/>
          </rPr>
          <t xml:space="preserve">
</t>
        </r>
      </text>
    </comment>
    <comment ref="AH6" authorId="0" shapeId="0" xr:uid="{23BF2AF7-1607-4D40-87AD-58D471B228E5}">
      <text>
        <r>
          <rPr>
            <b/>
            <sz val="9"/>
            <color indexed="81"/>
            <rFont val="Tahoma"/>
            <family val="2"/>
          </rPr>
          <t>$2,860-2,895</t>
        </r>
      </text>
    </comment>
    <comment ref="AL6" authorId="1" shapeId="0" xr:uid="{6BF4F310-6A9C-436D-ACA7-B37328844963}">
      <text>
        <t>[Threaded comment]
Your version of Excel allows you to read this threaded comment; however, any edits to it will get removed if the file is opened in a newer version of Excel. Learn more: https://go.microsoft.com/fwlink/?linkid=870924
Comment:
    3,114-3,145</t>
      </text>
    </comment>
    <comment ref="AM6" authorId="2" shapeId="0" xr:uid="{339A77DB-4604-452D-A379-42502CBE4284}">
      <text>
        <t>[Threaded comment]
Your version of Excel allows you to read this threaded comment; however, any edits to it will get removed if the file is opened in a newer version of Excel. Learn more: https://go.microsoft.com/fwlink/?linkid=870924
Comment:
    3,812 - 3,845</t>
      </text>
    </comment>
    <comment ref="AN6" authorId="3" shapeId="0" xr:uid="{B98CC252-4A36-4618-B856-9879CAE2D464}">
      <text>
        <t>[Threaded comment]
Your version of Excel allows you to read this threaded comment; however, any edits to it will get removed if the file is opened in a newer version of Excel. Learn more: https://go.microsoft.com/fwlink/?linkid=870924
Comment:
    7.55-7.6</t>
      </text>
    </comment>
    <comment ref="AO6" authorId="4" shapeId="0" xr:uid="{8CEDBD45-F746-4040-8B94-81C8108B7870}">
      <text>
        <t>[Threaded comment]
Your version of Excel allows you to read this threaded comment; however, any edits to it will get removed if the file is opened in a newer version of Excel. Learn more: https://go.microsoft.com/fwlink/?linkid=870924
Comment:
    F3Q call: 3,723 - 3,760</t>
      </text>
    </comment>
    <comment ref="BJ6" authorId="0" shapeId="0" xr:uid="{00000000-0006-0000-0300-000005000000}">
      <text>
        <r>
          <rPr>
            <b/>
            <sz val="9"/>
            <color indexed="81"/>
            <rFont val="Tahoma"/>
            <family val="2"/>
          </rPr>
          <t>$11.05 - $11.2; 15% -16% including FY of CK 8.24.21
$12.165-12.3; 26-28%; 18-20% ex MC 11.18.21
$12.165-12.3; 26-28%; 18-20% ex MC 2.24.22
$12.633-12.674; 31-32%; 23-24% ex MC 5.24.22</t>
        </r>
      </text>
    </comment>
    <comment ref="BK6" authorId="0" shapeId="0" xr:uid="{00000000-0006-0000-0300-000006000000}">
      <text>
        <r>
          <rPr>
            <b/>
            <sz val="9"/>
            <color indexed="81"/>
            <rFont val="Tahoma"/>
            <family val="2"/>
          </rPr>
          <t>$14,485 - $14,700</t>
        </r>
        <r>
          <rPr>
            <sz val="9"/>
            <color indexed="81"/>
            <rFont val="Tahoma"/>
            <family val="2"/>
          </rPr>
          <t xml:space="preserve">
</t>
        </r>
        <r>
          <rPr>
            <b/>
            <sz val="9"/>
            <color indexed="81"/>
            <rFont val="Tahoma"/>
            <family val="2"/>
          </rPr>
          <t>$14,035 - $14,250
$14,035 - $14,250
$14,279 - $14,317</t>
        </r>
      </text>
    </comment>
    <comment ref="BL6" authorId="0" shapeId="0" xr:uid="{C552B696-6D17-4C00-AD37-176EAAD0B547}">
      <text>
        <r>
          <rPr>
            <b/>
            <sz val="9"/>
            <color indexed="81"/>
            <rFont val="Tahoma"/>
            <family val="2"/>
          </rPr>
          <t>$15,890 - $16,105</t>
        </r>
        <r>
          <rPr>
            <sz val="9"/>
            <color indexed="81"/>
            <rFont val="Tahoma"/>
            <family val="2"/>
          </rPr>
          <t xml:space="preserve">
</t>
        </r>
        <r>
          <rPr>
            <b/>
            <sz val="9"/>
            <color indexed="81"/>
            <rFont val="Tahoma"/>
            <family val="2"/>
          </rPr>
          <t>$15,890 - $16,105 11.28.23
$16,164 - $16,200 5.23.24</t>
        </r>
      </text>
    </comment>
    <comment ref="BM6" authorId="5" shapeId="0" xr:uid="{24159C4B-5DB8-4F75-9191-AA9AA55074EE}">
      <text>
        <t>[Threaded comment]
Your version of Excel allows you to read this threaded comment; however, any edits to it will get removed if the file is opened in a newer version of Excel. Learn more: https://go.microsoft.com/fwlink/?linkid=870924
Comment:
    18,160-18,347
Reply:
    $18,160 - $18,347
Reply:
    F3Q call: 18,723 - 18,760</t>
      </text>
    </comment>
    <comment ref="BN6" authorId="6" shapeId="0" xr:uid="{E2FC2072-F9E7-40E3-A7DB-87A923C9AD6C}">
      <text>
        <r>
          <rPr>
            <b/>
            <sz val="9"/>
            <color indexed="81"/>
            <rFont val="Tahoma"/>
            <family val="2"/>
          </rPr>
          <t>MacMaster, Griffin J.:</t>
        </r>
        <r>
          <rPr>
            <sz val="9"/>
            <color indexed="81"/>
            <rFont val="Tahoma"/>
            <family val="2"/>
          </rPr>
          <t xml:space="preserve">
Q1: $20.997-$21.186B</t>
        </r>
      </text>
    </comment>
    <comment ref="Z7" authorId="0" shapeId="0" xr:uid="{00000000-0006-0000-0300-000007000000}">
      <text>
        <r>
          <rPr>
            <b/>
            <sz val="9"/>
            <color indexed="81"/>
            <rFont val="Tahoma"/>
            <family val="2"/>
          </rPr>
          <t>36% - 38% 8.24.21</t>
        </r>
      </text>
    </comment>
    <comment ref="AA7" authorId="0" shapeId="0" xr:uid="{00000000-0006-0000-0300-000008000000}">
      <text>
        <r>
          <rPr>
            <b/>
            <sz val="9"/>
            <color indexed="81"/>
            <rFont val="Tahoma"/>
            <family val="2"/>
          </rPr>
          <t>73-74%</t>
        </r>
      </text>
    </comment>
    <comment ref="AD7" authorId="0" shapeId="0" xr:uid="{00000000-0006-0000-0300-000009000000}">
      <text>
        <r>
          <rPr>
            <b/>
            <sz val="9"/>
            <color indexed="81"/>
            <rFont val="Tahoma"/>
            <family val="2"/>
          </rPr>
          <t>23% - 25%
to report above guidance</t>
        </r>
        <r>
          <rPr>
            <sz val="9"/>
            <color indexed="81"/>
            <rFont val="Tahoma"/>
            <family val="2"/>
          </rPr>
          <t xml:space="preserve">
</t>
        </r>
      </text>
    </comment>
    <comment ref="AF7" authorId="0" shapeId="0" xr:uid="{00000000-0006-0000-0300-00000A000000}">
      <text>
        <r>
          <rPr>
            <b/>
            <sz val="9"/>
            <color indexed="81"/>
            <rFont val="Tahoma"/>
            <family val="2"/>
          </rPr>
          <t>8% - 9%</t>
        </r>
      </text>
    </comment>
    <comment ref="AG7" authorId="0" shapeId="0" xr:uid="{00000000-0006-0000-0300-00000B000000}">
      <text>
        <r>
          <rPr>
            <b/>
            <sz val="9"/>
            <color indexed="81"/>
            <rFont val="Tahoma"/>
            <family val="2"/>
          </rPr>
          <t>9-10%</t>
        </r>
        <r>
          <rPr>
            <sz val="9"/>
            <color indexed="81"/>
            <rFont val="Tahoma"/>
            <family val="2"/>
          </rPr>
          <t xml:space="preserve">
</t>
        </r>
      </text>
    </comment>
    <comment ref="AH7" authorId="0" shapeId="0" xr:uid="{B0E6BA98-10DE-4D31-949F-89B52F729164}">
      <text>
        <r>
          <rPr>
            <b/>
            <sz val="9"/>
            <color indexed="81"/>
            <rFont val="Tahoma"/>
            <family val="2"/>
          </rPr>
          <t>10%-11%</t>
        </r>
        <r>
          <rPr>
            <sz val="9"/>
            <color indexed="81"/>
            <rFont val="Tahoma"/>
            <family val="2"/>
          </rPr>
          <t xml:space="preserve">
</t>
        </r>
      </text>
    </comment>
    <comment ref="AI7" authorId="0" shapeId="0" xr:uid="{3CE63B46-ABAD-4C61-AD8A-61747408CBFA}">
      <text>
        <r>
          <rPr>
            <b/>
            <sz val="9"/>
            <color indexed="81"/>
            <rFont val="Tahoma"/>
            <family val="2"/>
          </rPr>
          <t>11-12% 11.28.23</t>
        </r>
        <r>
          <rPr>
            <sz val="9"/>
            <color indexed="81"/>
            <rFont val="Tahoma"/>
            <family val="2"/>
          </rPr>
          <t xml:space="preserve">
</t>
        </r>
      </text>
    </comment>
    <comment ref="AJ7" authorId="7" shapeId="0" xr:uid="{88CFDC65-2232-49C2-9604-6E0B8A78853F}">
      <text>
        <t>[Threaded comment]
Your version of Excel allows you to read this threaded comment; however, any edits to it will get removed if the file is opened in a newer version of Excel. Learn more: https://go.microsoft.com/fwlink/?linkid=870924
Comment:
    10%-11%</t>
      </text>
    </comment>
    <comment ref="AK7" authorId="0" shapeId="0" xr:uid="{9242938B-F074-4C1B-8ED5-FB89D051FBBE}">
      <text>
        <r>
          <rPr>
            <b/>
            <sz val="9"/>
            <color indexed="81"/>
            <rFont val="Tahoma"/>
            <family val="2"/>
          </rPr>
          <t>$3.063-3.099
13%-14%</t>
        </r>
      </text>
    </comment>
    <comment ref="AL7" authorId="8" shapeId="0" xr:uid="{B5B63386-ADFD-4667-A8F9-B8D2F5811555}">
      <text>
        <t>[Threaded comment]
Your version of Excel allows you to read this threaded comment; however, any edits to it will get removed if the file is opened in a newer version of Excel. Learn more: https://go.microsoft.com/fwlink/?linkid=870924
Comment:
    5%-6%</t>
      </text>
    </comment>
    <comment ref="AM7" authorId="9" shapeId="0" xr:uid="{74EFE7A1-24C0-43E4-B37F-1FF859ADA022}">
      <text>
        <t>[Threaded comment]
Your version of Excel allows you to read this threaded comment; however, any edits to it will get removed if the file is opened in a newer version of Excel. Learn more: https://go.microsoft.com/fwlink/?linkid=870924
Comment:
    13% - 14%</t>
      </text>
    </comment>
    <comment ref="AN7" authorId="10" shapeId="0" xr:uid="{4BB9583D-7211-47C8-9A34-4FC206E45027}">
      <text>
        <t>[Threaded comment]
Your version of Excel allows you to read this threaded comment; however, any edits to it will get removed if the file is opened in a newer version of Excel. Learn more: https://go.microsoft.com/fwlink/?linkid=870924
Comment:
    12-13%</t>
      </text>
    </comment>
    <comment ref="AQ7" authorId="6" shapeId="0" xr:uid="{6CC3C596-7F2B-4D95-BCEA-5C68F36DACBA}">
      <text>
        <r>
          <rPr>
            <b/>
            <sz val="9"/>
            <color indexed="81"/>
            <rFont val="Tahoma"/>
            <family val="2"/>
          </rPr>
          <t>MacMaster, Griffin J.:</t>
        </r>
        <r>
          <rPr>
            <sz val="9"/>
            <color indexed="81"/>
            <rFont val="Tahoma"/>
            <family val="2"/>
          </rPr>
          <t xml:space="preserve">
14-15%</t>
        </r>
      </text>
    </comment>
    <comment ref="AR7" authorId="6" shapeId="0" xr:uid="{F851514B-77EF-4586-A8CE-D0A2E858109B}">
      <text>
        <r>
          <rPr>
            <b/>
            <sz val="9"/>
            <color indexed="81"/>
            <rFont val="Tahoma"/>
            <family val="2"/>
          </rPr>
          <t>MacMaster, Griffin J.:</t>
        </r>
        <r>
          <rPr>
            <sz val="9"/>
            <color indexed="81"/>
            <rFont val="Tahoma"/>
            <family val="2"/>
          </rPr>
          <t xml:space="preserve">
10%</t>
        </r>
      </text>
    </comment>
    <comment ref="BK7" authorId="0" shapeId="0" xr:uid="{00000000-0006-0000-0300-00000C000000}">
      <text>
        <r>
          <rPr>
            <b/>
            <sz val="9"/>
            <color indexed="81"/>
            <rFont val="Tahoma"/>
            <family val="2"/>
          </rPr>
          <t>14% - 16%
10% -12% 11.29.22
10% -12% 2.23.23
12% -13% 5.23.23</t>
        </r>
      </text>
    </comment>
    <comment ref="BL7" authorId="0" shapeId="0" xr:uid="{4D66B391-93C1-4A16-98B3-837E8F78F518}">
      <text>
        <r>
          <rPr>
            <b/>
            <sz val="9"/>
            <color indexed="81"/>
            <rFont val="Tahoma"/>
            <family val="2"/>
          </rPr>
          <t>11%-12%
11%-12% 2.22.24
13% 5.23.24</t>
        </r>
        <r>
          <rPr>
            <sz val="9"/>
            <color indexed="81"/>
            <rFont val="Tahoma"/>
            <family val="2"/>
          </rPr>
          <t xml:space="preserve">
</t>
        </r>
      </text>
    </comment>
    <comment ref="BM7" authorId="11" shapeId="0" xr:uid="{6D5435B6-10FB-474E-ABD3-1A2B05D8A5FC}">
      <text>
        <t>[Threaded comment]
Your version of Excel allows you to read this threaded comment; however, any edits to it will get removed if the file is opened in a newer version of Excel. Learn more: https://go.microsoft.com/fwlink/?linkid=870924
Comment:
    12%-13%
Reply:
    12% - 13%</t>
      </text>
    </comment>
    <comment ref="BN7" authorId="6" shapeId="0" xr:uid="{9204EE4D-BD9A-4E1B-AAAB-4B1B6CE891B8}">
      <text>
        <r>
          <rPr>
            <b/>
            <sz val="9"/>
            <color indexed="81"/>
            <rFont val="Tahoma"/>
            <family val="2"/>
          </rPr>
          <t>MacMaster, Griffin J.:</t>
        </r>
        <r>
          <rPr>
            <sz val="9"/>
            <color indexed="81"/>
            <rFont val="Tahoma"/>
            <family val="2"/>
          </rPr>
          <t xml:space="preserve">
12-13%</t>
        </r>
      </text>
    </comment>
    <comment ref="AQ13" authorId="6" shapeId="0" xr:uid="{82C2404A-D0DE-446C-AB4E-814F89318EA7}">
      <text>
        <r>
          <rPr>
            <b/>
            <sz val="9"/>
            <color indexed="81"/>
            <rFont val="Tahoma"/>
            <family val="2"/>
          </rPr>
          <t>MacMaster, Griffin J.:</t>
        </r>
        <r>
          <rPr>
            <sz val="9"/>
            <color indexed="81"/>
            <rFont val="Tahoma"/>
            <family val="2"/>
          </rPr>
          <t xml:space="preserve">
779</t>
        </r>
      </text>
    </comment>
    <comment ref="W18" authorId="12" shapeId="0" xr:uid="{00000000-0006-0000-0300-00000D000000}">
      <text>
        <r>
          <rPr>
            <b/>
            <sz val="9"/>
            <color indexed="81"/>
            <rFont val="Tahoma"/>
            <family val="2"/>
          </rPr>
          <t>Williams, Austin R.:</t>
        </r>
        <r>
          <rPr>
            <sz val="9"/>
            <color indexed="81"/>
            <rFont val="Tahoma"/>
            <family val="2"/>
          </rPr>
          <t xml:space="preserve">
Includes CK revenue</t>
        </r>
      </text>
    </comment>
    <comment ref="AQ18" authorId="6" shapeId="0" xr:uid="{F23D9382-1FAF-4EFC-8C81-8D455CD9E3A4}">
      <text>
        <r>
          <rPr>
            <b/>
            <sz val="9"/>
            <color indexed="81"/>
            <rFont val="Tahoma"/>
            <family val="2"/>
          </rPr>
          <t>MacMaster, Griffin J.:</t>
        </r>
        <r>
          <rPr>
            <sz val="9"/>
            <color indexed="81"/>
            <rFont val="Tahoma"/>
            <family val="2"/>
          </rPr>
          <t xml:space="preserve">
3872</t>
        </r>
      </text>
    </comment>
    <comment ref="AA24" authorId="0" shapeId="0" xr:uid="{00000000-0006-0000-0300-000012000000}">
      <text>
        <r>
          <rPr>
            <b/>
            <sz val="9"/>
            <color indexed="81"/>
            <rFont val="Tahoma"/>
            <family val="2"/>
          </rPr>
          <t>1.575-1.58 2-14-22 pre-announce</t>
        </r>
      </text>
    </comment>
    <comment ref="BJ24" authorId="0" shapeId="0" xr:uid="{00000000-0006-0000-0300-000013000000}">
      <text>
        <r>
          <rPr>
            <b/>
            <sz val="9"/>
            <color indexed="81"/>
            <rFont val="Tahoma"/>
            <family val="2"/>
          </rPr>
          <t>$6,190-$6,255</t>
        </r>
        <r>
          <rPr>
            <sz val="9"/>
            <color indexed="81"/>
            <rFont val="Tahoma"/>
            <family val="2"/>
          </rPr>
          <t xml:space="preserve">
</t>
        </r>
      </text>
    </comment>
    <comment ref="BL24" authorId="0" shapeId="0" xr:uid="{6829F4E6-DF3C-4096-91AB-4A29151FE124}">
      <text>
        <r>
          <rPr>
            <b/>
            <sz val="9"/>
            <color indexed="81"/>
            <rFont val="Tahoma"/>
            <family val="2"/>
          </rPr>
          <t>$9,305-9,385 8.24.23
$9,467-9,481 5.23.24</t>
        </r>
      </text>
    </comment>
    <comment ref="BM24" authorId="13" shapeId="0" xr:uid="{92562030-7E0B-4656-8FBA-C6316E4369E9}">
      <text>
        <t>[Threaded comment]
Your version of Excel allows you to read this threaded comment; however, any edits to it will get removed if the file is opened in a newer version of Excel. Learn more: https://go.microsoft.com/fwlink/?linkid=870924
Comment:
    11,011-11,106
Reply:
    F3Q call: 11,052 - 11,073</t>
      </text>
    </comment>
    <comment ref="BN24" authorId="14" shapeId="0" xr:uid="{5AAF7FD1-D2B0-4F5E-BB11-7089F66584BB}">
      <text>
        <t>[Threaded comment]
Your version of Excel allows you to read this threaded comment; however, any edits to it will get removed if the file is opened in a newer version of Excel. Learn more: https://go.microsoft.com/fwlink/?linkid=870924
Comment:
    12,633 - 12,742</t>
      </text>
    </comment>
    <comment ref="BJ25" authorId="0" shapeId="0" xr:uid="{00000000-0006-0000-0300-000014000000}">
      <text>
        <r>
          <rPr>
            <b/>
            <sz val="9"/>
            <color indexed="81"/>
            <rFont val="Tahoma"/>
            <family val="2"/>
          </rPr>
          <t>12% - 14% 8.24.21
32% - 33% 11.18.21
36% - 37% 5.24.22</t>
        </r>
      </text>
    </comment>
    <comment ref="BK25" authorId="0" shapeId="0" xr:uid="{00000000-0006-0000-0300-000015000000}">
      <text>
        <r>
          <rPr>
            <b/>
            <sz val="9"/>
            <color indexed="81"/>
            <rFont val="Tahoma"/>
            <family val="2"/>
          </rPr>
          <t>19% - 20%
19% - 20% 11.29.22
19% - 20% 2.23.23
24% 5.23.23</t>
        </r>
        <r>
          <rPr>
            <sz val="9"/>
            <color indexed="81"/>
            <rFont val="Tahoma"/>
            <family val="2"/>
          </rPr>
          <t xml:space="preserve">
</t>
        </r>
      </text>
    </comment>
    <comment ref="BL25" authorId="0" shapeId="0" xr:uid="{ABE4316D-040C-4B34-887D-57B76F3B4FD5}">
      <text>
        <r>
          <rPr>
            <b/>
            <sz val="9"/>
            <color indexed="81"/>
            <rFont val="Tahoma"/>
            <family val="2"/>
          </rPr>
          <t>16% -17% 8.24.23
16% -17% 11.28.23
18% 5.23.24</t>
        </r>
        <r>
          <rPr>
            <sz val="9"/>
            <color indexed="81"/>
            <rFont val="Tahoma"/>
            <family val="2"/>
          </rPr>
          <t xml:space="preserve">
</t>
        </r>
      </text>
    </comment>
    <comment ref="BM25" authorId="15" shapeId="0" xr:uid="{DC971349-8CAD-4503-B1B4-25F88EC63DD2}">
      <text>
        <t>[Threaded comment]
Your version of Excel allows you to read this threaded comment; however, any edits to it will get removed if the file is opened in a newer version of Excel. Learn more: https://go.microsoft.com/fwlink/?linkid=870924
Comment:
    16%-17%
Reply:
    16% - 17%</t>
      </text>
    </comment>
    <comment ref="BN25" authorId="6" shapeId="0" xr:uid="{9A66E3C7-2785-4BB9-8396-74097E3C2AFA}">
      <text>
        <r>
          <rPr>
            <b/>
            <sz val="9"/>
            <color indexed="81"/>
            <rFont val="Tahoma"/>
            <family val="2"/>
          </rPr>
          <t>MacMaster, Griffin J.:</t>
        </r>
        <r>
          <rPr>
            <sz val="9"/>
            <color indexed="81"/>
            <rFont val="Tahoma"/>
            <family val="2"/>
          </rPr>
          <t xml:space="preserve">
14-15%</t>
        </r>
      </text>
    </comment>
    <comment ref="AL33" authorId="16" shapeId="0" xr:uid="{0EED218C-A220-4530-B4C1-B13C6336B1F2}">
      <text>
        <t>[Threaded comment]
Your version of Excel allows you to read this threaded comment; however, any edits to it will get removed if the file is opened in a newer version of Excel. Learn more: https://go.microsoft.com/fwlink/?linkid=870924
Comment:
    19%</t>
      </text>
    </comment>
    <comment ref="AO33" authorId="17" shapeId="0" xr:uid="{6815FEE3-74E2-4769-BBEE-85A4525AC43A}">
      <text>
        <t>[Threaded comment]
Your version of Excel allows you to read this threaded comment; however, any edits to it will get removed if the file is opened in a newer version of Excel. Learn more: https://go.microsoft.com/fwlink/?linkid=870924
Comment:
    21%</t>
      </text>
    </comment>
    <comment ref="BM33" authorId="18" shapeId="0" xr:uid="{1668FF42-FAA3-4247-AE06-6A28434979A3}">
      <text>
        <t>[Threaded comment]
Your version of Excel allows you to read this threaded comment; however, any edits to it will get removed if the file is opened in a newer version of Excel. Learn more: https://go.microsoft.com/fwlink/?linkid=870924
Comment:
    20%
Reply:
    20%</t>
      </text>
    </comment>
    <comment ref="AQ109" authorId="6" shapeId="0" xr:uid="{5A31C4F9-5791-4505-B0C1-FCE252400065}">
      <text>
        <r>
          <rPr>
            <b/>
            <sz val="9"/>
            <color indexed="81"/>
            <rFont val="Tahoma"/>
            <family val="2"/>
          </rPr>
          <t>MacMaster, Griffin J.:</t>
        </r>
        <r>
          <rPr>
            <sz val="9"/>
            <color indexed="81"/>
            <rFont val="Tahoma"/>
            <family val="2"/>
          </rPr>
          <t xml:space="preserve">
down slightly y/y</t>
        </r>
      </text>
    </comment>
    <comment ref="BL115" authorId="19" shapeId="0" xr:uid="{16A88C10-C5B0-47F5-B117-ADA8545ABFCE}">
      <text>
        <t>[Threaded comment]
Your version of Excel allows you to read this threaded comment; however, any edits to it will get removed if the file is opened in a newer version of Excel. Learn more: https://go.microsoft.com/fwlink/?linkid=870924
Comment:
    2024 analyst day: $1Bn +36% yy</t>
      </text>
    </comment>
    <comment ref="AQ120" authorId="6" shapeId="0" xr:uid="{3A3B0A12-550D-4EDE-8B34-631265D80632}">
      <text>
        <r>
          <rPr>
            <b/>
            <sz val="9"/>
            <color indexed="81"/>
            <rFont val="Tahoma"/>
            <family val="2"/>
          </rPr>
          <t>MacMaster, Griffin J.:</t>
        </r>
        <r>
          <rPr>
            <sz val="9"/>
            <color indexed="81"/>
            <rFont val="Tahoma"/>
            <family val="2"/>
          </rPr>
          <t xml:space="preserve">
TPV ex-Bill pay ~1ppt h/w from winter storm</t>
        </r>
      </text>
    </comment>
    <comment ref="BJ123" authorId="0" shapeId="0" xr:uid="{4B2F7BB2-28EE-4388-A4D4-5A3BAB014194}">
      <text>
        <r>
          <rPr>
            <b/>
            <sz val="9"/>
            <color indexed="81"/>
            <rFont val="Tahoma"/>
            <family val="2"/>
          </rPr>
          <t>$765-$770 5.24.22</t>
        </r>
        <r>
          <rPr>
            <sz val="9"/>
            <color indexed="81"/>
            <rFont val="Tahoma"/>
            <family val="2"/>
          </rPr>
          <t xml:space="preserve">
</t>
        </r>
      </text>
    </comment>
    <comment ref="BL123" authorId="20" shapeId="0" xr:uid="{55EBA5DC-577B-41D0-88FD-2EA28E3251B1}">
      <text>
        <t>[Threaded comment]
Your version of Excel allows you to read this threaded comment; however, any edits to it will get removed if the file is opened in a newer version of Excel. Learn more: https://go.microsoft.com/fwlink/?linkid=870924
Comment:
    $1.1Bn +23% yy from '24 a-day</t>
      </text>
    </comment>
    <comment ref="BJ129" authorId="0" shapeId="0" xr:uid="{6573D767-8784-4433-A687-92C27C04AC16}">
      <text>
        <r>
          <rPr>
            <b/>
            <sz val="9"/>
            <color indexed="81"/>
            <rFont val="Tahoma"/>
            <family val="2"/>
          </rPr>
          <t>$765-$770 5.24.22</t>
        </r>
        <r>
          <rPr>
            <sz val="9"/>
            <color indexed="81"/>
            <rFont val="Tahoma"/>
            <family val="2"/>
          </rPr>
          <t xml:space="preserve">
</t>
        </r>
      </text>
    </comment>
    <comment ref="AL136" authorId="21" shapeId="0" xr:uid="{A57169FA-3497-45CB-8812-389AC64D3622}">
      <text>
        <t>[Threaded comment]
Your version of Excel allows you to read this threaded comment; however, any edits to it will get removed if the file is opened in a newer version of Excel. Learn more: https://go.microsoft.com/fwlink/?linkid=870924
Comment:
    -20%</t>
      </text>
    </comment>
    <comment ref="AM136" authorId="22" shapeId="0" xr:uid="{8638540D-8EA7-4427-8FDF-E7FB35575DB5}">
      <text>
        <t>[Threaded comment]
Your version of Excel allows you to read this threaded comment; however, any edits to it will get removed if the file is opened in a newer version of Excel. Learn more: https://go.microsoft.com/fwlink/?linkid=870924
Comment:
    Return to growth</t>
      </text>
    </comment>
    <comment ref="BM136" authorId="23" shapeId="0" xr:uid="{40AFE129-BAE1-4FD0-887A-CA45681B6662}">
      <text>
        <t>[Threaded comment]
Your version of Excel allows you to read this threaded comment; however, any edits to it will get removed if the file is opened in a newer version of Excel. Learn more: https://go.microsoft.com/fwlink/?linkid=870924
Comment:
    MSD growth</t>
      </text>
    </comment>
    <comment ref="BN136" authorId="6" shapeId="0" xr:uid="{975C37B3-F6BA-430E-B020-9545F1E4E626}">
      <text>
        <r>
          <rPr>
            <b/>
            <sz val="9"/>
            <color indexed="81"/>
            <rFont val="Tahoma"/>
            <family val="2"/>
          </rPr>
          <t>MacMaster, Griffin J.:</t>
        </r>
        <r>
          <rPr>
            <sz val="9"/>
            <color indexed="81"/>
            <rFont val="Tahoma"/>
            <family val="2"/>
          </rPr>
          <t xml:space="preserve">
LSD % for FY26</t>
        </r>
      </text>
    </comment>
    <comment ref="AA166" authorId="0" shapeId="0" xr:uid="{E933D749-A03E-49DC-B313-4EABEDBD8CE3}">
      <text>
        <r>
          <rPr>
            <b/>
            <sz val="9"/>
            <color indexed="81"/>
            <rFont val="Tahoma"/>
            <family val="2"/>
          </rPr>
          <t>1.575-1.58 2-14-22 pre-announce</t>
        </r>
      </text>
    </comment>
    <comment ref="BN167" authorId="6" shapeId="0" xr:uid="{0B1EE389-ACD8-46FA-AE10-9AB74D9226C7}">
      <text>
        <r>
          <rPr>
            <b/>
            <sz val="9"/>
            <color indexed="81"/>
            <rFont val="Tahoma"/>
            <family val="2"/>
          </rPr>
          <t>MacMaster, Griffin J.:</t>
        </r>
        <r>
          <rPr>
            <sz val="9"/>
            <color indexed="81"/>
            <rFont val="Tahoma"/>
            <family val="2"/>
          </rPr>
          <t xml:space="preserve">
8-9%</t>
        </r>
      </text>
    </comment>
    <comment ref="BJ171" authorId="0" shapeId="0" xr:uid="{8A516132-54B9-4F57-8E6E-2797A849949D}">
      <text>
        <r>
          <rPr>
            <b/>
            <sz val="9"/>
            <color indexed="81"/>
            <rFont val="Tahoma"/>
            <family val="2"/>
          </rPr>
          <t>$3.915-3.955 
2.24.22</t>
        </r>
        <r>
          <rPr>
            <sz val="9"/>
            <color indexed="81"/>
            <rFont val="Tahoma"/>
            <family val="2"/>
          </rPr>
          <t xml:space="preserve">
</t>
        </r>
      </text>
    </comment>
    <comment ref="BL171" authorId="0" shapeId="0" xr:uid="{426B2017-7944-41E9-AEAD-B7DED9A3CFAF}">
      <text>
        <r>
          <rPr>
            <b/>
            <sz val="9"/>
            <color indexed="81"/>
            <rFont val="Tahoma"/>
            <family val="2"/>
          </rPr>
          <t>$4,415-4,455
$4,440-4,455
5.23.24</t>
        </r>
      </text>
    </comment>
    <comment ref="BM171" authorId="24" shapeId="0" xr:uid="{7E7959DB-7626-46F3-A8D7-B3982E9A381A}">
      <text>
        <t>[Threaded comment]
Your version of Excel allows you to read this threaded comment; however, any edits to it will get removed if the file is opened in a newer version of Excel. Learn more: https://go.microsoft.com/fwlink/?linkid=870924
Comment:
    4,739-4,784
Reply:
    F3Q call: 4,868 - 4,876</t>
      </text>
    </comment>
    <comment ref="BN171" authorId="25" shapeId="0" xr:uid="{ACFFBAD8-B536-48F2-ABD7-7D34F9792583}">
      <text>
        <t>[Threaded comment]
Your version of Excel allows you to read this threaded comment; however, any edits to it will get removed if the file is opened in a newer version of Excel. Learn more: https://go.microsoft.com/fwlink/?linkid=870924
Comment:
    5305 - 5330 +8%</t>
      </text>
    </comment>
    <comment ref="BJ172" authorId="0" shapeId="0" xr:uid="{EBAB5097-A9BA-4C5A-BBD0-BAC9BBEDEE66}">
      <text>
        <r>
          <rPr>
            <b/>
            <sz val="9"/>
            <color indexed="81"/>
            <rFont val="Tahoma"/>
            <family val="2"/>
          </rPr>
          <t>10% - 11% 8.24.21
10% - 11% 11.18.21
10%  5.24.22</t>
        </r>
      </text>
    </comment>
    <comment ref="BK172" authorId="0" shapeId="0" xr:uid="{8F36B92D-A39E-4C20-8A6D-CF3ED22BCC20}">
      <text>
        <r>
          <rPr>
            <b/>
            <sz val="9"/>
            <color indexed="81"/>
            <rFont val="Tahoma"/>
            <family val="2"/>
          </rPr>
          <t>9% - 10%</t>
        </r>
        <r>
          <rPr>
            <sz val="9"/>
            <color indexed="81"/>
            <rFont val="Tahoma"/>
            <family val="2"/>
          </rPr>
          <t xml:space="preserve">
</t>
        </r>
        <r>
          <rPr>
            <b/>
            <sz val="9"/>
            <color indexed="81"/>
            <rFont val="Tahoma"/>
            <family val="2"/>
          </rPr>
          <t>9% - 10% 11.29.22
9% - 10% 2.23.23
5% - 6%  5.23.23</t>
        </r>
      </text>
    </comment>
    <comment ref="BL172" authorId="0" shapeId="0" xr:uid="{EC67AD33-7EAA-4EBD-B06A-2167E17F5A52}">
      <text>
        <r>
          <rPr>
            <b/>
            <sz val="9"/>
            <color indexed="81"/>
            <rFont val="Tahoma"/>
            <family val="2"/>
          </rPr>
          <t>7%-8%
7%-8% 11.28.23</t>
        </r>
      </text>
    </comment>
    <comment ref="BM172" authorId="26" shapeId="0" xr:uid="{38C8072E-E8A4-42DA-81CD-7B92811CF756}">
      <text>
        <t>[Threaded comment]
Your version of Excel allows you to read this threaded comment; however, any edits to it will get removed if the file is opened in a newer version of Excel. Learn more: https://go.microsoft.com/fwlink/?linkid=870924
Comment:
    7%-8%</t>
      </text>
    </comment>
    <comment ref="BN172" authorId="27" shapeId="0" xr:uid="{AD346423-03FE-4771-AE20-5B9833624CDA}">
      <text>
        <t>[Threaded comment]
Your version of Excel allows you to read this threaded comment; however, any edits to it will get removed if the file is opened in a newer version of Excel. Learn more: https://go.microsoft.com/fwlink/?linkid=870924
Comment:
    LT target to 6-10%</t>
      </text>
    </comment>
    <comment ref="BO172" authorId="28" shapeId="0" xr:uid="{2E22A630-B054-4BF8-BE07-7F08F73ABAD0}">
      <text>
        <t>[Threaded comment]
Your version of Excel allows you to read this threaded comment; however, any edits to it will get removed if the file is opened in a newer version of Excel. Learn more: https://go.microsoft.com/fwlink/?linkid=870924
Comment:
    LT target to 6-10%</t>
      </text>
    </comment>
    <comment ref="BP172" authorId="29" shapeId="0" xr:uid="{F830BB53-8A96-434E-BAB3-5AE114CEB432}">
      <text>
        <t>[Threaded comment]
Your version of Excel allows you to read this threaded comment; however, any edits to it will get removed if the file is opened in a newer version of Excel. Learn more: https://go.microsoft.com/fwlink/?linkid=870924
Comment:
    LT target to 6-10%</t>
      </text>
    </comment>
    <comment ref="AA178" authorId="0" shapeId="0" xr:uid="{00000000-0006-0000-0300-000018000000}">
      <text>
        <r>
          <rPr>
            <b/>
            <sz val="9"/>
            <color indexed="81"/>
            <rFont val="Tahoma"/>
            <family val="2"/>
          </rPr>
          <t>405-410 2-14-22 pre-announce</t>
        </r>
      </text>
    </comment>
    <comment ref="AM178" authorId="30" shapeId="0" xr:uid="{5979C2FA-6AA1-4079-B2F1-CE4A8960DD70}">
      <text>
        <t xml:space="preserve">[Threaded comment]
Your version of Excel allows you to read this threaded comment; however, any edits to it will get removed if the file is opened in a newer version of Excel. Learn more: https://go.microsoft.com/fwlink/?linkid=870924
Comment:
    The company expects a single digit decline in Consumer Group revenue due to some promotional changes in retail channels largely related to its desktop offering. </t>
      </text>
    </comment>
    <comment ref="BJ178" authorId="0" shapeId="0" xr:uid="{00000000-0006-0000-0300-000019000000}">
      <text>
        <r>
          <rPr>
            <b/>
            <sz val="9"/>
            <color indexed="81"/>
            <rFont val="Tahoma"/>
            <family val="2"/>
          </rPr>
          <t>$3.915-3.955 
2.24.22</t>
        </r>
        <r>
          <rPr>
            <sz val="9"/>
            <color indexed="81"/>
            <rFont val="Tahoma"/>
            <family val="2"/>
          </rPr>
          <t xml:space="preserve">
</t>
        </r>
      </text>
    </comment>
    <comment ref="BL178" authorId="0" shapeId="0" xr:uid="{9DBF0EAB-943B-42D8-A909-360105F5864F}">
      <text>
        <r>
          <rPr>
            <b/>
            <sz val="9"/>
            <color indexed="81"/>
            <rFont val="Tahoma"/>
            <family val="2"/>
          </rPr>
          <t>$4,415-4,455
$4,440-4,455
5.23.24</t>
        </r>
      </text>
    </comment>
    <comment ref="BM178" authorId="31" shapeId="0" xr:uid="{D534828D-F594-42CF-896B-D216F6B5E477}">
      <text>
        <t>[Threaded comment]
Your version of Excel allows you to read this threaded comment; however, any edits to it will get removed if the file is opened in a newer version of Excel. Learn more: https://go.microsoft.com/fwlink/?linkid=870924
Comment:
    4,739-4,784
Reply:
    F3Q call: 4,868 - 4,876</t>
      </text>
    </comment>
    <comment ref="BJ179" authorId="0" shapeId="0" xr:uid="{00000000-0006-0000-0300-00001A000000}">
      <text>
        <r>
          <rPr>
            <b/>
            <sz val="9"/>
            <color indexed="81"/>
            <rFont val="Tahoma"/>
            <family val="2"/>
          </rPr>
          <t>10% - 11% 8.24.21
10% - 11% 11.18.21
10%  5.24.22</t>
        </r>
      </text>
    </comment>
    <comment ref="BK179" authorId="0" shapeId="0" xr:uid="{00000000-0006-0000-0300-00001B000000}">
      <text>
        <r>
          <rPr>
            <b/>
            <sz val="9"/>
            <color indexed="81"/>
            <rFont val="Tahoma"/>
            <family val="2"/>
          </rPr>
          <t>9% - 10%</t>
        </r>
        <r>
          <rPr>
            <sz val="9"/>
            <color indexed="81"/>
            <rFont val="Tahoma"/>
            <family val="2"/>
          </rPr>
          <t xml:space="preserve">
</t>
        </r>
        <r>
          <rPr>
            <b/>
            <sz val="9"/>
            <color indexed="81"/>
            <rFont val="Tahoma"/>
            <family val="2"/>
          </rPr>
          <t>9% - 10% 11.29.22
9% - 10% 2.23.23
5% - 6%  5.23.23</t>
        </r>
      </text>
    </comment>
    <comment ref="BL179" authorId="0" shapeId="0" xr:uid="{68D29C20-D0A2-491C-9103-B64998065761}">
      <text>
        <r>
          <rPr>
            <b/>
            <sz val="9"/>
            <color indexed="81"/>
            <rFont val="Tahoma"/>
            <family val="2"/>
          </rPr>
          <t>7%-8%
7%-8% 11.28.23</t>
        </r>
      </text>
    </comment>
    <comment ref="BM179" authorId="32" shapeId="0" xr:uid="{AFE5D669-B67F-4E93-83A5-D0FDEB6D17FD}">
      <text>
        <t>[Threaded comment]
Your version of Excel allows you to read this threaded comment; however, any edits to it will get removed if the file is opened in a newer version of Excel. Learn more: https://go.microsoft.com/fwlink/?linkid=870924
Comment:
    7%-8%</t>
      </text>
    </comment>
    <comment ref="BN179" authorId="33" shapeId="0" xr:uid="{A636A5E2-5E00-4C0E-B931-5A2CF924C45D}">
      <text>
        <t>[Threaded comment]
Your version of Excel allows you to read this threaded comment; however, any edits to it will get removed if the file is opened in a newer version of Excel. Learn more: https://go.microsoft.com/fwlink/?linkid=870924
Comment:
    LT target to 6-10%</t>
      </text>
    </comment>
    <comment ref="BO179" authorId="34" shapeId="0" xr:uid="{53140970-4675-4C37-A43B-F1C917C3D2DD}">
      <text>
        <t>[Threaded comment]
Your version of Excel allows you to read this threaded comment; however, any edits to it will get removed if the file is opened in a newer version of Excel. Learn more: https://go.microsoft.com/fwlink/?linkid=870924
Comment:
    LT target to 6-10%</t>
      </text>
    </comment>
    <comment ref="BP179" authorId="35" shapeId="0" xr:uid="{5DF68385-453F-4CAF-B7F2-A1356657AE9F}">
      <text>
        <t>[Threaded comment]
Your version of Excel allows you to read this threaded comment; however, any edits to it will get removed if the file is opened in a newer version of Excel. Learn more: https://go.microsoft.com/fwlink/?linkid=870924
Comment:
    LT target to 6-10%</t>
      </text>
    </comment>
    <comment ref="BJ197" authorId="0" shapeId="0" xr:uid="{36332614-2AB0-4E9F-AD1F-0D921C7CCF98}">
      <text>
        <r>
          <rPr>
            <b/>
            <sz val="9"/>
            <color indexed="81"/>
            <rFont val="Tahoma"/>
            <family val="2"/>
          </rPr>
          <t>$1.345 - $1.38; 28% on FY run-rate 8.24.21
$1.54-1.565 11.18.21
$1.54-1.565 2.24.22
$1.795-1.805 5.24.22</t>
        </r>
      </text>
    </comment>
    <comment ref="BL197" authorId="0" shapeId="0" xr:uid="{3C7BA8F6-D8B0-4043-9B43-2279CC15C4B7}">
      <text>
        <r>
          <rPr>
            <b/>
            <sz val="9"/>
            <color indexed="81"/>
            <rFont val="Tahoma"/>
            <family val="2"/>
          </rPr>
          <t>$1,590 - $1,680
$1,660 - $1,665 5.23.24</t>
        </r>
      </text>
    </comment>
    <comment ref="BM197" authorId="36" shapeId="0" xr:uid="{2414FCFB-21E1-4FD7-9BE8-9A342A811638}">
      <text>
        <t>[Threaded comment]
Your version of Excel allows you to read this threaded comment; however, any edits to it will get removed if the file is opened in a newer version of Excel. Learn more: https://go.microsoft.com/fwlink/?linkid=870924
Comment:
    1,795-1,837
Reply:
    1,795 - 1,837
Reply:
    F3Q25 call: 2,185 - 2,191</t>
      </text>
    </comment>
    <comment ref="BN197" authorId="37" shapeId="0" xr:uid="{C6C6A562-A83E-4D22-97A1-7FE4B1464029}">
      <text>
        <t>[Threaded comment]
Your version of Excel allows you to read this threaded comment; however, any edits to it will get removed if the file is opened in a newer version of Excel. Learn more: https://go.microsoft.com/fwlink/?linkid=870924
Comment:
    2,423-2,475</t>
      </text>
    </comment>
    <comment ref="BK198" authorId="0" shapeId="0" xr:uid="{10516230-97C1-49B9-AAEB-EC8BE105F905}">
      <text>
        <r>
          <rPr>
            <b/>
            <sz val="9"/>
            <color indexed="81"/>
            <rFont val="Tahoma"/>
            <family val="2"/>
          </rPr>
          <t>10% - 15%</t>
        </r>
        <r>
          <rPr>
            <sz val="9"/>
            <color indexed="81"/>
            <rFont val="Tahoma"/>
            <family val="2"/>
          </rPr>
          <t xml:space="preserve">
</t>
        </r>
        <r>
          <rPr>
            <b/>
            <sz val="9"/>
            <color indexed="81"/>
            <rFont val="Tahoma"/>
            <family val="2"/>
          </rPr>
          <t>to update FY guidance on FQ1 call
(15%) - (10%) 11.29.22
(15%) - (10%) 2.23.23
(11%) 5.23.23</t>
        </r>
      </text>
    </comment>
    <comment ref="BL198" authorId="0" shapeId="0" xr:uid="{DFCC8C58-1219-4022-8D15-6B77E6DEE2FF}">
      <text>
        <r>
          <rPr>
            <b/>
            <sz val="9"/>
            <color indexed="81"/>
            <rFont val="Tahoma"/>
            <family val="2"/>
          </rPr>
          <t>(3)% - 3%]:
(3)% - 3%] 11.28.23
2% 5.23.24</t>
        </r>
        <r>
          <rPr>
            <sz val="9"/>
            <color indexed="81"/>
            <rFont val="Tahoma"/>
            <family val="2"/>
          </rPr>
          <t xml:space="preserve">
</t>
        </r>
      </text>
    </comment>
    <comment ref="BM198" authorId="38" shapeId="0" xr:uid="{D25FB385-7206-4B97-879B-154453939230}">
      <text>
        <t>[Threaded comment]
Your version of Excel allows you to read this threaded comment; however, any edits to it will get removed if the file is opened in a newer version of Excel. Learn more: https://go.microsoft.com/fwlink/?linkid=870924
Comment:
    5%-8%
Reply:
    5% - 8%</t>
      </text>
    </comment>
    <comment ref="BN198" authorId="39" shapeId="0" xr:uid="{A21FAAE2-5872-4942-A773-751EBCC3C1FA}">
      <text>
        <t>[Threaded comment]
Your version of Excel allows you to read this threaded comment; however, any edits to it will get removed if the file is opened in a newer version of Excel. Learn more: https://go.microsoft.com/fwlink/?linkid=870924
Comment:
    LT target to 10-15%</t>
      </text>
    </comment>
    <comment ref="BO198" authorId="40" shapeId="0" xr:uid="{C5F3D9B1-29FF-444C-A9B2-E63D6E278474}">
      <text>
        <t>[Threaded comment]
Your version of Excel allows you to read this threaded comment; however, any edits to it will get removed if the file is opened in a newer version of Excel. Learn more: https://go.microsoft.com/fwlink/?linkid=870924
Comment:
    LT target to 10-15%</t>
      </text>
    </comment>
    <comment ref="BP198" authorId="41" shapeId="0" xr:uid="{A25966EE-3E64-4C92-898F-9A468ED0A633}">
      <text>
        <t>[Threaded comment]
Your version of Excel allows you to read this threaded comment; however, any edits to it will get removed if the file is opened in a newer version of Excel. Learn more: https://go.microsoft.com/fwlink/?linkid=870924
Comment:
    LT target to 10-15%</t>
      </text>
    </comment>
    <comment ref="W202" authorId="12" shapeId="0" xr:uid="{00000000-0006-0000-0300-00000E000000}">
      <text>
        <r>
          <rPr>
            <b/>
            <sz val="9"/>
            <color indexed="81"/>
            <rFont val="Tahoma"/>
            <family val="2"/>
          </rPr>
          <t>Williams, Austin R.:</t>
        </r>
        <r>
          <rPr>
            <sz val="9"/>
            <color indexed="81"/>
            <rFont val="Tahoma"/>
            <family val="2"/>
          </rPr>
          <t xml:space="preserve">
CK closed on Dec 3. Estimating 118M</t>
        </r>
      </text>
    </comment>
    <comment ref="AA202" authorId="0" shapeId="0" xr:uid="{00000000-0006-0000-0300-00000F000000}">
      <text>
        <r>
          <rPr>
            <b/>
            <sz val="9"/>
            <color indexed="81"/>
            <rFont val="Tahoma"/>
            <family val="2"/>
          </rPr>
          <t>435-440 2-14-22 pre-announce</t>
        </r>
      </text>
    </comment>
    <comment ref="BJ202" authorId="0" shapeId="0" xr:uid="{00000000-0006-0000-0300-000010000000}">
      <text>
        <r>
          <rPr>
            <b/>
            <sz val="9"/>
            <color indexed="81"/>
            <rFont val="Tahoma"/>
            <family val="2"/>
          </rPr>
          <t>$1.345 - $1.38; 28% on FY run-rate 8.24.21
$1.54-1.565 11.18.21
$1.54-1.565 2.24.22
$1.795-1.805 5.24.22</t>
        </r>
      </text>
    </comment>
    <comment ref="AA207" authorId="0" shapeId="0" xr:uid="{00000000-0006-0000-0300-00001C000000}">
      <text>
        <r>
          <rPr>
            <b/>
            <sz val="9"/>
            <color indexed="81"/>
            <rFont val="Tahoma"/>
            <family val="2"/>
          </rPr>
          <t>230-235 2-14-22 pre-announce</t>
        </r>
      </text>
    </comment>
    <comment ref="BJ207" authorId="0" shapeId="0" xr:uid="{00000000-0006-0000-0300-00001D000000}">
      <text>
        <r>
          <rPr>
            <b/>
            <sz val="9"/>
            <color indexed="81"/>
            <rFont val="Tahoma"/>
            <family val="2"/>
          </rPr>
          <t>$520-$525
2.24.22</t>
        </r>
      </text>
    </comment>
    <comment ref="BL207" authorId="0" shapeId="0" xr:uid="{A08F4F52-2939-4A8D-8CF5-9974F96B7019}">
      <text>
        <r>
          <rPr>
            <b/>
            <sz val="9"/>
            <color indexed="81"/>
            <rFont val="Tahoma"/>
            <family val="2"/>
          </rPr>
          <t>$580-585
$597-599 5.23.24</t>
        </r>
      </text>
    </comment>
    <comment ref="BM207" authorId="42" shapeId="0" xr:uid="{7EF61AD1-042C-441D-91B3-9CEE0DD81A8A}">
      <text>
        <t>[Threaded comment]
Your version of Excel allows you to read this threaded comment; however, any edits to it will get removed if the file is opened in a newer version of Excel. Learn more: https://go.microsoft.com/fwlink/?linkid=870924
Comment:
    615-620</t>
      </text>
    </comment>
    <comment ref="BJ208" authorId="0" shapeId="0" xr:uid="{00000000-0006-0000-0300-00001E000000}">
      <text>
        <r>
          <rPr>
            <b/>
            <sz val="9"/>
            <color indexed="81"/>
            <rFont val="Tahoma"/>
            <family val="2"/>
          </rPr>
          <t>1% - 2% 8.24.21
1% - 2% 11.18.21
4% - 5% 5.24.22</t>
        </r>
      </text>
    </comment>
    <comment ref="BK208" authorId="0" shapeId="0" xr:uid="{00000000-0006-0000-0300-00001F000000}">
      <text>
        <r>
          <rPr>
            <b/>
            <sz val="9"/>
            <color indexed="81"/>
            <rFont val="Tahoma"/>
            <family val="2"/>
          </rPr>
          <t>3%</t>
        </r>
        <r>
          <rPr>
            <sz val="9"/>
            <color indexed="81"/>
            <rFont val="Tahoma"/>
            <family val="2"/>
          </rPr>
          <t xml:space="preserve">
</t>
        </r>
        <r>
          <rPr>
            <b/>
            <sz val="9"/>
            <color indexed="81"/>
            <rFont val="Tahoma"/>
            <family val="2"/>
          </rPr>
          <t>3% 11.29.22
3% 2.23.23
2-3% 5.23.23</t>
        </r>
      </text>
    </comment>
    <comment ref="BL208" authorId="0" shapeId="0" xr:uid="{A560740A-4DD6-4DBA-BD4E-2CAF7BC85D69}">
      <text>
        <r>
          <rPr>
            <b/>
            <sz val="9"/>
            <color indexed="81"/>
            <rFont val="Tahoma"/>
            <family val="2"/>
          </rPr>
          <t>3%-4%
3%-4% 11.28.23
6%-7% 5.23.24</t>
        </r>
      </text>
    </comment>
    <comment ref="BM208" authorId="43" shapeId="0" xr:uid="{06582D8E-DB87-4680-AAF7-FB4AFE003576}">
      <text>
        <t>[Threaded comment]
Your version of Excel allows you to read this threaded comment; however, any edits to it will get removed if the file is opened in a newer version of Excel. Learn more: https://go.microsoft.com/fwlink/?linkid=870924
Comment:
    3%-4%</t>
      </text>
    </comment>
    <comment ref="BJ257" authorId="0" shapeId="0" xr:uid="{FA7AEB03-0DC7-474F-84C4-D0ABBE6FBD47}">
      <text>
        <r>
          <rPr>
            <b/>
            <sz val="9"/>
            <color indexed="81"/>
            <rFont val="Tahoma"/>
            <family val="2"/>
          </rPr>
          <t>$765-$770 5.24.22</t>
        </r>
        <r>
          <rPr>
            <sz val="9"/>
            <color indexed="81"/>
            <rFont val="Tahoma"/>
            <family val="2"/>
          </rPr>
          <t xml:space="preserve">
</t>
        </r>
      </text>
    </comment>
    <comment ref="A272" authorId="44" shapeId="0" xr:uid="{05293575-0710-43DE-B2B3-C58C9640F8AA}">
      <text>
        <t xml:space="preserve">[Threaded comment]
Your version of Excel allows you to read this threaded comment; however, any edits to it will get removed if the file is opened in a newer version of Excel. Learn more: https://go.microsoft.com/fwlink/?linkid=870924
Comment:
    Includes QBO, Standalone Services (customers who subscribed to a service such as Payroll, GoPayment, and Time outside their QBO experience), and Mailchimp paying customers. </t>
      </text>
    </comment>
    <comment ref="A283" authorId="45" shapeId="0" xr:uid="{799BD6E1-7D52-4B1E-9F5E-E972590914EA}">
      <text>
        <t xml:space="preserve">[Threaded comment]
Your version of Excel allows you to read this threaded comment; however, any edits to it will get removed if the file is opened in a newer version of Excel. Learn more: https://go.microsoft.com/fwlink/?linkid=870924
Comment:
    US QBO includes Advanced, Plus, Essentials, and Simple Start (excludes QuickBooks Self-Employed and Solopreneur) </t>
      </text>
    </comment>
    <comment ref="A309" authorId="46" shapeId="0" xr:uid="{CB4394E0-EF0B-4CA4-8C93-2C08E683D493}">
      <text>
        <t>[Threaded comment]
Your version of Excel allows you to read this threaded comment; however, any edits to it will get removed if the file is opened in a newer version of Excel. Learn more: https://go.microsoft.com/fwlink/?linkid=870924
Comment:
    2024 analyst day “Intuit Enterprise Suite ARPC is based on early customer data and is not indicative of future results as we scale the customer base. IES ARPC is based on contracts signed. Customers with multiple entities have one IES contract but would have had separate QBO subscriptions for each entity“</t>
      </text>
    </comment>
    <comment ref="A336" authorId="47" shapeId="0" xr:uid="{4CA8040C-A833-4416-99AD-96318D5E56C5}">
      <text>
        <t xml:space="preserve">[Threaded comment]
Your version of Excel allows you to read this threaded comment; however, any edits to it will get removed if the file is opened in a newer version of Excel. Learn more: https://go.microsoft.com/fwlink/?linkid=870924
Comment:
    Includes QuickBooks Term Loan, QuickBooks Line of Credit, and Marketplace loans. FY24 QuickBooks Term Loan and Line of Credit Loan financing at $2.0B, +35% YoY. </t>
      </text>
    </comment>
    <comment ref="BJ376" authorId="0" shapeId="0" xr:uid="{1CA057AD-E645-4AA1-A8F2-9E98985E8533}">
      <text>
        <r>
          <rPr>
            <b/>
            <sz val="9"/>
            <color indexed="81"/>
            <rFont val="Tahoma"/>
            <family val="2"/>
          </rPr>
          <t>$765-$770 5.24.22</t>
        </r>
        <r>
          <rPr>
            <sz val="9"/>
            <color indexed="81"/>
            <rFont val="Tahoma"/>
            <family val="2"/>
          </rPr>
          <t xml:space="preserve">
</t>
        </r>
      </text>
    </comment>
    <comment ref="BJ382" authorId="0" shapeId="0" xr:uid="{32488841-02EC-4AC2-A286-9DC7989E409D}">
      <text>
        <r>
          <rPr>
            <b/>
            <sz val="9"/>
            <color indexed="81"/>
            <rFont val="Tahoma"/>
            <family val="2"/>
          </rPr>
          <t>$765-$770 5.24.22</t>
        </r>
        <r>
          <rPr>
            <sz val="9"/>
            <color indexed="81"/>
            <rFont val="Tahoma"/>
            <family val="2"/>
          </rPr>
          <t xml:space="preserve">
</t>
        </r>
      </text>
    </comment>
    <comment ref="BJ388" authorId="0" shapeId="0" xr:uid="{00000000-0006-0000-0300-000016000000}">
      <text>
        <r>
          <rPr>
            <b/>
            <sz val="9"/>
            <color indexed="81"/>
            <rFont val="Tahoma"/>
            <family val="2"/>
          </rPr>
          <t>$765-$770 5.24.22</t>
        </r>
        <r>
          <rPr>
            <sz val="9"/>
            <color indexed="81"/>
            <rFont val="Tahoma"/>
            <family val="2"/>
          </rPr>
          <t xml:space="preserve">
</t>
        </r>
      </text>
    </comment>
    <comment ref="AF389" authorId="0" shapeId="0" xr:uid="{00000000-0006-0000-0300-000017000000}">
      <text>
        <r>
          <rPr>
            <b/>
            <sz val="9"/>
            <color indexed="81"/>
            <rFont val="Tahoma"/>
            <family val="2"/>
          </rPr>
          <t xml:space="preserve"> Mail chimp revenue growth in the quarter accelerated several points from low teens growth last quarter</t>
        </r>
        <r>
          <rPr>
            <sz val="9"/>
            <color indexed="81"/>
            <rFont val="Tahoma"/>
            <family val="2"/>
          </rPr>
          <t xml:space="preserve">
</t>
        </r>
      </text>
    </comment>
    <comment ref="AG389" authorId="0" shapeId="0" xr:uid="{FECA4A22-52F2-48AC-A102-982869C96442}">
      <text>
        <r>
          <rPr>
            <b/>
            <sz val="9"/>
            <color indexed="81"/>
            <rFont val="Tahoma"/>
            <family val="2"/>
          </rPr>
          <t>grew mid-teens</t>
        </r>
      </text>
    </comment>
    <comment ref="R473" authorId="12" shapeId="0" xr:uid="{00000000-0006-0000-0300-000021000000}">
      <text>
        <r>
          <rPr>
            <b/>
            <sz val="9"/>
            <color indexed="81"/>
            <rFont val="Tahoma"/>
            <family val="2"/>
          </rPr>
          <t>Williams, Austin R.:</t>
        </r>
        <r>
          <rPr>
            <sz val="9"/>
            <color indexed="81"/>
            <rFont val="Tahoma"/>
            <family val="2"/>
          </rPr>
          <t xml:space="preserve">
why aren't these calc'ed on the average?</t>
        </r>
      </text>
    </comment>
    <comment ref="V473" authorId="12" shapeId="0" xr:uid="{00000000-0006-0000-0300-000022000000}">
      <text>
        <r>
          <rPr>
            <b/>
            <sz val="9"/>
            <color indexed="81"/>
            <rFont val="Tahoma"/>
            <family val="2"/>
          </rPr>
          <t>Williams, Austin R.:</t>
        </r>
        <r>
          <rPr>
            <sz val="9"/>
            <color indexed="81"/>
            <rFont val="Tahoma"/>
            <family val="2"/>
          </rPr>
          <t xml:space="preserve">
why aren't these calc'ed on the average?</t>
        </r>
      </text>
    </comment>
    <comment ref="U492" authorId="48" shapeId="0" xr:uid="{00000000-0006-0000-0300-000023000000}">
      <text>
        <r>
          <rPr>
            <b/>
            <sz val="9"/>
            <color indexed="81"/>
            <rFont val="Tahoma"/>
            <family val="2"/>
          </rPr>
          <t>Verkhovski, Allan:</t>
        </r>
        <r>
          <rPr>
            <sz val="9"/>
            <color indexed="81"/>
            <rFont val="Tahoma"/>
            <family val="2"/>
          </rPr>
          <t xml:space="preserve">
36% growth in new subscribers at &gt;$1,000 ARPCs</t>
        </r>
      </text>
    </comment>
    <comment ref="U494" authorId="48" shapeId="0" xr:uid="{00000000-0006-0000-0300-000024000000}">
      <text>
        <r>
          <rPr>
            <b/>
            <sz val="9"/>
            <color indexed="81"/>
            <rFont val="Tahoma"/>
            <family val="2"/>
          </rPr>
          <t>Verkhovski, Allan:</t>
        </r>
        <r>
          <rPr>
            <sz val="9"/>
            <color indexed="81"/>
            <rFont val="Tahoma"/>
            <family val="2"/>
          </rPr>
          <t xml:space="preserve">
24% decline in new subscribers at &lt;$200 ARPCs</t>
        </r>
      </text>
    </comment>
    <comment ref="A568" authorId="12" shapeId="0" xr:uid="{00000000-0006-0000-0300-000020000000}">
      <text>
        <r>
          <rPr>
            <b/>
            <sz val="9"/>
            <color indexed="81"/>
            <rFont val="Tahoma"/>
            <family val="2"/>
          </rPr>
          <t>Williams, Austin R.:</t>
        </r>
        <r>
          <rPr>
            <sz val="9"/>
            <color indexed="81"/>
            <rFont val="Tahoma"/>
            <family val="2"/>
          </rPr>
          <t xml:space="preserve">
Calculated using prior year's qurterly mix multiplied by full year consumer revenue forecast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tc={775E4A4C-1150-4130-B76D-7A587291F078}</author>
  </authors>
  <commentList>
    <comment ref="BM36" authorId="0" shapeId="0" xr:uid="{775E4A4C-1150-4130-B76D-7A587291F078}">
      <text>
        <t>[Threaded comment]
Your version of Excel allows you to read this threaded comment; however, any edits to it will get removed if the file is opened in a newer version of Excel. Learn more: https://go.microsoft.com/fwlink/?linkid=870924
Comment:
    175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Verkhovski, Allan</author>
  </authors>
  <commentList>
    <comment ref="P4" authorId="0" shapeId="0" xr:uid="{00000000-0006-0000-0E00-000001000000}">
      <text>
        <r>
          <rPr>
            <b/>
            <sz val="9"/>
            <color indexed="81"/>
            <rFont val="Tahoma"/>
            <family val="2"/>
          </rPr>
          <t>Verkhovski, Allan:</t>
        </r>
        <r>
          <rPr>
            <sz val="9"/>
            <color indexed="81"/>
            <rFont val="Tahoma"/>
            <family val="2"/>
          </rPr>
          <t xml:space="preserve">
This guidance given on Q1 Earnings: November 19, 2018</t>
        </r>
      </text>
    </comment>
    <comment ref="O10" authorId="0" shapeId="0" xr:uid="{00000000-0006-0000-0E00-000002000000}">
      <text>
        <r>
          <rPr>
            <b/>
            <sz val="9"/>
            <color indexed="81"/>
            <rFont val="Tahoma"/>
            <family val="2"/>
          </rPr>
          <t>Verkhovski, Allan:</t>
        </r>
        <r>
          <rPr>
            <sz val="9"/>
            <color indexed="81"/>
            <rFont val="Tahoma"/>
            <family val="2"/>
          </rPr>
          <t xml:space="preserve">
ASC 605</t>
        </r>
      </text>
    </comment>
    <comment ref="P10" authorId="0" shapeId="0" xr:uid="{00000000-0006-0000-0E00-000003000000}">
      <text>
        <r>
          <rPr>
            <b/>
            <sz val="9"/>
            <color indexed="81"/>
            <rFont val="Tahoma"/>
            <family val="2"/>
          </rPr>
          <t>Verkhovski, Allan:</t>
        </r>
        <r>
          <rPr>
            <sz val="9"/>
            <color indexed="81"/>
            <rFont val="Tahoma"/>
            <family val="2"/>
          </rPr>
          <t xml:space="preserve">
ASC 605</t>
        </r>
      </text>
    </comment>
    <comment ref="R10" authorId="0" shapeId="0" xr:uid="{00000000-0006-0000-0E00-000004000000}">
      <text>
        <r>
          <rPr>
            <b/>
            <sz val="9"/>
            <color indexed="81"/>
            <rFont val="Tahoma"/>
            <family val="2"/>
          </rPr>
          <t>Verkhovski, Allan:</t>
        </r>
        <r>
          <rPr>
            <sz val="9"/>
            <color indexed="81"/>
            <rFont val="Tahoma"/>
            <family val="2"/>
          </rPr>
          <t xml:space="preserve">
ASC 605</t>
        </r>
      </text>
    </comment>
    <comment ref="S10" authorId="0" shapeId="0" xr:uid="{00000000-0006-0000-0E00-000005000000}">
      <text>
        <r>
          <rPr>
            <b/>
            <sz val="9"/>
            <color indexed="81"/>
            <rFont val="Tahoma"/>
            <family val="2"/>
          </rPr>
          <t>Verkhovski, Allan:</t>
        </r>
        <r>
          <rPr>
            <sz val="9"/>
            <color indexed="81"/>
            <rFont val="Tahoma"/>
            <family val="2"/>
          </rPr>
          <t xml:space="preserve">
ASC 605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<sst xmlns="http://schemas.openxmlformats.org/spreadsheetml/2006/main" count="1635" uniqueCount="736">
  <si>
    <t>Rating</t>
  </si>
  <si>
    <t>EBIT</t>
  </si>
  <si>
    <t>Gross Profit</t>
  </si>
  <si>
    <t>Net Income</t>
  </si>
  <si>
    <t>Goodwill</t>
  </si>
  <si>
    <t>Accounts payable</t>
  </si>
  <si>
    <t>Long-term debt</t>
  </si>
  <si>
    <t>Other assets</t>
  </si>
  <si>
    <t>Total Current Liabilities</t>
  </si>
  <si>
    <t>Total Current Assets</t>
  </si>
  <si>
    <t>Income Taxes</t>
  </si>
  <si>
    <t>Operating Income</t>
  </si>
  <si>
    <t>Short-term debt</t>
  </si>
  <si>
    <t>Cash and cash equivalents</t>
  </si>
  <si>
    <t>Other liabilities</t>
  </si>
  <si>
    <t>EPS</t>
  </si>
  <si>
    <t>Revenue</t>
  </si>
  <si>
    <t>Working Capital Ratios</t>
  </si>
  <si>
    <t>Wells Fargo Securities, LLC</t>
  </si>
  <si>
    <t>Ticker</t>
  </si>
  <si>
    <t>This sheet contains FactSet XML data for use with this workbook's =FDS codes.  Modifying the worksheet's contents may damage the workbook's =FDS functionality.</t>
  </si>
  <si>
    <t>FY15</t>
  </si>
  <si>
    <t>P/E</t>
  </si>
  <si>
    <t>Gross margin</t>
  </si>
  <si>
    <t>FY16</t>
  </si>
  <si>
    <t>Price</t>
  </si>
  <si>
    <t>FY17</t>
  </si>
  <si>
    <t>FY18</t>
  </si>
  <si>
    <t>Source for all data FactSet &amp; Wells Fargo Securities, LLC</t>
  </si>
  <si>
    <t>michael.turrin@wellsfargo.com</t>
  </si>
  <si>
    <t>General and administrative</t>
  </si>
  <si>
    <t>Total Revenue</t>
  </si>
  <si>
    <t>Total Cost of Revenue</t>
  </si>
  <si>
    <t>Deferred revenue</t>
  </si>
  <si>
    <t>Accounts receivable</t>
  </si>
  <si>
    <t>Retained earnings</t>
  </si>
  <si>
    <t>Treasury stock, at cost</t>
  </si>
  <si>
    <t>Research and development</t>
  </si>
  <si>
    <t>GAAP EPS - Diluted</t>
  </si>
  <si>
    <t>Total cost of revenue</t>
  </si>
  <si>
    <t>Research and development expenses</t>
  </si>
  <si>
    <t>Net income</t>
  </si>
  <si>
    <t>Purchases of property and equipment</t>
  </si>
  <si>
    <t>Michael Turrin (628) 629-7565</t>
  </si>
  <si>
    <t>Michael Turrin</t>
  </si>
  <si>
    <t>Other current liabilities</t>
  </si>
  <si>
    <t>Income taxes payable</t>
  </si>
  <si>
    <t>FCF</t>
  </si>
  <si>
    <t>EV/FCF</t>
  </si>
  <si>
    <t>ADP</t>
  </si>
  <si>
    <t>INTU</t>
  </si>
  <si>
    <t>FCF Margin</t>
  </si>
  <si>
    <t>Total assets</t>
  </si>
  <si>
    <t>Cost of product revenue</t>
  </si>
  <si>
    <t>Cost of service and other revenue</t>
  </si>
  <si>
    <t>Amortization of acquired technology</t>
  </si>
  <si>
    <t>Selling and marketing</t>
  </si>
  <si>
    <t>Amortization of other acquired intangible assets</t>
  </si>
  <si>
    <t>FY19</t>
  </si>
  <si>
    <t>Cost of revenue</t>
  </si>
  <si>
    <t>Loss on sale of long-lived assets</t>
  </si>
  <si>
    <t>_DM|LnkdItm|_bdm.E70757C79F5C4AF9BBB88BC0CA8EBCF1.edm|_bdm.FastTrackBookmark.12_2_2019_9_29_52_PM.edm</t>
  </si>
  <si>
    <t>QuickBooks Online Accounting</t>
  </si>
  <si>
    <t>Online Services</t>
  </si>
  <si>
    <t>QuickBooks Desktop Accounting</t>
  </si>
  <si>
    <t>Desktop Services and Supplies</t>
  </si>
  <si>
    <t>Product Revenue</t>
  </si>
  <si>
    <t>Small Business Group Online Ecosystem</t>
  </si>
  <si>
    <t>QuickBooks Online Subscribers</t>
  </si>
  <si>
    <t>Online Payroll Subscribers</t>
  </si>
  <si>
    <t>Online Active Payments Customers</t>
  </si>
  <si>
    <t>Online Payments Charge Volume (in $M)</t>
  </si>
  <si>
    <t>Small Business Online Ecosystem ARR (in $M)</t>
  </si>
  <si>
    <t xml:space="preserve">Small Business Online Ecosystem ASP </t>
  </si>
  <si>
    <t>Small Business Group Desktop Ecosystem</t>
  </si>
  <si>
    <t>QuickBooks Desktop Unit Sales</t>
  </si>
  <si>
    <t>QuickBooks Desktop Subscribers</t>
  </si>
  <si>
    <t>Desktop Payroll Customers</t>
  </si>
  <si>
    <t>Desktop Active Payments Customers</t>
  </si>
  <si>
    <t>Desktop Payments Charge Volume (in $M)</t>
  </si>
  <si>
    <t>Total QuickBooks Paying Customers</t>
  </si>
  <si>
    <t>Federal U.S. Turbo Tax Units (in millions)</t>
  </si>
  <si>
    <t>Desktop Units</t>
  </si>
  <si>
    <t>Web Units</t>
  </si>
  <si>
    <t>Free File Alliance</t>
  </si>
  <si>
    <t>Canada TurboTax Units (millions)</t>
  </si>
  <si>
    <t>Source: Company data, Wells Fargo Securities, LLC estimates</t>
  </si>
  <si>
    <t>Depreciation</t>
  </si>
  <si>
    <t>Amortization of acquired intangible assets</t>
  </si>
  <si>
    <t>Non-cash operating lease cost</t>
  </si>
  <si>
    <t>Share-based compensation expense</t>
  </si>
  <si>
    <t>Deferred income taxes</t>
  </si>
  <si>
    <t>Other</t>
  </si>
  <si>
    <t>Prepaid expenses and other assets</t>
  </si>
  <si>
    <t>Account payable</t>
  </si>
  <si>
    <t>Accrued compensation and related liabilities</t>
  </si>
  <si>
    <t>Operating lease liabilities</t>
  </si>
  <si>
    <t>Purchases of corporate and customer fund investments</t>
  </si>
  <si>
    <t>Sales of corporate and customer fund investments</t>
  </si>
  <si>
    <t>Maturities of corporate and customer fund investments</t>
  </si>
  <si>
    <t>Originations of term loans to small businesses</t>
  </si>
  <si>
    <t>Principal repayments of term loans from small businesses</t>
  </si>
  <si>
    <t>Repayment of debt</t>
  </si>
  <si>
    <t>Proceeds from issuance of stock under employee stock plans</t>
  </si>
  <si>
    <t>Payments for employee taxes withheld upon vesting of restricted stock units</t>
  </si>
  <si>
    <t>Cash paid for purchases of treasury stock</t>
  </si>
  <si>
    <t>Dividends and dividend rights paid</t>
  </si>
  <si>
    <t>Net change in customer fund deposits</t>
  </si>
  <si>
    <t>Investments</t>
  </si>
  <si>
    <t>Accounts receivable, net</t>
  </si>
  <si>
    <t>Income taxes receivable</t>
  </si>
  <si>
    <t>Prepaid expenses and other</t>
  </si>
  <si>
    <t>Long-term investments</t>
  </si>
  <si>
    <t>Property and equipment, net</t>
  </si>
  <si>
    <t>Operating lease right-of-use assets</t>
  </si>
  <si>
    <t>Acquired intangible assets, net</t>
  </si>
  <si>
    <t>Customer fund deposits</t>
  </si>
  <si>
    <t>Current liabilities before customer fund deposits</t>
  </si>
  <si>
    <t>Current assets before funds held for customers</t>
  </si>
  <si>
    <t>Funds held for customers</t>
  </si>
  <si>
    <t>Long-term deferred income tax liabilities</t>
  </si>
  <si>
    <t>Preferred stock</t>
  </si>
  <si>
    <t>Common stock and additional paid-in capital</t>
  </si>
  <si>
    <t>Accumulated other comprehensive loss</t>
  </si>
  <si>
    <t>Acquisitions of businesses, net of cash acquired</t>
  </si>
  <si>
    <t>Proceeds from borrowings under unsecured revolving credit facility</t>
  </si>
  <si>
    <t>Repayments on borrowings under unsecured revolving credit facility</t>
  </si>
  <si>
    <t>Proceeds from borrowings under secured revolving credit facility</t>
  </si>
  <si>
    <t>Capitalization of internal use software</t>
  </si>
  <si>
    <t>QBO-US customers</t>
  </si>
  <si>
    <t>QBO non-US customers</t>
  </si>
  <si>
    <t>TAM in core countries</t>
  </si>
  <si>
    <t>Traffic</t>
  </si>
  <si>
    <t>Gross New Subscribers</t>
  </si>
  <si>
    <t>Avg Retention</t>
  </si>
  <si>
    <t>TAM- US</t>
  </si>
  <si>
    <t>TAM-UK</t>
  </si>
  <si>
    <t>TAM-Canada</t>
  </si>
  <si>
    <t>TAM-Australia</t>
  </si>
  <si>
    <t>Serviceable Addressable Market (“SAM”)</t>
  </si>
  <si>
    <t>Total IRS</t>
  </si>
  <si>
    <t>CPA/Pro</t>
  </si>
  <si>
    <t>Tax Stores</t>
  </si>
  <si>
    <t>other DIY</t>
  </si>
  <si>
    <t>Manual</t>
  </si>
  <si>
    <t>France</t>
  </si>
  <si>
    <t>QBO SUBS (in M)</t>
  </si>
  <si>
    <t>Current assets of discontinued operations</t>
  </si>
  <si>
    <t>Borrowings under credit facility</t>
  </si>
  <si>
    <t>Tax benefit from share-based compensation plans</t>
  </si>
  <si>
    <t>Pre-tax gain on sale of discontinued operations</t>
  </si>
  <si>
    <t>Goodwill and intangible asset impairment charges</t>
  </si>
  <si>
    <t>Net Cash</t>
  </si>
  <si>
    <t>% of total revenue</t>
  </si>
  <si>
    <t>Mean</t>
  </si>
  <si>
    <t>SAM- SMALL BUSINESS &amp; SELF-EMPLOYED (in M)</t>
  </si>
  <si>
    <t>U.S.</t>
  </si>
  <si>
    <t>U.K</t>
  </si>
  <si>
    <t>Canada</t>
  </si>
  <si>
    <t>Australia</t>
  </si>
  <si>
    <t>Brazil</t>
  </si>
  <si>
    <t>India</t>
  </si>
  <si>
    <t>RoW</t>
  </si>
  <si>
    <t>Column</t>
  </si>
  <si>
    <t>Wells Fargo</t>
  </si>
  <si>
    <t>Market</t>
  </si>
  <si>
    <t>Enterprise</t>
  </si>
  <si>
    <t>Revenue Growth</t>
  </si>
  <si>
    <t>EV/Revenue</t>
  </si>
  <si>
    <t>Rule of 40</t>
  </si>
  <si>
    <t>Company</t>
  </si>
  <si>
    <t>Target</t>
  </si>
  <si>
    <t>Value ($M)</t>
  </si>
  <si>
    <t>PAYC-USA</t>
  </si>
  <si>
    <t>SAP-DE</t>
  </si>
  <si>
    <t>Median</t>
  </si>
  <si>
    <t>Source: FactSet, Wells Fargo Securities, LLC</t>
  </si>
  <si>
    <t>Intuit, INC. (INTU) - Peer Comps</t>
  </si>
  <si>
    <t>MSFT</t>
  </si>
  <si>
    <t>ADBE</t>
  </si>
  <si>
    <t>ADSK</t>
  </si>
  <si>
    <t>Y/Y Growth</t>
  </si>
  <si>
    <t>Overweight</t>
  </si>
  <si>
    <t>Equal Weight</t>
  </si>
  <si>
    <t>Non-GAAP EPS</t>
  </si>
  <si>
    <t>Austin Williams</t>
  </si>
  <si>
    <t>+1 (628) 629-7572</t>
  </si>
  <si>
    <t>austin.r.williams@wellsfargo.com</t>
  </si>
  <si>
    <t>Financial Model</t>
  </si>
  <si>
    <t>Equity Research</t>
  </si>
  <si>
    <t>Software</t>
  </si>
  <si>
    <t>Senior Analyst</t>
  </si>
  <si>
    <t>+1 (628) 629-7565</t>
  </si>
  <si>
    <t>Associate Analyst</t>
  </si>
  <si>
    <t>Intuit</t>
  </si>
  <si>
    <t>Large Cap Software</t>
  </si>
  <si>
    <r>
      <rPr>
        <b/>
        <i/>
        <sz val="8"/>
        <rFont val="Calibri"/>
        <family val="2"/>
        <scheme val="minor"/>
      </rPr>
      <t>* All values are consensus, including INTU</t>
    </r>
    <r>
      <rPr>
        <i/>
        <sz val="8"/>
        <rFont val="Calibri"/>
        <family val="2"/>
        <scheme val="minor"/>
      </rPr>
      <t xml:space="preserve">.  Note: MSFT, ADBE, SAP, ADSK are covered by Wells Fargo Analyst Philip Winslow </t>
    </r>
  </si>
  <si>
    <t>Guidance Performance</t>
  </si>
  <si>
    <t>Quarterly Revenue Guidance</t>
  </si>
  <si>
    <t>Quarterly (Low End)</t>
  </si>
  <si>
    <t>Quarterly (High End)</t>
  </si>
  <si>
    <t>Actual Results</t>
  </si>
  <si>
    <t>$ Above/(Below) High End of Guidance</t>
  </si>
  <si>
    <t>% Above/(Below) High End of Guidance</t>
  </si>
  <si>
    <t>Annual Revenue Guidance</t>
  </si>
  <si>
    <t>Annual (Low End)</t>
  </si>
  <si>
    <t>Annual (High End)</t>
  </si>
  <si>
    <t>Annual EBITDA Guidance</t>
  </si>
  <si>
    <t>Fiscal 2015</t>
  </si>
  <si>
    <t>Fiscal 2016</t>
  </si>
  <si>
    <t>Fiscal 2017</t>
  </si>
  <si>
    <t>Fiscal 2018</t>
  </si>
  <si>
    <t>Fiscal 2019</t>
  </si>
  <si>
    <t>Fiscal 2020</t>
  </si>
  <si>
    <t>Update 2Q</t>
  </si>
  <si>
    <t>Quarterly EPS Guidance</t>
  </si>
  <si>
    <t>Free Cash Flow</t>
  </si>
  <si>
    <t>FY20</t>
  </si>
  <si>
    <t>Proceeds from issuance of long-term debt, net of discount and issuance costs</t>
  </si>
  <si>
    <t>Origination of loans held for sale</t>
  </si>
  <si>
    <t>Sale and principal payments of loans held for sale</t>
  </si>
  <si>
    <t>QuickBooks Advanced Customers</t>
  </si>
  <si>
    <t>Growth in QuickBooks Subscribers By ARPC</t>
  </si>
  <si>
    <t>&gt; $1,000 ARPC</t>
  </si>
  <si>
    <t>$200 - $1,000 ARPC</t>
  </si>
  <si>
    <t>&lt; $200 ARPC</t>
  </si>
  <si>
    <t>Registered Users (millions)</t>
  </si>
  <si>
    <t>MAUs (millions)</t>
  </si>
  <si>
    <t>Average Revenue per Conversion (dollars)</t>
  </si>
  <si>
    <t>Important Disclaimers:</t>
  </si>
  <si>
    <t>Intuit Inc.</t>
  </si>
  <si>
    <t>Intuit, Inc.</t>
  </si>
  <si>
    <t>Income Statement</t>
  </si>
  <si>
    <t>($ in millions, unless otherwise stated)</t>
  </si>
  <si>
    <t>Non-GAAP Income Statement</t>
  </si>
  <si>
    <t>Fiscal 2021</t>
  </si>
  <si>
    <t>Fiscal 2022</t>
  </si>
  <si>
    <t>Fiscal 2023</t>
  </si>
  <si>
    <t>Fiscal 2024</t>
  </si>
  <si>
    <t>Fiscal 2025</t>
  </si>
  <si>
    <t>Consensus revenue</t>
  </si>
  <si>
    <t>2021/1F</t>
  </si>
  <si>
    <t>2021/2F</t>
  </si>
  <si>
    <t>2021/3F</t>
  </si>
  <si>
    <t>2021/4F</t>
  </si>
  <si>
    <t>2019/1F</t>
  </si>
  <si>
    <t>2019/2F</t>
  </si>
  <si>
    <t>2019/3F</t>
  </si>
  <si>
    <t>2019/4F</t>
  </si>
  <si>
    <t>2020/1F</t>
  </si>
  <si>
    <t>2020/2F</t>
  </si>
  <si>
    <t>2020/3F</t>
  </si>
  <si>
    <t>2020/4F</t>
  </si>
  <si>
    <t>2022/1F</t>
  </si>
  <si>
    <t>2022/2F</t>
  </si>
  <si>
    <t>2022/3F</t>
  </si>
  <si>
    <t>2022/4F</t>
  </si>
  <si>
    <t>2023/1F</t>
  </si>
  <si>
    <t>2023/2F</t>
  </si>
  <si>
    <t>2023/3F</t>
  </si>
  <si>
    <t>2023/4F</t>
  </si>
  <si>
    <t>2024/1F</t>
  </si>
  <si>
    <t>2024/2F</t>
  </si>
  <si>
    <t>2024/3F</t>
  </si>
  <si>
    <t>2024/4F</t>
  </si>
  <si>
    <t>2025/1F</t>
  </si>
  <si>
    <t>2025/2F</t>
  </si>
  <si>
    <t>2025/3F</t>
  </si>
  <si>
    <t>2025/4F</t>
  </si>
  <si>
    <t>Service and Other Revenue</t>
  </si>
  <si>
    <t>Cost of Product Revenue</t>
  </si>
  <si>
    <t>Cost of Service and Other Revenue</t>
  </si>
  <si>
    <t>Operating Expenses</t>
  </si>
  <si>
    <t>Total Operating Expenses</t>
  </si>
  <si>
    <t>Non-GAAP Reconciliation</t>
  </si>
  <si>
    <t>Adjustments</t>
  </si>
  <si>
    <t>Share-based compensation</t>
  </si>
  <si>
    <t>OpEx</t>
  </si>
  <si>
    <t>Amortization of acquired intangibles</t>
  </si>
  <si>
    <t>Acquisition related matters</t>
  </si>
  <si>
    <t>GAAP Gross Profit</t>
  </si>
  <si>
    <t>GAAP Operating Income</t>
  </si>
  <si>
    <t>Consensus GAAP operating income</t>
  </si>
  <si>
    <t>GAAP Net income</t>
  </si>
  <si>
    <t>GAAP EPS</t>
  </si>
  <si>
    <t>Consensus GAAP EPS</t>
  </si>
  <si>
    <t>GAAP diluted shares outstanding</t>
  </si>
  <si>
    <t>Gross profit</t>
  </si>
  <si>
    <t>General and administrative expenses</t>
  </si>
  <si>
    <t>Total operating expenses</t>
  </si>
  <si>
    <t>Operating income</t>
  </si>
  <si>
    <t>Q/Q Growth</t>
  </si>
  <si>
    <t>Margin Analysis</t>
  </si>
  <si>
    <t>Operating margin</t>
  </si>
  <si>
    <t>Product gross margin</t>
  </si>
  <si>
    <t>Service and other gross margin</t>
  </si>
  <si>
    <t>GAAP Inputs</t>
  </si>
  <si>
    <t>Operating expenses</t>
  </si>
  <si>
    <t>Sales and marketing</t>
  </si>
  <si>
    <t>Interest expense</t>
  </si>
  <si>
    <t>Other income (expense), net</t>
  </si>
  <si>
    <t>Pre-tax income</t>
  </si>
  <si>
    <t>Tax rate (GAAP)</t>
  </si>
  <si>
    <t>Net income (loss)</t>
  </si>
  <si>
    <t>Non-GAAP GAAP EPS - Diluted</t>
  </si>
  <si>
    <t>GAAP Diluted shares outstanding</t>
  </si>
  <si>
    <t>Non-GAAP Diluted shares outstanding</t>
  </si>
  <si>
    <t>Net Income from discontinued ops</t>
  </si>
  <si>
    <t>Net Income (loss)</t>
  </si>
  <si>
    <t>GAAP to non-GAAP reconciliation</t>
  </si>
  <si>
    <t>(US$ in millions, unless otherwise stated)</t>
  </si>
  <si>
    <t>Total SBC in operating expenses</t>
  </si>
  <si>
    <t>Total non-cash stock-based compensation</t>
  </si>
  <si>
    <t>Total acquisition related matters in operating expenses</t>
  </si>
  <si>
    <t xml:space="preserve">Total acquisition related matters </t>
  </si>
  <si>
    <t>Non-GAAP other expense (income) adjustments</t>
  </si>
  <si>
    <t>Professional Fees for Business Combinations</t>
  </si>
  <si>
    <t>Net (gain) loss on debt securities and other investments</t>
  </si>
  <si>
    <t>Income tax effects and adjustments</t>
  </si>
  <si>
    <t>Consensus non-GAAP EPS</t>
  </si>
  <si>
    <t>Non-GAAP diluted shares outstanding</t>
  </si>
  <si>
    <t>Sales and marketing expenses</t>
  </si>
  <si>
    <t>Consensus non-GAAP operating income</t>
  </si>
  <si>
    <t>Consensus gross profit</t>
  </si>
  <si>
    <t>Source: Company data, FactSet, Wells Fargo Securities, LLC estimates</t>
  </si>
  <si>
    <t>Balance Sheet</t>
  </si>
  <si>
    <t>Current assets</t>
  </si>
  <si>
    <t>Current liabilities</t>
  </si>
  <si>
    <t>Long term liabilities</t>
  </si>
  <si>
    <t>Total liabilities</t>
  </si>
  <si>
    <t>Stockholders' equity and minority interest</t>
  </si>
  <si>
    <t>Total stockholders' equity</t>
  </si>
  <si>
    <t>Total liabilities and shareholders' equity</t>
  </si>
  <si>
    <t>Check</t>
  </si>
  <si>
    <t>COGS</t>
  </si>
  <si>
    <t>R&amp;D</t>
  </si>
  <si>
    <t>DSOs</t>
  </si>
  <si>
    <t>Consensus FCF</t>
  </si>
  <si>
    <t>Statement of Cash Flows</t>
  </si>
  <si>
    <t>INPUTS</t>
  </si>
  <si>
    <t>CASH FLOWS FROM OPERATING ACTIVITIES:</t>
  </si>
  <si>
    <t>Changes to assets and liabilities</t>
  </si>
  <si>
    <t>Net cash provided by operating activities</t>
  </si>
  <si>
    <t>CASH FLOWS FROM INVESTING ACTIVITIES:</t>
  </si>
  <si>
    <t>Capitalization of software development costs</t>
  </si>
  <si>
    <t>Net cash used in investing activities</t>
  </si>
  <si>
    <t>CASH FLOWS FROM FINANCING ACTIVITIES:</t>
  </si>
  <si>
    <t>Net cash provided by financing activities</t>
  </si>
  <si>
    <t>Foreign currency exchange rate impact on cash</t>
  </si>
  <si>
    <t>Net (decrease) increase in cash and equivalents</t>
  </si>
  <si>
    <t>Beginning balance cash and cash equivalents</t>
  </si>
  <si>
    <t>Ending balance cash and cash equivalents</t>
  </si>
  <si>
    <t>Supplemental Cash Flow Schedule</t>
  </si>
  <si>
    <t>Cash paid for interest</t>
  </si>
  <si>
    <t>Cash paid for income taxes</t>
  </si>
  <si>
    <t>FCF per share</t>
  </si>
  <si>
    <t>Free cash flow margin</t>
  </si>
  <si>
    <t>Capital Spending</t>
  </si>
  <si>
    <t>Capex</t>
  </si>
  <si>
    <t>Depreciation as % of rev</t>
  </si>
  <si>
    <t>Other liabilities, current</t>
  </si>
  <si>
    <t>Other liabilities, noncurrent</t>
  </si>
  <si>
    <t>Deferred income taxes as % of pre-tax income</t>
  </si>
  <si>
    <t>Prepaid expenses and other current assets</t>
  </si>
  <si>
    <t>Other long-term liabilities</t>
  </si>
  <si>
    <t>Revenue Build</t>
  </si>
  <si>
    <t>NA</t>
  </si>
  <si>
    <t>Revenue by Type</t>
  </si>
  <si>
    <t xml:space="preserve">Y/Y Growth </t>
  </si>
  <si>
    <t>Delta</t>
  </si>
  <si>
    <t>% of total Desktop Ecosystem</t>
  </si>
  <si>
    <t>% of Consumer Revenue</t>
  </si>
  <si>
    <t>% of ProConnect Revenue</t>
  </si>
  <si>
    <t>% of SB Revenue</t>
  </si>
  <si>
    <t>Implied filings per desktop unit</t>
  </si>
  <si>
    <t>U.S. Tax Industry Landscape (U.S. tax industry trends (in M))</t>
  </si>
  <si>
    <t>Turbo Tax</t>
  </si>
  <si>
    <t>Turbo Tax Y/Y</t>
  </si>
  <si>
    <t>Total IRS Y/Y</t>
  </si>
  <si>
    <t>% of mix DIY</t>
  </si>
  <si>
    <t>TurboTax share of DIY</t>
  </si>
  <si>
    <t>Implied U.S. TurboTax Revenue</t>
  </si>
  <si>
    <t>Average Revenue Per TurboTax Return</t>
  </si>
  <si>
    <t>Actual U.S. TurboTax Revenue</t>
  </si>
  <si>
    <t>Revenue Seasonality</t>
  </si>
  <si>
    <t>Net Adds</t>
  </si>
  <si>
    <t>Consumer Revenue Build (TurboTax)</t>
  </si>
  <si>
    <t>TurboTax + Mint</t>
  </si>
  <si>
    <t>UK</t>
  </si>
  <si>
    <t>% mix</t>
  </si>
  <si>
    <t>Total ARPC</t>
  </si>
  <si>
    <t>ARPC, US Customers</t>
  </si>
  <si>
    <t>ARPC, non-US Customers</t>
  </si>
  <si>
    <t>Total QBO Customers</t>
  </si>
  <si>
    <t>QBO Average Revenue Per Subscriber</t>
  </si>
  <si>
    <t>Worldwide TAM</t>
  </si>
  <si>
    <t>Net cash per share</t>
  </si>
  <si>
    <t>Adjusted EBITDA</t>
  </si>
  <si>
    <t>Jan-21</t>
  </si>
  <si>
    <t>Dividends</t>
  </si>
  <si>
    <t>Dividends per share</t>
  </si>
  <si>
    <t>Apr-21</t>
  </si>
  <si>
    <t>Jul-21</t>
  </si>
  <si>
    <t>FY21</t>
  </si>
  <si>
    <t>FY22</t>
  </si>
  <si>
    <t>Oct-21</t>
  </si>
  <si>
    <t>Wells Fargo Software Team</t>
  </si>
  <si>
    <t>Mailchimp</t>
  </si>
  <si>
    <t>Jan-22</t>
  </si>
  <si>
    <t>Apr-22</t>
  </si>
  <si>
    <t>Consensus</t>
  </si>
  <si>
    <t>FY23</t>
  </si>
  <si>
    <t>FY24</t>
  </si>
  <si>
    <t>Jul-22</t>
  </si>
  <si>
    <t>Oct-22</t>
  </si>
  <si>
    <t>SBC as % of rev</t>
  </si>
  <si>
    <t>Jan-23</t>
  </si>
  <si>
    <t>Online Ecosystem</t>
  </si>
  <si>
    <t>Apr-23</t>
  </si>
  <si>
    <t>Jul-23</t>
  </si>
  <si>
    <t>Fiscal 2026</t>
  </si>
  <si>
    <t>Apr-26E</t>
  </si>
  <si>
    <t>Jul-26E</t>
  </si>
  <si>
    <t>FY26E</t>
  </si>
  <si>
    <t>Oct-23</t>
  </si>
  <si>
    <t>Jan-24</t>
  </si>
  <si>
    <t>total online payments 20%</t>
  </si>
  <si>
    <t>Apr-24</t>
  </si>
  <si>
    <t>2026/2F</t>
  </si>
  <si>
    <t>2026/3F</t>
  </si>
  <si>
    <t>2026/4F</t>
  </si>
  <si>
    <t>+RC[-1]+1*R[-5]C</t>
  </si>
  <si>
    <t>Jul-24</t>
  </si>
  <si>
    <t>Goodwill impairment charge/ Restructuring</t>
  </si>
  <si>
    <t>Sep-21E</t>
  </si>
  <si>
    <t>Dec-21E</t>
  </si>
  <si>
    <t>Mar-22E</t>
  </si>
  <si>
    <t>Jun-22E</t>
  </si>
  <si>
    <t>Sep-22E</t>
  </si>
  <si>
    <t>Dec-22E</t>
  </si>
  <si>
    <t>Mar-23E</t>
  </si>
  <si>
    <t>Jun-23E</t>
  </si>
  <si>
    <t>Sep-23E</t>
  </si>
  <si>
    <t>Dec-23E</t>
  </si>
  <si>
    <t>NR</t>
  </si>
  <si>
    <t>2021E</t>
  </si>
  <si>
    <t>2020E</t>
  </si>
  <si>
    <t>Paycom Software, Inc.</t>
  </si>
  <si>
    <t>Microsoft Corporation</t>
  </si>
  <si>
    <t>Adobe Inc.</t>
  </si>
  <si>
    <t>Autodesk, Inc.</t>
  </si>
  <si>
    <t>Automatic Data Processing, Inc.</t>
  </si>
  <si>
    <t>SAP SE</t>
  </si>
  <si>
    <t>Oct-24</t>
  </si>
  <si>
    <t>Apr-27E</t>
  </si>
  <si>
    <t>Jul-27E</t>
  </si>
  <si>
    <t>Jan-27E</t>
  </si>
  <si>
    <t>Oct-26E</t>
  </si>
  <si>
    <t>Fiscal 2027</t>
  </si>
  <si>
    <t>FY27E</t>
  </si>
  <si>
    <t>margin expansion</t>
  </si>
  <si>
    <t>invoice reminders</t>
  </si>
  <si>
    <t>accounting automation</t>
  </si>
  <si>
    <t>mid-mkt 89Bn TAM</t>
  </si>
  <si>
    <t>QBOA 28%</t>
  </si>
  <si>
    <t>online ecosystem 20% &amp; QBOA +42%</t>
  </si>
  <si>
    <t>desktop LSD '25 &amp; growth in FQ2</t>
  </si>
  <si>
    <t>ck PERSON 8, cards 8</t>
  </si>
  <si>
    <t>2027/2F</t>
  </si>
  <si>
    <t>2027/3F</t>
  </si>
  <si>
    <t>2027/4F</t>
  </si>
  <si>
    <t>2027/1F</t>
  </si>
  <si>
    <t>Fiscal 2028</t>
  </si>
  <si>
    <t>Jan-28E</t>
  </si>
  <si>
    <t>Apr-28E</t>
  </si>
  <si>
    <t>Jul-28E</t>
  </si>
  <si>
    <t>Oct-27E</t>
  </si>
  <si>
    <t>FY28E</t>
  </si>
  <si>
    <t>Jan-25</t>
  </si>
  <si>
    <t>Consumer Revenue Forecast (TurboTax) HC</t>
  </si>
  <si>
    <t xml:space="preserve">      y/y growth</t>
  </si>
  <si>
    <t>Calculated Consumer y/y growth</t>
  </si>
  <si>
    <t>Revenue seasonality</t>
  </si>
  <si>
    <t>Small Business Online Build (QuickBooks) OLD</t>
  </si>
  <si>
    <t>QBOA Customers</t>
  </si>
  <si>
    <t xml:space="preserve"> q/q $ adds</t>
  </si>
  <si>
    <t xml:space="preserve"> q/q % growth</t>
  </si>
  <si>
    <t xml:space="preserve"> y/y $ adds</t>
  </si>
  <si>
    <t xml:space="preserve"> y/y % growth</t>
  </si>
  <si>
    <t>Total Online Ecosytem</t>
  </si>
  <si>
    <t>Non-QBOA Customers</t>
  </si>
  <si>
    <t>ARPC (accounting)</t>
  </si>
  <si>
    <t>ARPC (accounting + services)</t>
  </si>
  <si>
    <t>ARPC (services)</t>
  </si>
  <si>
    <t>Implied revenue ($ in Mn)</t>
  </si>
  <si>
    <t>Revenue mix</t>
  </si>
  <si>
    <t>Customer mix</t>
  </si>
  <si>
    <t>Payroll</t>
  </si>
  <si>
    <t>Money</t>
  </si>
  <si>
    <t>Small Business Destop Build (QuickBooks)</t>
  </si>
  <si>
    <t>Total Desktop Ecosytem</t>
  </si>
  <si>
    <t>Desktop Services &amp; Supplies</t>
  </si>
  <si>
    <t>Apr-25</t>
  </si>
  <si>
    <t>2028/1F</t>
  </si>
  <si>
    <t>2028/2F</t>
  </si>
  <si>
    <t>2028/3F</t>
  </si>
  <si>
    <t>2028/4F</t>
  </si>
  <si>
    <t>Y/Y Growth (%)</t>
  </si>
  <si>
    <t>Y/Y Net New ($)</t>
  </si>
  <si>
    <t>Q/Q Growth (%)</t>
  </si>
  <si>
    <t>Q/Q Net New ($)</t>
  </si>
  <si>
    <t>Midmarket Y/Y Growth</t>
  </si>
  <si>
    <t>Small Business Y/Y Growth</t>
  </si>
  <si>
    <t>Y/Y Net New ($) - payments</t>
  </si>
  <si>
    <t>Y/Y Net New ($) - capital</t>
  </si>
  <si>
    <t>TurboTax Population (in millions)</t>
  </si>
  <si>
    <t>IRS Population (in millions)</t>
  </si>
  <si>
    <t>Multiplier</t>
  </si>
  <si>
    <t>Contribution to Growth Algorithm</t>
  </si>
  <si>
    <t>TurboTax Share</t>
  </si>
  <si>
    <t>Paying Average Revenue Per Customer</t>
  </si>
  <si>
    <t>Total Average Revenue Per Customer</t>
  </si>
  <si>
    <t>TurboTax Free Filer Population</t>
  </si>
  <si>
    <t>TurboTax Free Filer Mix</t>
  </si>
  <si>
    <t>TurboTax DIY Revenue</t>
  </si>
  <si>
    <t>% of TurboTax</t>
  </si>
  <si>
    <t>Returns (in millions)</t>
  </si>
  <si>
    <t>% of Returns</t>
  </si>
  <si>
    <t>TurboTax Live Revenue</t>
  </si>
  <si>
    <t>Average Revenue Per Return (DIY)</t>
  </si>
  <si>
    <t>Customer Growth</t>
  </si>
  <si>
    <t>Average Revenue Per Return (Live)</t>
  </si>
  <si>
    <t>Consumer Revenue Growth</t>
  </si>
  <si>
    <t>Actual Y/Y Growth</t>
  </si>
  <si>
    <t>Credit Karma members that filed with TurboTax</t>
  </si>
  <si>
    <t>Credit Karma members who filed with TurboTax used TurboTax Live</t>
  </si>
  <si>
    <t>Higher Intuit ARPC for customers using both Credit Karma and TurboTax vs only TurboTax</t>
  </si>
  <si>
    <t>Credit Karma Money revenue from higher refund deposits</t>
  </si>
  <si>
    <t>Higher login rate for members with a seamless experience</t>
  </si>
  <si>
    <t>Online Payroll Revenue</t>
  </si>
  <si>
    <t>Online Total Payment Volume</t>
  </si>
  <si>
    <t>Mailchimp Revenue</t>
  </si>
  <si>
    <t>Higher Ecosystem Attach Rates for QB Live Customers vs Rest of QBO Base</t>
  </si>
  <si>
    <t>Tota US workers Paid Annually (in millions)</t>
  </si>
  <si>
    <t>Online Money Portfolio Revenue</t>
  </si>
  <si>
    <t>QBO and Mailchimp Shared Customers Y/Y Growth</t>
  </si>
  <si>
    <t>QBO Advanced Retention</t>
  </si>
  <si>
    <t>Higher Ecosystem Average Revenue Per Customer for QBO Advanced Customers vs Rest of Base</t>
  </si>
  <si>
    <t>Estimated Average Revenue Per Customer for IES Contracts</t>
  </si>
  <si>
    <t>Intuit Enterprise Suite</t>
  </si>
  <si>
    <t>QuickBooks Online</t>
  </si>
  <si>
    <t>Workforce Solutions</t>
  </si>
  <si>
    <t>Money Portfolio</t>
  </si>
  <si>
    <t>Quickbooks Live</t>
  </si>
  <si>
    <t>US QBO Customers ex-Self-Employed</t>
  </si>
  <si>
    <t>QB Live Subscriber Y/Y Growth</t>
  </si>
  <si>
    <t>Online Paying Customers</t>
  </si>
  <si>
    <t>QuickBooks Solopreneur Gross New Subscribers Q/Q Growth</t>
  </si>
  <si>
    <t>Online Ecosystem Revenue from QBO Advanced Customers</t>
  </si>
  <si>
    <t>Higher Payroll Attach vs Rest of Base</t>
  </si>
  <si>
    <t>Higher Payments Attach vs Rest of Base</t>
  </si>
  <si>
    <t>Retention</t>
  </si>
  <si>
    <t>QuickBooks Desktop</t>
  </si>
  <si>
    <t>Desktop Customers</t>
  </si>
  <si>
    <t>Non-Enterprise Desktop Customers</t>
  </si>
  <si>
    <t>Enterprise Desktop Customers</t>
  </si>
  <si>
    <t>% of Desktop Customers</t>
  </si>
  <si>
    <t>% of GBSG Customers</t>
  </si>
  <si>
    <t>% of New Desktop Customers</t>
  </si>
  <si>
    <t>Desktop Average Revenue Per Customer</t>
  </si>
  <si>
    <t>Enterprise Desktop Accounting Revenue</t>
  </si>
  <si>
    <t>% of Desktop Accounting Revenue</t>
  </si>
  <si>
    <t>Renewal Rate</t>
  </si>
  <si>
    <t>QBO Advanced Customers</t>
  </si>
  <si>
    <t>Ecosystem Average Revenue Per Customer for QB Live vs Rest of Base</t>
  </si>
  <si>
    <t>Bill Pay Payment Volume</t>
  </si>
  <si>
    <t>Payment Volume (Online &amp; Desktop) ex Bill Pay</t>
  </si>
  <si>
    <t>Term Loan and Line of Credit Financing</t>
  </si>
  <si>
    <t>QuickBooks Capital Financing</t>
  </si>
  <si>
    <t>Marketplace Loans</t>
  </si>
  <si>
    <t>Payments, Invoicing, Banking, and Capital in Priority Markets</t>
  </si>
  <si>
    <t>Increase in L6M</t>
  </si>
  <si>
    <t>Invoices Managed in QuickBooks</t>
  </si>
  <si>
    <t>Bills Recorded in QBO</t>
  </si>
  <si>
    <t>Canada and UK Subscribers Y/Y Growth</t>
  </si>
  <si>
    <t>Midmarket Customers Using Highest-End Payroll SKU Y/Y Growth</t>
  </si>
  <si>
    <t>Increase in Mix on Higher-End SKUs</t>
  </si>
  <si>
    <t>New Mailchimp Midmarket Paid Subscribers Y/Y Growth</t>
  </si>
  <si>
    <t>% of Paid Customers Internationally</t>
  </si>
  <si>
    <t>Online International</t>
  </si>
  <si>
    <t>QBO Advanced Customers International</t>
  </si>
  <si>
    <t>Midmarket Businesses in Priority Markets</t>
  </si>
  <si>
    <t>Midmarket Customers Using Core QBO &amp; Desktop SKUs</t>
  </si>
  <si>
    <t>% Penetration</t>
  </si>
  <si>
    <t>Global Solutions Group Metrics (QuickBooks)</t>
  </si>
  <si>
    <t>Long-Term Guide</t>
  </si>
  <si>
    <t>Annual Revenue Growth</t>
  </si>
  <si>
    <t>Online Paying Average Revenue Per Customer</t>
  </si>
  <si>
    <t>15-20%</t>
  </si>
  <si>
    <t>5-10%</t>
  </si>
  <si>
    <t>10-20%</t>
  </si>
  <si>
    <t>Growth in Higher Income Tax Filers</t>
  </si>
  <si>
    <t>Growth in Full Service Customers</t>
  </si>
  <si>
    <t>Assisted</t>
  </si>
  <si>
    <t>DIY/Other</t>
  </si>
  <si>
    <t>% of IRS Population</t>
  </si>
  <si>
    <t>TurboTax Online Retention</t>
  </si>
  <si>
    <t>Growth in Total Returns</t>
  </si>
  <si>
    <t>Credit Karma Metrics</t>
  </si>
  <si>
    <t>Members</t>
  </si>
  <si>
    <t>Average Monthly Active Users (MAUs)</t>
  </si>
  <si>
    <t>Frequency (Average Visits Per Month, Per MAU)</t>
  </si>
  <si>
    <t>Average Revenue Per MAU</t>
  </si>
  <si>
    <t>Consumer Tax Market Opportunity — Assisted</t>
  </si>
  <si>
    <t>Consumer Tax Market Opportunity — DIY</t>
  </si>
  <si>
    <t>Business Tax Market Opportunity (Partnerships, LLCs, S-Corporations, C-Corporations in the US)</t>
  </si>
  <si>
    <t>Financial Products Opportunity (Credit Cards, Personal Loans, Auto Loans, Home Loans, Home Equity Loans, Auto Insurance)</t>
  </si>
  <si>
    <t>Money Market Opportunity (Fast Access to Money &amp; Tax Refunds, Savings, Spend Management)</t>
  </si>
  <si>
    <t>Low Income Customers Lost</t>
  </si>
  <si>
    <t>Business Tax Starts</t>
  </si>
  <si>
    <t>6-10%</t>
  </si>
  <si>
    <t>TurboTax Live</t>
  </si>
  <si>
    <t>10-15%</t>
  </si>
  <si>
    <t>Accounting Services Market Opportunity</t>
  </si>
  <si>
    <t>Market Opportunity — Marketing</t>
  </si>
  <si>
    <t>Market Opportunity — Payments</t>
  </si>
  <si>
    <t>Market Opportunity — Capital</t>
  </si>
  <si>
    <t>Market Opportunity — Workforce</t>
  </si>
  <si>
    <t>Market Opportunity — Bill Pay</t>
  </si>
  <si>
    <t>Market Opportunity — Banking</t>
  </si>
  <si>
    <t>Market Opportunity — Financial Mgmt System: DIY</t>
  </si>
  <si>
    <t>Market Opportunity — Financial Mgmt System: Assisted</t>
  </si>
  <si>
    <t>QuickBooks Online Ecosystem ARPC</t>
  </si>
  <si>
    <t>Average Revenue Per Return (Live) — Reported</t>
  </si>
  <si>
    <t>ProTax Metrics</t>
  </si>
  <si>
    <t>ProTax Average Revenue Per Customer (ARPC)</t>
  </si>
  <si>
    <t>US SMB Payroll</t>
  </si>
  <si>
    <t>Mailchimp Customers</t>
  </si>
  <si>
    <t>QBO Standalone Services ARPC</t>
  </si>
  <si>
    <t>QBO Standalone Services Customers</t>
  </si>
  <si>
    <t>Online International Paying Customers</t>
  </si>
  <si>
    <t>8-12%</t>
  </si>
  <si>
    <t>IRS Returns</t>
  </si>
  <si>
    <t>Total TurboTax Share of IRS</t>
  </si>
  <si>
    <t>Revenue Per Return</t>
  </si>
  <si>
    <t>0-2%</t>
  </si>
  <si>
    <t>2-4%</t>
  </si>
  <si>
    <t>6%+</t>
  </si>
  <si>
    <t>Credit Karma Guarantee (Credit Cards &amp; Perfonal Loans)</t>
  </si>
  <si>
    <t>Karma Drive (Supports Usage-Based Auto Insurance)</t>
  </si>
  <si>
    <t>TurboTax and Credit Karma</t>
  </si>
  <si>
    <t>Credit Karma Money (Checking and Savings Accounts)</t>
  </si>
  <si>
    <t>20-25%</t>
  </si>
  <si>
    <t>Average MAUs</t>
  </si>
  <si>
    <t>4-6%</t>
  </si>
  <si>
    <t>6-8%</t>
  </si>
  <si>
    <t>QuickBooks Online Ex Mailchimp &amp; Standalone Services Average Revenue Per Customer</t>
  </si>
  <si>
    <t>4%+</t>
  </si>
  <si>
    <t>DIY Share</t>
  </si>
  <si>
    <t>1-2%</t>
  </si>
  <si>
    <t>Total Customers</t>
  </si>
  <si>
    <t>Online Revenue Growth</t>
  </si>
  <si>
    <t>&gt;30%</t>
  </si>
  <si>
    <t>QuickBooks Online Ecosystem Subscribers</t>
  </si>
  <si>
    <t>Y/Y Growth ($)</t>
  </si>
  <si>
    <t>% of Online Ecosystem</t>
  </si>
  <si>
    <t>% of QBO Services</t>
  </si>
  <si>
    <t>% of QBO Advanced Revenue</t>
  </si>
  <si>
    <t>Q/Q Growth ($)</t>
  </si>
  <si>
    <t>% of QBO Accounting</t>
  </si>
  <si>
    <t>N/A</t>
  </si>
  <si>
    <t>QBO Ecosystem Advanced Revenue</t>
  </si>
  <si>
    <t>QBO Ecosystem Advanced ARPC ($)</t>
  </si>
  <si>
    <t>QBO Accounting Advanced List Price ($)</t>
  </si>
  <si>
    <t>QBO Accounting Advanced Revenue</t>
  </si>
  <si>
    <t>QBO Ecosystem Non-Advanced Revenue</t>
  </si>
  <si>
    <t>QBO Accounting Non-Advanced Revenue</t>
  </si>
  <si>
    <t>QBO Services Non-Advanced Revenue</t>
  </si>
  <si>
    <t>QBO Services Advanced Revenue</t>
  </si>
  <si>
    <t>QuickBooks Advanced</t>
  </si>
  <si>
    <t>% of Total Revenue</t>
  </si>
  <si>
    <t>FY25</t>
  </si>
  <si>
    <t>Global Business Solutions (QuickBooks)</t>
  </si>
  <si>
    <t>Desktop Ecosystem</t>
  </si>
  <si>
    <t>Segment Build(s)</t>
  </si>
  <si>
    <t>% of GBS</t>
  </si>
  <si>
    <t>Rich Poland</t>
  </si>
  <si>
    <t>Ronit Shah</t>
  </si>
  <si>
    <t>Griffin MacMaster</t>
  </si>
  <si>
    <t>+1 (212) 214-5333</t>
  </si>
  <si>
    <t>+1 (212) 214-1379</t>
  </si>
  <si>
    <t xml:space="preserve">+1 (908) 566-6943 </t>
  </si>
  <si>
    <t>richard.d.poland@wellsfargo.com</t>
  </si>
  <si>
    <t>ronit.shah@wellsfargo.com</t>
  </si>
  <si>
    <t>griffin.macmaster@wellsfargo.com</t>
  </si>
  <si>
    <t>1QFY-2024</t>
  </si>
  <si>
    <t>2QFY-2024</t>
  </si>
  <si>
    <t>3QFY-2024</t>
  </si>
  <si>
    <t>4QFY-2024</t>
  </si>
  <si>
    <t>1QFY-2025</t>
  </si>
  <si>
    <t>2QFY-2025</t>
  </si>
  <si>
    <t>3QFY-2025</t>
  </si>
  <si>
    <t>3QFY-2026</t>
  </si>
  <si>
    <t>4QFY-2026</t>
  </si>
  <si>
    <t>1QFY-2027</t>
  </si>
  <si>
    <t>2QFY-2027</t>
  </si>
  <si>
    <t>3QFY-2027</t>
  </si>
  <si>
    <t>4QFY-2027</t>
  </si>
  <si>
    <t>1QFY-2028</t>
  </si>
  <si>
    <t>2QFY-2028</t>
  </si>
  <si>
    <t>3QFY-2028</t>
  </si>
  <si>
    <t>4QFY-2028</t>
  </si>
  <si>
    <t>Y/Y Growth (%) ex Mailchimp</t>
  </si>
  <si>
    <t>Jul-25</t>
  </si>
  <si>
    <t>Consumer Revenue</t>
  </si>
  <si>
    <t>TurboTax Revenue (Old)</t>
  </si>
  <si>
    <t>Credit Karma Revenue (Old)</t>
  </si>
  <si>
    <t>TurboTax Revenue (NEW)</t>
  </si>
  <si>
    <t>Credit Karma Money</t>
  </si>
  <si>
    <t>Credit Karma Revenue (NEW)</t>
  </si>
  <si>
    <t>4QFY-2025</t>
  </si>
  <si>
    <t>10-13%</t>
  </si>
  <si>
    <t>2-3%</t>
  </si>
  <si>
    <t>14-15%</t>
  </si>
  <si>
    <t>8-9%</t>
  </si>
  <si>
    <t>Consumer Tax Market Opportunity — Canada</t>
  </si>
  <si>
    <t>n/a</t>
  </si>
  <si>
    <t>Net (gain) loss on deferred compensation plan liabilities</t>
  </si>
  <si>
    <t>Net (gain) loss on deferred compensation plan assets</t>
  </si>
  <si>
    <t>&gt;1000000</t>
  </si>
  <si>
    <t>2x</t>
  </si>
  <si>
    <t>ProTax (ProConnect) Revenue</t>
  </si>
  <si>
    <t>Oct-25</t>
  </si>
  <si>
    <t>2026/1F</t>
  </si>
  <si>
    <t>1QFY-2026</t>
  </si>
  <si>
    <t>Jan-26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</si>
</sst>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4">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0.0\ ;\(#,##0.0\)"/>
    <numFmt numFmtId="165" formatCode="#,##0.0%\ ;\(#,##0.0%\)"/>
    <numFmt numFmtId="166" formatCode="0.0\x"/>
    <numFmt numFmtId="167" formatCode="0.0%"/>
    <numFmt numFmtId="168" formatCode="#,##0.0_);\(#,##0.0\)"/>
    <numFmt numFmtId="169" formatCode="0.0"/>
    <numFmt numFmtId="170" formatCode="_(* #,##0_);_(* \(#,##0\);_(* &quot;-&quot;??_);_(@_)"/>
    <numFmt numFmtId="171" formatCode="_(* #,##0.0_);_(* \(#,##0.0\);_(* &quot;-&quot;??_);_(@_)"/>
    <numFmt numFmtId="172" formatCode="_(* #,##0.000_);_(* \(#,##0.000\);_(* &quot;-&quot;??_);_(@_)"/>
    <numFmt numFmtId="173" formatCode="General_)"/>
    <numFmt numFmtId="174" formatCode="&quot;$&quot;#,##0"/>
    <numFmt numFmtId="175" formatCode="[Blue]0.0_);[Red]\(0.0\);[Blue]_)\-"/>
    <numFmt numFmtId="176" formatCode="[Color11]0.0#_);[Color9]\(0.0#\)"/>
    <numFmt numFmtId="177" formatCode="[Color11]0.0#%_);[Color9]\(0.0#%\)"/>
    <numFmt numFmtId="178" formatCode="[Blue]0.0%_);[Red]\(0.0%\);[Blue]\-_)"/>
    <numFmt numFmtId="179" formatCode="0.0_);\(0.0\)"/>
    <numFmt numFmtId="180" formatCode="0.00_);\(0.00\)"/>
    <numFmt numFmtId="181" formatCode="&quot;$&quot;#,##0.00"/>
    <numFmt numFmtId="182" formatCode="&quot;$&quot;#,##0.0"/>
    <numFmt numFmtId="183" formatCode="0.000"/>
    <numFmt numFmtId="184" formatCode="#,##0;\(#,##0\)"/>
    <numFmt numFmtId="185" formatCode="_(* #,##0_);_(* \(#,##0\);_(* \-_);_(@_)"/>
    <numFmt numFmtId="186" formatCode="#,##0.0;\(#,##0.0\)"/>
    <numFmt numFmtId="187" formatCode="#,##0.0"/>
    <numFmt numFmtId="188" formatCode="0."/>
    <numFmt numFmtId="189" formatCode="#,##0.00%_);[Red]\-#,##0.00%"/>
    <numFmt numFmtId="190" formatCode="#,##0.00_%_);\(#,##0.00\)_%;#,##0.00_%_);@_%_)"/>
    <numFmt numFmtId="191" formatCode="_-* #,##0.00_-;\-* #,##0.00_-;_-* &quot;-&quot;??_-;_-@_-"/>
    <numFmt numFmtId="192" formatCode="dd/mm/yyyy"/>
    <numFmt numFmtId="193" formatCode="yyyy"/>
    <numFmt numFmtId="194" formatCode="mmm\-yyyy"/>
    <numFmt numFmtId="195" formatCode="#,##0.000"/>
    <numFmt numFmtId="196" formatCode="##,###.0,_);[Red]\(##,###.0,\)"/>
    <numFmt numFmtId="197" formatCode="#,##0.0;[Red]\(#,##0.0\)"/>
    <numFmt numFmtId="198" formatCode="&quot;$&quot;#,##0.0;[Red]\(&quot;$&quot;#,##0.0\)"/>
    <numFmt numFmtId="199" formatCode="_([$€-2]* #,##0.00_);_([$€-2]* \(#,##0.00\);_([$€-2]* &quot;-&quot;??_)"/>
    <numFmt numFmtId="200" formatCode="#,##0\ ;\(#,##0.0\)"/>
    <numFmt numFmtId="201" formatCode="_(&quot;$&quot;#,##0_)&quot;millions&quot;;\(&quot;$&quot;#,##0\)&quot; millions&quot;"/>
    <numFmt numFmtId="202" formatCode="&quot;$&quot;#,##0.00_)\ \ \ ;\(&quot;$&quot;#,##0.00\)\ \ \ "/>
    <numFmt numFmtId="203" formatCode="&quot;$&quot;#,##0.00&quot;*&quot;\ \ ;\(&quot;$&quot;#,##0.00\)&quot;*&quot;\ \ "/>
    <numFmt numFmtId="204" formatCode="&quot;$&quot;#,##0.00\A_)\ ;\(&quot;$&quot;#,##0.00\A\)\ \ "/>
    <numFmt numFmtId="205" formatCode="&quot;$&quot;@\ "/>
    <numFmt numFmtId="206" formatCode="&quot;$&quot;#,##0;&quot;$&quot;\(#,##0"/>
    <numFmt numFmtId="207" formatCode="&quot;$&quot;#,##0.0;&quot;$&quot;\(#,##0.0"/>
    <numFmt numFmtId="208" formatCode="&quot;$&quot;#,##0.00;&quot;$&quot;\(#,##0.00"/>
    <numFmt numFmtId="209" formatCode="@\ \ \ \ \ "/>
    <numFmt numFmtId="210" formatCode="#,##0.00_)\ \ \ \ \ ;\(#,##0.00\)\ \ \ \ \ "/>
    <numFmt numFmtId="211" formatCode="&quot;$&quot;#,##0.00_)\ \ \ \ \ ;\(&quot;$&quot;#,##0.00\)\ \ \ \ \ "/>
    <numFmt numFmtId="212" formatCode="&quot;$&quot;#,##0.00\A\ \ \ \ ;\(&quot;$&quot;#,##0.00\A\)\ \ \ \ "/>
    <numFmt numFmtId="213" formatCode="&quot;$&quot;#,##0.00&quot;E&quot;\ \ \ \ ;\(&quot;$&quot;#,##0.00&quot;E&quot;\)\ \ \ \ "/>
    <numFmt numFmtId="214" formatCode="#,##0.00\A\ \ \ \ ;\(#,##0.00\A\)\ \ \ \ "/>
    <numFmt numFmtId="215" formatCode="#,##0.00&quot;E&quot;\ \ \ \ ;\(#,##0.00&quot;E&quot;\)\ \ \ \ "/>
    <numFmt numFmtId="216" formatCode="0%\ \ \ \ \ \ \ "/>
    <numFmt numFmtId="217" formatCode="_(&quot;$&quot;* #,##0_)\ &quot;millions&quot;;_(&quot;$&quot;* \(#,##0\)&quot; millions&quot;"/>
    <numFmt numFmtId="218" formatCode="&quot;$&quot;#\-?/8"/>
    <numFmt numFmtId="219" formatCode="@&quot; MM&quot;"/>
    <numFmt numFmtId="220" formatCode="#,##0;\(#,##0"/>
    <numFmt numFmtId="221" formatCode="#,##0.0;\(#,##0.0"/>
    <numFmt numFmtId="222" formatCode="#,##0.00;\(#,##0.00"/>
    <numFmt numFmtId="223" formatCode="0.0\ \ \ \ \ \ "/>
    <numFmt numFmtId="224" formatCode="0.0%\ \ \ \ \ "/>
    <numFmt numFmtId="225" formatCode="0.00%;\(0.00\)%"/>
    <numFmt numFmtId="226" formatCode="&quot;$&quot;#\-?/?"/>
    <numFmt numFmtId="227" formatCode="0.00\ \ \ \ "/>
    <numFmt numFmtId="228" formatCode="@\ "/>
    <numFmt numFmtId="229" formatCode="&quot;$&quot;@"/>
    <numFmt numFmtId="230" formatCode="_(* #,##0.0_);_(* \(#,##0.0\);_(* &quot;-&quot;?_);_(@_)"/>
    <numFmt numFmtId="231" formatCode="_(* #,##0.0_);_(* \(#,##0.0\);_(* \-?_);_(@_)"/>
    <numFmt numFmtId="232" formatCode="[$-409]mmmm\ d\,\ yyyy;@"/>
    <numFmt numFmtId="233" formatCode="_(* #,##0.00_);_(* \(#,##0.00\);_(* \-??_);_(@_)"/>
    <numFmt numFmtId="234" formatCode="\$#,##0;&quot;($&quot;#,##0\)"/>
    <numFmt numFmtId="235" formatCode="_(\$* #,##0_);_(\$* \(#,##0\);_(\$* \-_);_(@_)"/>
    <numFmt numFmtId="236" formatCode="_(* #,##0.0_);_(* \(#,##0.0\);_(* \-_);_(@_)"/>
    <numFmt numFmtId="237" formatCode="_(&quot;$&quot;* #,##0.0_);_(&quot;$&quot;* \(#,##0.0\);_(&quot;$&quot;* &quot;-&quot;?_);_(@_)"/>
    <numFmt numFmtId="238" formatCode="&quot;$&quot;#,##0;\(&quot;$&quot;#,##0\)"/>
    <numFmt numFmtId="239" formatCode="\$#,##0.00;&quot;($&quot;#,##0.00\)"/>
    <numFmt numFmtId="240" formatCode="_(\$* #,##0.0_);_(\$* \(#,##0.0\);_(\$* \-?_);_(@_)"/>
    <numFmt numFmtId="241" formatCode="&quot;$&quot;#,##0.00;\(&quot;$&quot;#,##0.00\)"/>
    <numFmt numFmtId="242" formatCode="#,##0%\ ;\(#,##0%\)"/>
    <numFmt numFmtId="243" formatCode="_(* &quot;$&quot;#,##0.0_);_(* \(&quot;$&quot;#,##0.0\);_(* \-_);_(@_)"/>
    <numFmt numFmtId="244" formatCode="_(* #,##0_);_(* \(#,##0\);_(* &quot;-&quot;?_);_(@_)"/>
    <numFmt numFmtId="245" formatCode="_(* #,##0.000_);_(* \(#,##0.000\);_(* \-?_);_(@_)"/>
    <numFmt numFmtId="246" formatCode="_(* #,##0_);_(* \(#,##0\);_(* \-?_);_(@_)"/>
    <numFmt numFmtId="247" formatCode="\$#,##0.0\ ;&quot;($&quot;#,##0.0\)"/>
    <numFmt numFmtId="248" formatCode="0_);\(0\)"/>
    <numFmt numFmtId="249" formatCode="0.000_);\(0.000\)"/>
    <numFmt numFmtId="250" formatCode="_(* #,##0.00_);_(* \(#,##0.00\);_(* \-?_);_(@_)"/>
    <numFmt numFmtId="251" formatCode="#,##0.000_);\(#,##0.000\)"/>
    <numFmt numFmtId="252" formatCode="#.#\x"/>
    <numFmt numFmtId="253" formatCode="0.0%_);\(0.0%\);0.0%_);@_)"/>
    <numFmt numFmtId="254" formatCode="#,##0.0_);\(#,##0.0\);#,##0.0_);@_)"/>
    <numFmt numFmtId="255" formatCode="#,##0_);\(#,##0\);#,##0_);@_)"/>
    <numFmt numFmtId="256" formatCode="&quot;$&quot;#,##0.0_);\(&quot;$&quot;#,##0.0\);&quot;$&quot;#,##0.0_);@_)"/>
    <numFmt numFmtId="257" formatCode="&quot;$&quot;#,##0_);\(&quot;$&quot;#,##0\);&quot;$&quot;#,##0_);@_)"/>
    <numFmt numFmtId="258" formatCode="0%_);\(0%\);0%_);@_)"/>
    <numFmt numFmtId="259" formatCode="#,##0.000_);\(#,##0.000\);#,##0.000_);@_)"/>
    <numFmt numFmtId="260" formatCode="#,##0;[Red]\(#,##0\)"/>
  </numFmts>
  <fonts count="24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9"/>
      <name val="Arial"/>
      <family val="2"/>
    </font>
    <font>
      <sz val="10"/>
      <color indexed="20"/>
      <name val="Arial"/>
      <family val="2"/>
    </font>
    <font>
      <b/>
      <sz val="10"/>
      <color indexed="8"/>
      <name val="Times New Roman"/>
      <family val="1"/>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60"/>
      <name val="Arial"/>
      <family val="2"/>
    </font>
    <font>
      <b/>
      <sz val="10"/>
      <color indexed="63"/>
      <name val="Arial"/>
      <family val="2"/>
    </font>
    <font>
      <sz val="10"/>
      <color indexed="8"/>
      <name val="Times New Roman"/>
      <family val="1"/>
    </font>
    <font>
      <b/>
      <sz val="18"/>
      <color indexed="56"/>
      <name val="Cambria"/>
      <family val="2"/>
    </font>
    <font>
      <b/>
      <sz val="10"/>
      <color indexed="8"/>
      <name val="Arial"/>
      <family val="2"/>
    </font>
    <font>
      <sz val="7"/>
      <color indexed="10"/>
      <name val="Arial"/>
      <family val="2"/>
    </font>
    <font>
      <sz val="10"/>
      <color indexed="10"/>
      <name val="Arial"/>
      <family val="2"/>
    </font>
    <font>
      <sz val="8"/>
      <name val="Arial"/>
      <family val="2"/>
    </font>
    <font>
      <b/>
      <sz val="10"/>
      <name val="Arial"/>
      <family val="2"/>
    </font>
    <font>
      <sz val="10"/>
      <color indexed="12"/>
      <name val="Arial"/>
      <family val="2"/>
    </font>
    <font>
      <u/>
      <sz val="10"/>
      <color indexed="12"/>
      <name val="Arial"/>
      <family val="2"/>
    </font>
    <font>
      <sz val="10"/>
      <name val="Arial"/>
      <family val="2"/>
    </font>
    <font>
      <sz val="10"/>
      <name val="Verdana"/>
      <family val="2"/>
    </font>
    <font>
      <sz val="10"/>
      <name val="MS Sans Serif"/>
      <family val="2"/>
    </font>
    <font>
      <sz val="9"/>
      <color indexed="81"/>
      <name val="Tahoma"/>
      <family val="2"/>
    </font>
    <font>
      <b/>
      <sz val="9"/>
      <color indexed="81"/>
      <name val="Tahoma"/>
      <family val="2"/>
    </font>
    <font>
      <sz val="10"/>
      <name val="Times New Roman"/>
      <family val="1"/>
    </font>
    <font>
      <sz val="10"/>
      <name val="Arial Narrow"/>
      <family val="2"/>
    </font>
    <font>
      <b/>
      <sz val="14"/>
      <name val="Arial"/>
      <family val="2"/>
    </font>
    <font>
      <b/>
      <sz val="12"/>
      <name val="Arial"/>
      <family val="2"/>
    </font>
    <font>
      <b/>
      <sz val="8"/>
      <name val="Arial"/>
      <family val="2"/>
    </font>
    <font>
      <sz val="10"/>
      <color indexed="8"/>
      <name val="MS Sans Serif"/>
      <family val="2"/>
    </font>
    <font>
      <sz val="9"/>
      <name val="Arial"/>
      <family val="2"/>
    </font>
    <font>
      <b/>
      <sz val="12"/>
      <color indexed="17"/>
      <name val="Arial"/>
      <family val="2"/>
    </font>
    <font>
      <b/>
      <u/>
      <sz val="8"/>
      <name val="Arial"/>
      <family val="2"/>
    </font>
    <font>
      <sz val="10"/>
      <color theme="6" tint="-0.24994659260841701"/>
      <name val="Arial"/>
      <family val="2"/>
    </font>
    <font>
      <sz val="10"/>
      <color rgb="FF000000"/>
      <name val="Arial"/>
      <family val="2"/>
    </font>
    <font>
      <sz val="10"/>
      <color theme="0"/>
      <name val="Arial"/>
      <family val="2"/>
    </font>
    <font>
      <sz val="8"/>
      <color rgb="FF0000FF"/>
      <name val="Arial"/>
      <family val="2"/>
    </font>
    <font>
      <sz val="8"/>
      <color rgb="FF000000"/>
      <name val="Arial"/>
      <family val="2"/>
    </font>
    <font>
      <b/>
      <sz val="10"/>
      <color rgb="FF000000"/>
      <name val="Arial"/>
      <family val="2"/>
    </font>
    <font>
      <sz val="9"/>
      <color rgb="FF000000"/>
      <name val="Arial"/>
      <family val="2"/>
    </font>
    <font>
      <sz val="9"/>
      <color rgb="FFFF0000"/>
      <name val="Arial"/>
      <family val="2"/>
    </font>
    <font>
      <sz val="9"/>
      <color rgb="FF0000FF"/>
      <name val="Arial"/>
      <family val="2"/>
    </font>
    <font>
      <b/>
      <sz val="12"/>
      <color rgb="FF3E5260"/>
      <name val="Arial"/>
      <family val="2"/>
    </font>
    <font>
      <u/>
      <sz val="10"/>
      <color rgb="FF3E5260"/>
      <name val="Arial"/>
      <family val="2"/>
    </font>
    <font>
      <b/>
      <sz val="11"/>
      <name val="Verdana"/>
      <family val="2"/>
    </font>
    <font>
      <b/>
      <sz val="9"/>
      <name val="Verdana"/>
      <family val="2"/>
    </font>
    <font>
      <sz val="11"/>
      <color theme="1"/>
      <name val="Calibri"/>
      <family val="2"/>
      <scheme val="minor"/>
    </font>
    <font>
      <sz val="10"/>
      <name val="Arial"/>
      <family val="2"/>
    </font>
    <font>
      <sz val="8.5"/>
      <color theme="1"/>
      <name val="Arial"/>
      <family val="2"/>
    </font>
    <font>
      <b/>
      <sz val="9"/>
      <color rgb="FF0000FF"/>
      <name val="Arial"/>
      <family val="2"/>
    </font>
    <font>
      <sz val="9"/>
      <color rgb="FF00B050"/>
      <name val="Arial"/>
      <family val="2"/>
    </font>
    <font>
      <sz val="9"/>
      <color rgb="FF008000"/>
      <name val="Arial"/>
      <family val="2"/>
    </font>
    <font>
      <sz val="10"/>
      <name val="Geneva"/>
      <family val="2"/>
    </font>
    <font>
      <sz val="9"/>
      <color rgb="FFC00000"/>
      <name val="Arial"/>
      <family val="2"/>
    </font>
    <font>
      <sz val="8"/>
      <color rgb="FFFF0000"/>
      <name val="Arial"/>
      <family val="2"/>
    </font>
    <font>
      <sz val="10"/>
      <color theme="1"/>
      <name val="Arial"/>
      <family val="2"/>
    </font>
    <font>
      <sz val="8"/>
      <color indexed="12"/>
      <name val="Arial"/>
      <family val="2"/>
    </font>
    <font>
      <b/>
      <sz val="9"/>
      <name val="Arial"/>
      <family val="2"/>
    </font>
    <font>
      <sz val="11"/>
      <color indexed="8"/>
      <name val="Calibri"/>
      <family val="2"/>
    </font>
    <font>
      <sz val="10"/>
      <name val="Helv"/>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u/>
      <sz val="10"/>
      <color theme="10"/>
      <name val="ITC Stone Sans Com Medium"/>
      <family val="2"/>
    </font>
    <font>
      <u/>
      <sz val="11"/>
      <color theme="10"/>
      <name val="Calibri"/>
      <family val="2"/>
      <scheme val="minor"/>
    </font>
    <font>
      <sz val="9"/>
      <color theme="1"/>
      <name val="ITC Stone Sans Com Medium"/>
      <family val="2"/>
    </font>
    <font>
      <u/>
      <sz val="10"/>
      <color theme="10"/>
      <name val="Arial"/>
      <family val="2"/>
    </font>
    <font>
      <u/>
      <sz val="9"/>
      <color indexed="12"/>
      <name val="Arial"/>
      <family val="2"/>
    </font>
    <font>
      <sz val="10"/>
      <color indexed="63"/>
      <name val="Verdana"/>
      <family val="2"/>
    </font>
    <font>
      <sz val="10"/>
      <color indexed="9"/>
      <name val="Verdana"/>
      <family val="2"/>
    </font>
    <font>
      <b/>
      <sz val="10"/>
      <color indexed="9"/>
      <name val="Verdana"/>
      <family val="2"/>
    </font>
    <font>
      <b/>
      <sz val="10"/>
      <color indexed="63"/>
      <name val="Verdana"/>
      <family val="2"/>
    </font>
    <font>
      <b/>
      <sz val="16"/>
      <color indexed="62"/>
      <name val="Arial"/>
      <family val="2"/>
    </font>
    <font>
      <sz val="12"/>
      <name val="Osaka"/>
      <family val="3"/>
      <charset val="128"/>
    </font>
    <font>
      <sz val="9"/>
      <name val="Times New Roman"/>
      <family val="1"/>
    </font>
    <font>
      <sz val="12"/>
      <name val="Times New Roman"/>
      <family val="1"/>
    </font>
    <font>
      <sz val="10"/>
      <name val="Book Antiqua"/>
      <family val="1"/>
    </font>
    <font>
      <b/>
      <i/>
      <sz val="10"/>
      <color indexed="16"/>
      <name val="Times New Roman"/>
      <family val="1"/>
    </font>
    <font>
      <sz val="10"/>
      <name val="Arabic Transparent"/>
      <charset val="178"/>
    </font>
    <font>
      <b/>
      <i/>
      <sz val="10"/>
      <color indexed="8"/>
      <name val="Arial"/>
      <family val="2"/>
    </font>
    <font>
      <b/>
      <i/>
      <sz val="22"/>
      <color indexed="8"/>
      <name val="Times New Roman"/>
      <family val="1"/>
    </font>
    <font>
      <sz val="9"/>
      <color indexed="0"/>
      <name val="Courier"/>
      <family val="3"/>
    </font>
    <font>
      <sz val="9"/>
      <color theme="1"/>
      <name val="Arial"/>
      <family val="2"/>
    </font>
    <font>
      <sz val="11"/>
      <color indexed="8"/>
      <name val="Calibri"/>
      <family val="2"/>
      <scheme val="minor"/>
    </font>
    <font>
      <sz val="12"/>
      <color theme="1"/>
      <name val="Calibri"/>
      <family val="2"/>
      <scheme val="minor"/>
    </font>
    <font>
      <b/>
      <sz val="13"/>
      <color indexed="8"/>
      <name val="Verdana"/>
      <family val="2"/>
    </font>
    <font>
      <b/>
      <sz val="12"/>
      <color indexed="8"/>
      <name val="Verdana"/>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b/>
      <sz val="11"/>
      <color indexed="9"/>
      <name val="GillSans"/>
    </font>
    <font>
      <b/>
      <sz val="11"/>
      <name val="GillSans"/>
    </font>
    <font>
      <sz val="10"/>
      <name val="GillSans Light"/>
    </font>
    <font>
      <sz val="10"/>
      <name val="Geneva"/>
    </font>
    <font>
      <sz val="8"/>
      <name val="Tms Rmn"/>
    </font>
    <font>
      <sz val="8"/>
      <color indexed="12"/>
      <name val="Tms Rmn"/>
      <family val="1"/>
    </font>
    <font>
      <b/>
      <sz val="12"/>
      <name val="Times New Roman"/>
      <family val="1"/>
    </font>
    <font>
      <i/>
      <sz val="10"/>
      <name val="Tms Rmn"/>
    </font>
    <font>
      <sz val="10"/>
      <color indexed="18"/>
      <name val="Times New Roman"/>
      <family val="1"/>
    </font>
    <font>
      <sz val="8"/>
      <color indexed="8"/>
      <name val="Times New Roman"/>
      <family val="1"/>
    </font>
    <font>
      <sz val="8"/>
      <name val="Times New Roman"/>
      <family val="1"/>
    </font>
    <font>
      <u/>
      <sz val="8"/>
      <name val="Times New Roman"/>
      <family val="1"/>
    </font>
    <font>
      <b/>
      <sz val="11"/>
      <name val="Times New Roman"/>
      <family val="1"/>
    </font>
    <font>
      <sz val="11"/>
      <name val="??"/>
      <family val="3"/>
      <charset val="129"/>
    </font>
    <font>
      <b/>
      <u/>
      <sz val="11"/>
      <color indexed="37"/>
      <name val="Arial"/>
      <family val="2"/>
    </font>
    <font>
      <sz val="8"/>
      <color indexed="9"/>
      <name val="Tms Rmn"/>
    </font>
    <font>
      <sz val="6"/>
      <color indexed="12"/>
      <name val="Tms Rmn"/>
    </font>
    <font>
      <b/>
      <sz val="12"/>
      <name val="Tms Rmn"/>
    </font>
    <font>
      <sz val="6"/>
      <name val="Tms Rmn"/>
    </font>
    <font>
      <b/>
      <sz val="14"/>
      <name val="Tms Rmn"/>
    </font>
    <font>
      <sz val="7"/>
      <color indexed="12"/>
      <name val="Tms Rmn"/>
    </font>
    <font>
      <sz val="10"/>
      <color indexed="8"/>
      <name val="Sabon"/>
      <family val="1"/>
    </font>
    <font>
      <b/>
      <sz val="10"/>
      <color indexed="8"/>
      <name val="News Gothic"/>
      <family val="2"/>
    </font>
    <font>
      <sz val="10"/>
      <name val="GillSans"/>
    </font>
    <font>
      <sz val="8"/>
      <name val="Helv"/>
    </font>
    <font>
      <u/>
      <sz val="11"/>
      <color theme="10"/>
      <name val="Calibri"/>
      <family val="2"/>
    </font>
    <font>
      <sz val="10"/>
      <name val="Palatino"/>
      <family val="1"/>
    </font>
    <font>
      <u/>
      <sz val="10"/>
      <name val="GillSans"/>
      <family val="2"/>
    </font>
    <font>
      <b/>
      <sz val="12"/>
      <name val="GillSans"/>
      <family val="2"/>
    </font>
    <font>
      <u/>
      <sz val="11"/>
      <name val="GillSans"/>
      <family val="2"/>
    </font>
    <font>
      <u/>
      <sz val="9"/>
      <color indexed="12"/>
      <name val="Times New Roman"/>
      <family val="1"/>
    </font>
    <font>
      <i/>
      <sz val="8"/>
      <name val="Times New Roman"/>
      <family val="1"/>
    </font>
    <font>
      <b/>
      <sz val="15"/>
      <color indexed="62"/>
      <name val="Calibri"/>
      <family val="2"/>
    </font>
    <font>
      <b/>
      <sz val="13"/>
      <color indexed="62"/>
      <name val="Calibri"/>
      <family val="2"/>
    </font>
    <font>
      <b/>
      <sz val="11"/>
      <color indexed="62"/>
      <name val="Calibri"/>
      <family val="2"/>
    </font>
    <font>
      <b/>
      <sz val="18"/>
      <color indexed="62"/>
      <name val="Cambria"/>
      <family val="2"/>
    </font>
    <font>
      <i/>
      <sz val="8"/>
      <name val="Arial"/>
      <family val="2"/>
    </font>
    <font>
      <sz val="8"/>
      <color theme="3" tint="-0.249977111117893"/>
      <name val="Arial"/>
      <family val="2"/>
    </font>
    <font>
      <sz val="8"/>
      <name val="Arial Narrow"/>
      <family val="2"/>
    </font>
    <font>
      <b/>
      <sz val="8"/>
      <color theme="0"/>
      <name val="Arial Narrow"/>
      <family val="2"/>
    </font>
    <font>
      <b/>
      <sz val="12"/>
      <color theme="3" tint="-0.249977111117893"/>
      <name val="Calibri"/>
      <family val="2"/>
      <scheme val="minor"/>
    </font>
    <font>
      <b/>
      <u/>
      <sz val="8"/>
      <name val="Arial Narrow"/>
      <family val="2"/>
    </font>
    <font>
      <i/>
      <sz val="8"/>
      <name val="Calibri"/>
      <family val="2"/>
      <scheme val="minor"/>
    </font>
    <font>
      <i/>
      <u/>
      <sz val="8"/>
      <name val="Arial"/>
      <family val="2"/>
    </font>
    <font>
      <sz val="8"/>
      <color theme="3" tint="-0.249977111117893"/>
      <name val="Calibri"/>
      <family val="2"/>
      <scheme val="minor"/>
    </font>
    <font>
      <sz val="8"/>
      <color rgb="FF002060"/>
      <name val="Arial"/>
      <family val="2"/>
    </font>
    <font>
      <i/>
      <sz val="9"/>
      <name val="Arial"/>
      <family val="2"/>
    </font>
    <font>
      <u/>
      <sz val="9.5"/>
      <color rgb="FF0000FF"/>
      <name val="Verdana"/>
      <family val="2"/>
    </font>
    <font>
      <b/>
      <sz val="12"/>
      <color theme="1"/>
      <name val="Verdana"/>
      <family val="2"/>
    </font>
    <font>
      <b/>
      <sz val="9"/>
      <color theme="1"/>
      <name val="Verdana"/>
      <family val="2"/>
    </font>
    <font>
      <b/>
      <sz val="18"/>
      <color theme="3"/>
      <name val="Georgia"/>
      <family val="1"/>
    </font>
    <font>
      <sz val="10"/>
      <color theme="1"/>
      <name val="Verdana"/>
      <family val="2"/>
    </font>
    <font>
      <b/>
      <sz val="12"/>
      <color rgb="FF002060"/>
      <name val="Arial"/>
      <family val="2"/>
    </font>
    <font>
      <b/>
      <sz val="10"/>
      <color rgb="FF002060"/>
      <name val="Arial"/>
      <family val="2"/>
    </font>
    <font>
      <u/>
      <sz val="8"/>
      <color rgb="FF002060"/>
      <name val="Arial"/>
      <family val="2"/>
    </font>
    <font>
      <b/>
      <i/>
      <sz val="8"/>
      <name val="Calibri"/>
      <family val="2"/>
      <scheme val="minor"/>
    </font>
    <font>
      <b/>
      <sz val="12"/>
      <color rgb="FF002060"/>
      <name val="Calibri"/>
      <family val="2"/>
      <scheme val="minor"/>
    </font>
    <font>
      <sz val="8"/>
      <color theme="0"/>
      <name val="Arial"/>
      <family val="2"/>
    </font>
    <font>
      <b/>
      <i/>
      <sz val="9"/>
      <name val="Arial"/>
      <family val="2"/>
    </font>
    <font>
      <b/>
      <u/>
      <sz val="9"/>
      <name val="Arial"/>
      <family val="2"/>
    </font>
    <font>
      <b/>
      <sz val="9"/>
      <color theme="0"/>
      <name val="Arial"/>
      <family val="2"/>
    </font>
    <font>
      <u/>
      <sz val="8"/>
      <name val="Arial"/>
      <family val="2"/>
    </font>
    <font>
      <sz val="24"/>
      <color theme="1"/>
      <name val="Georgia"/>
      <family val="1"/>
    </font>
    <font>
      <b/>
      <sz val="9"/>
      <color theme="1"/>
      <name val="Arial"/>
      <family val="2"/>
    </font>
    <font>
      <sz val="13"/>
      <name val="Arial"/>
      <family val="2"/>
    </font>
    <font>
      <sz val="13"/>
      <color theme="1"/>
      <name val="Arial"/>
      <family val="2"/>
    </font>
    <font>
      <sz val="26"/>
      <color rgb="FFD71E28"/>
      <name val="Georgia"/>
      <family val="1"/>
    </font>
    <font>
      <sz val="13"/>
      <color rgb="FFD71E28"/>
      <name val="Georgia"/>
      <family val="1"/>
    </font>
    <font>
      <sz val="11"/>
      <name val="Arial"/>
      <family val="2"/>
    </font>
    <font>
      <sz val="9.5"/>
      <name val="Arial"/>
      <family val="2"/>
    </font>
    <font>
      <u/>
      <sz val="9.5"/>
      <color theme="7"/>
      <name val="Arial"/>
      <family val="2"/>
    </font>
    <font>
      <u/>
      <sz val="9.5"/>
      <color rgb="FF0000FF"/>
      <name val="Arial"/>
      <family val="2"/>
    </font>
    <font>
      <u/>
      <sz val="9.5"/>
      <color theme="10"/>
      <name val="Arial"/>
      <family val="2"/>
    </font>
    <font>
      <u/>
      <sz val="9.5"/>
      <color theme="10"/>
      <name val="Verdana"/>
      <family val="2"/>
    </font>
    <font>
      <b/>
      <sz val="10.5"/>
      <name val="Arial"/>
      <family val="2"/>
    </font>
    <font>
      <sz val="8"/>
      <color rgb="FFC00000"/>
      <name val="Arial"/>
      <family val="2"/>
    </font>
    <font>
      <i/>
      <sz val="9"/>
      <color rgb="FF0000FF"/>
      <name val="Arial"/>
      <family val="2"/>
    </font>
    <font>
      <b/>
      <i/>
      <sz val="8"/>
      <name val="Arial"/>
      <family val="2"/>
    </font>
    <font>
      <b/>
      <sz val="9"/>
      <color indexed="12"/>
      <name val="Arial"/>
      <family val="2"/>
    </font>
    <font>
      <i/>
      <sz val="9"/>
      <color indexed="12"/>
      <name val="Arial"/>
      <family val="2"/>
    </font>
    <font>
      <sz val="9"/>
      <color indexed="12"/>
      <name val="Arial"/>
      <family val="2"/>
    </font>
    <font>
      <u/>
      <sz val="9"/>
      <name val="Arial"/>
      <family val="2"/>
    </font>
    <font>
      <u val="double"/>
      <sz val="8"/>
      <name val="Arial"/>
      <family val="2"/>
    </font>
    <font>
      <b/>
      <sz val="9"/>
      <color rgb="FF008000"/>
      <name val="Arial"/>
      <family val="2"/>
    </font>
    <font>
      <sz val="8"/>
      <color indexed="9"/>
      <name val="Arial"/>
      <family val="2"/>
    </font>
    <font>
      <sz val="9"/>
      <color indexed="9"/>
      <name val="Arial"/>
      <family val="2"/>
    </font>
    <font>
      <i/>
      <sz val="9"/>
      <name val="AAFormataRegular"/>
    </font>
    <font>
      <i/>
      <sz val="9"/>
      <color rgb="FFFF0000"/>
      <name val="Arial"/>
      <family val="2"/>
    </font>
    <font>
      <sz val="9"/>
      <name val="AAFormataRegular"/>
    </font>
    <font>
      <b/>
      <sz val="9"/>
      <name val="AAFormataRegular"/>
    </font>
    <font>
      <b/>
      <i/>
      <u/>
      <sz val="9"/>
      <name val="Arial"/>
      <family val="2"/>
    </font>
    <font>
      <b/>
      <i/>
      <u/>
      <sz val="8"/>
      <name val="Arial"/>
      <family val="2"/>
    </font>
    <font>
      <i/>
      <u/>
      <sz val="9"/>
      <name val="Arial"/>
      <family val="2"/>
    </font>
    <font>
      <sz val="10"/>
      <color rgb="FF0000FF"/>
      <name val="Arial"/>
      <family val="2"/>
    </font>
    <font>
      <sz val="9"/>
      <color theme="0"/>
      <name val="Arial"/>
      <family val="2"/>
    </font>
    <font>
      <b/>
      <sz val="8"/>
      <color theme="0"/>
      <name val="Arial"/>
      <family val="2"/>
    </font>
    <font>
      <b/>
      <u/>
      <sz val="8"/>
      <color theme="0"/>
      <name val="Arial"/>
      <family val="2"/>
    </font>
    <font>
      <b/>
      <u/>
      <sz val="9"/>
      <color theme="0"/>
      <name val="Arial"/>
      <family val="2"/>
    </font>
    <font>
      <i/>
      <sz val="9"/>
      <color theme="0"/>
      <name val="AAFormataRegular"/>
    </font>
    <font>
      <sz val="9"/>
      <color theme="0"/>
      <name val="AAFormataRegular"/>
    </font>
    <font>
      <u/>
      <sz val="8"/>
      <color theme="0"/>
      <name val="Arial"/>
      <family val="2"/>
    </font>
    <font>
      <u val="double"/>
      <sz val="8"/>
      <color theme="0"/>
      <name val="Arial"/>
      <family val="2"/>
    </font>
    <font>
      <i/>
      <sz val="9"/>
      <color theme="0"/>
      <name val="Arial"/>
      <family val="2"/>
    </font>
    <font>
      <b/>
      <sz val="9"/>
      <color theme="0"/>
      <name val="AAFormataRegular"/>
    </font>
    <font>
      <b/>
      <i/>
      <sz val="9"/>
      <color theme="0"/>
      <name val="Arial"/>
      <family val="2"/>
    </font>
    <font>
      <i/>
      <sz val="8"/>
      <color theme="0"/>
      <name val="Arial"/>
      <family val="2"/>
    </font>
    <font>
      <i/>
      <u/>
      <sz val="8"/>
      <color theme="0"/>
      <name val="Arial"/>
      <family val="2"/>
    </font>
    <font>
      <b/>
      <i/>
      <u/>
      <sz val="8"/>
      <color theme="0"/>
      <name val="Arial"/>
      <family val="2"/>
    </font>
    <font>
      <b/>
      <i/>
      <sz val="8"/>
      <color theme="0"/>
      <name val="Arial"/>
      <family val="2"/>
    </font>
    <font>
      <sz val="10"/>
      <color theme="0"/>
      <name val="Verdana"/>
      <family val="2"/>
    </font>
    <font>
      <b/>
      <sz val="10"/>
      <color rgb="FF0000FF"/>
      <name val="Arial"/>
      <family val="2"/>
    </font>
    <font>
      <b/>
      <sz val="9"/>
      <color rgb="FF000000"/>
      <name val="Arial"/>
      <family val="2"/>
    </font>
    <font>
      <b/>
      <i/>
      <sz val="9"/>
      <color rgb="FF0000FF"/>
      <name val="Arial"/>
      <family val="2"/>
    </font>
    <font>
      <b/>
      <sz val="9"/>
      <color rgb="FF808000"/>
      <name val="Arial"/>
      <family val="2"/>
    </font>
    <font>
      <i/>
      <sz val="9"/>
      <color rgb="FF808000"/>
      <name val="Arial"/>
      <family val="2"/>
    </font>
    <font>
      <b/>
      <sz val="9"/>
      <color rgb="FFC00000"/>
      <name val="Arial"/>
      <family val="2"/>
    </font>
    <font>
      <b/>
      <u/>
      <sz val="9"/>
      <color rgb="FF0000FF"/>
      <name val="Arial"/>
      <family val="2"/>
    </font>
    <font>
      <i/>
      <sz val="9"/>
      <color rgb="FF000000"/>
      <name val="Arial"/>
      <family val="2"/>
    </font>
    <font>
      <b/>
      <i/>
      <u/>
      <sz val="9"/>
      <color theme="0"/>
      <name val="Arial"/>
      <family val="2"/>
    </font>
    <font>
      <i/>
      <u/>
      <sz val="9"/>
      <color rgb="FF0000FF"/>
      <name val="Arial"/>
      <family val="2"/>
    </font>
    <font>
      <u/>
      <sz val="9"/>
      <color theme="0"/>
      <name val="Arial"/>
      <family val="2"/>
    </font>
    <font>
      <i/>
      <u/>
      <sz val="9"/>
      <color theme="0"/>
      <name val="Arial"/>
      <family val="2"/>
    </font>
    <font>
      <sz val="9"/>
      <color theme="4" tint="0.39997558519241921"/>
      <name val="Arial"/>
      <family val="2"/>
    </font>
    <font>
      <i/>
      <sz val="9"/>
      <color theme="4" tint="0.39997558519241921"/>
      <name val="Arial"/>
      <family val="2"/>
    </font>
    <font>
      <i/>
      <sz val="9"/>
      <color rgb="FFC00000"/>
      <name val="Arial"/>
      <family val="2"/>
    </font>
    <font>
      <b/>
      <sz val="4"/>
      <color theme="0"/>
      <name val="Arial"/>
      <family val="2"/>
    </font>
    <font>
      <sz val="10"/>
      <color rgb="FFFFFFFF"/>
      <name val="Arial"/>
      <family val="2"/>
    </font>
  </fonts>
  <fills count="8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indexed="22"/>
        <bgColor indexed="64"/>
      </patternFill>
    </fill>
    <fill>
      <patternFill patternType="solid">
        <fgColor indexed="8"/>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2"/>
        <bgColor indexed="64"/>
      </patternFill>
    </fill>
    <fill>
      <patternFill patternType="solid">
        <fgColor indexed="61"/>
        <bgColor indexed="64"/>
      </patternFill>
    </fill>
    <fill>
      <patternFill patternType="solid">
        <fgColor indexed="60"/>
        <bgColor indexed="64"/>
      </patternFill>
    </fill>
    <fill>
      <patternFill patternType="solid">
        <fgColor rgb="FFFFFFCC"/>
      </patternFill>
    </fill>
    <fill>
      <patternFill patternType="solid">
        <fgColor indexed="26"/>
        <bgColor indexed="64"/>
      </patternFill>
    </fill>
    <fill>
      <patternFill patternType="solid">
        <fgColor indexed="63"/>
        <bgColor indexed="64"/>
      </patternFill>
    </fill>
    <fill>
      <patternFill patternType="solid">
        <fgColor indexed="56"/>
        <bgColor indexed="64"/>
      </patternFill>
    </fill>
    <fill>
      <patternFill patternType="gray0625"/>
    </fill>
    <fill>
      <patternFill patternType="mediumGray"/>
    </fill>
    <fill>
      <patternFill patternType="solid">
        <fgColor indexed="43"/>
        <bgColor indexed="64"/>
      </patternFill>
    </fill>
    <fill>
      <patternFill patternType="solid">
        <fgColor indexed="15"/>
        <bgColor indexed="64"/>
      </patternFill>
    </fill>
    <fill>
      <patternFill patternType="solid">
        <fgColor indexed="54"/>
      </patternFill>
    </fill>
    <fill>
      <patternFill patternType="solid">
        <fgColor indexed="9"/>
      </patternFill>
    </fill>
    <fill>
      <patternFill patternType="solid">
        <fgColor rgb="FF99CCFF"/>
        <bgColor indexed="64"/>
      </patternFill>
    </fill>
    <fill>
      <patternFill patternType="solid">
        <fgColor theme="0" tint="-0.14996795556505021"/>
        <bgColor theme="4"/>
      </patternFill>
    </fill>
    <fill>
      <patternFill patternType="solid">
        <fgColor theme="0"/>
        <bgColor indexed="26"/>
      </patternFill>
    </fill>
    <fill>
      <patternFill patternType="solid">
        <fgColor rgb="FF002060"/>
        <bgColor indexed="64"/>
      </patternFill>
    </fill>
    <fill>
      <patternFill patternType="solid">
        <fgColor rgb="FF003FBC"/>
        <bgColor indexed="64"/>
      </patternFill>
    </fill>
    <fill>
      <patternFill patternType="solid">
        <fgColor theme="0" tint="-0.249977111117893"/>
        <bgColor indexed="64"/>
      </patternFill>
    </fill>
    <fill>
      <patternFill patternType="solid">
        <fgColor rgb="FF0095C8"/>
        <bgColor indexed="64"/>
      </patternFill>
    </fill>
    <fill>
      <patternFill patternType="solid">
        <fgColor rgb="FFFFCD41"/>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3" tint="0.79998168889431442"/>
        <bgColor indexed="31"/>
      </patternFill>
    </fill>
    <fill>
      <patternFill patternType="solid">
        <fgColor theme="1" tint="0.499984740745262"/>
        <bgColor indexed="64"/>
      </patternFill>
    </fill>
    <fill>
      <patternFill patternType="solid">
        <fgColor indexed="9"/>
        <bgColor indexed="26"/>
      </patternFill>
    </fill>
    <fill>
      <patternFill patternType="solid">
        <fgColor theme="2" tint="0.79998168889431442"/>
        <bgColor indexed="64"/>
      </patternFill>
    </fill>
    <fill>
      <patternFill patternType="solid">
        <fgColor theme="3" tint="0.79998168889431442"/>
        <bgColor indexed="26"/>
      </patternFill>
    </fill>
    <fill>
      <patternFill patternType="solid">
        <fgColor theme="1" tint="0.89999084444715716"/>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D44B"/>
        <bgColor indexed="64"/>
      </patternFill>
    </fill>
    <fill>
      <patternFill patternType="solid">
        <fgColor theme="7" tint="0.79998168889431442"/>
        <bgColor indexed="64"/>
      </patternFill>
    </fill>
    <fill>
      <patternFill patternType="solid">
        <fgColor rgb="FFCCECFF"/>
        <bgColor indexed="64"/>
      </patternFill>
    </fill>
    <fill>
      <patternFill patternType="solid">
        <fgColor theme="9" tint="0.79998168889431442"/>
        <bgColor indexed="64"/>
      </patternFill>
    </fill>
  </fills>
  <borders count="261">
    <border>
      <left/>
      <right/>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top/>
      <bottom style="thin">
        <color auto="1"/>
      </bottom>
      <diagonal/>
    </border>
    <border>
      <left/>
      <right/>
      <top style="thin">
        <color auto="1"/>
      </top>
      <bottom/>
      <diagonal/>
    </border>
    <border>
      <left/>
      <right style="thin">
        <color auto="1"/>
      </right>
      <top/>
      <bottom/>
      <diagonal/>
    </border>
    <border>
      <left/>
      <right/>
      <top/>
      <bottom style="thin">
        <color indexed="8"/>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52"/>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right/>
      <top style="medium">
        <color auto="1"/>
      </top>
      <bottom style="medium">
        <color auto="1"/>
      </bottom>
      <diagonal/>
    </border>
    <border>
      <left style="double">
        <color auto="1"/>
      </left>
      <right style="double">
        <color auto="1"/>
      </right>
      <top style="double">
        <color auto="1"/>
      </top>
      <bottom style="double">
        <color auto="1"/>
      </bottom>
      <diagonal/>
    </border>
    <border>
      <left style="thin">
        <color indexed="9"/>
      </left>
      <right style="thin">
        <color indexed="9"/>
      </right>
      <top/>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64"/>
      </left>
      <right/>
      <top/>
      <bottom/>
      <diagonal/>
    </border>
    <border>
      <left style="double">
        <color indexed="63"/>
      </left>
      <right style="double">
        <color indexed="63"/>
      </right>
      <top style="double">
        <color indexed="63"/>
      </top>
      <bottom style="double">
        <color indexed="63"/>
      </bottom>
      <diagonal/>
    </border>
    <border>
      <left style="double">
        <color auto="1"/>
      </left>
      <right style="double">
        <color auto="1"/>
      </right>
      <top style="double">
        <color auto="1"/>
      </top>
      <bottom style="double">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indexed="64"/>
      </top>
      <bottom/>
      <diagonal/>
    </border>
    <border>
      <left style="thin">
        <color indexed="64"/>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4"/>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9"/>
      </left>
      <right style="thin">
        <color indexed="9"/>
      </right>
      <top style="thin">
        <color indexed="9"/>
      </top>
      <bottom style="thin">
        <color indexed="9"/>
      </bottom>
      <diagonal/>
    </border>
    <border>
      <left style="double">
        <color auto="1"/>
      </left>
      <right style="double">
        <color auto="1"/>
      </right>
      <top style="double">
        <color auto="1"/>
      </top>
      <bottom style="double">
        <color auto="1"/>
      </bottom>
      <diagonal/>
    </border>
    <border>
      <left/>
      <right/>
      <top/>
      <bottom style="double">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4"/>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9"/>
      </left>
      <right style="thin">
        <color indexed="9"/>
      </right>
      <top style="thin">
        <color indexed="9"/>
      </top>
      <bottom style="thin">
        <color indexed="9"/>
      </bottom>
      <diagonal/>
    </border>
    <border>
      <left style="double">
        <color auto="1"/>
      </left>
      <right style="double">
        <color auto="1"/>
      </right>
      <top style="double">
        <color auto="1"/>
      </top>
      <bottom style="double">
        <color auto="1"/>
      </bottom>
      <diagonal/>
    </border>
    <border>
      <left style="thin">
        <color indexed="64"/>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4"/>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9"/>
      </left>
      <right style="thin">
        <color indexed="9"/>
      </right>
      <top style="thin">
        <color indexed="9"/>
      </top>
      <bottom style="thin">
        <color indexed="9"/>
      </bottom>
      <diagonal/>
    </border>
    <border>
      <left style="double">
        <color auto="1"/>
      </left>
      <right style="double">
        <color auto="1"/>
      </right>
      <top style="double">
        <color auto="1"/>
      </top>
      <bottom style="double">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4"/>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9"/>
      </left>
      <right style="thin">
        <color indexed="9"/>
      </right>
      <top style="thin">
        <color indexed="9"/>
      </top>
      <bottom style="thin">
        <color indexed="9"/>
      </bottom>
      <diagonal/>
    </border>
    <border>
      <left style="double">
        <color auto="1"/>
      </left>
      <right style="double">
        <color auto="1"/>
      </right>
      <top style="double">
        <color auto="1"/>
      </top>
      <bottom style="double">
        <color auto="1"/>
      </bottom>
      <diagonal/>
    </border>
    <border>
      <left style="thin">
        <color indexed="64"/>
      </left>
      <right/>
      <top/>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9"/>
      </left>
      <right style="thin">
        <color indexed="9"/>
      </right>
      <top style="thin">
        <color indexed="9"/>
      </top>
      <bottom style="thin">
        <color indexed="9"/>
      </bottom>
      <diagonal/>
    </border>
    <border>
      <left style="double">
        <color auto="1"/>
      </left>
      <right style="double">
        <color auto="1"/>
      </right>
      <top style="double">
        <color auto="1"/>
      </top>
      <bottom style="double">
        <color auto="1"/>
      </bottom>
      <diagonal/>
    </border>
    <border>
      <left/>
      <right/>
      <top/>
      <bottom style="medium">
        <color auto="1"/>
      </bottom>
      <diagonal/>
    </border>
    <border>
      <left style="thin">
        <color indexed="64"/>
      </left>
      <right/>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8"/>
      </bottom>
      <diagonal/>
    </border>
    <border>
      <left/>
      <right/>
      <top/>
      <bottom style="thin">
        <color indexed="64"/>
      </bottom>
      <diagonal/>
    </border>
    <border>
      <left/>
      <right/>
      <top/>
      <bottom style="double">
        <color indexed="52"/>
      </bottom>
      <diagonal/>
    </border>
    <border>
      <left/>
      <right/>
      <top/>
      <bottom style="double">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double">
        <color indexed="63"/>
      </left>
      <right style="double">
        <color indexed="63"/>
      </right>
      <top style="double">
        <color indexed="63"/>
      </top>
      <bottom style="double">
        <color indexed="63"/>
      </bottom>
      <diagonal/>
    </border>
    <border>
      <left style="double">
        <color auto="1"/>
      </left>
      <right style="double">
        <color auto="1"/>
      </right>
      <top style="double">
        <color auto="1"/>
      </top>
      <bottom style="double">
        <color auto="1"/>
      </bottom>
      <diagonal/>
    </border>
    <border>
      <left style="double">
        <color indexed="63"/>
      </left>
      <right style="double">
        <color indexed="63"/>
      </right>
      <top style="double">
        <color indexed="63"/>
      </top>
      <bottom style="double">
        <color indexed="63"/>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8"/>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hair">
        <color auto="1"/>
      </left>
      <right style="hair">
        <color auto="1"/>
      </right>
      <top/>
      <bottom/>
      <diagonal/>
    </border>
    <border>
      <left style="hair">
        <color indexed="64"/>
      </left>
      <right/>
      <top style="medium">
        <color indexed="64"/>
      </top>
      <bottom/>
      <diagonal/>
    </border>
    <border>
      <left/>
      <right style="hair">
        <color indexed="64"/>
      </right>
      <top style="medium">
        <color indexed="64"/>
      </top>
      <bottom/>
      <diagonal/>
    </border>
    <border>
      <left style="hair">
        <color indexed="64"/>
      </left>
      <right/>
      <top/>
      <bottom/>
      <diagonal/>
    </border>
    <border>
      <left/>
      <right style="hair">
        <color indexed="64"/>
      </right>
      <top/>
      <bottom/>
      <diagonal/>
    </border>
    <border>
      <left style="hair">
        <color indexed="64"/>
      </left>
      <right/>
      <top/>
      <bottom style="medium">
        <color indexed="64"/>
      </bottom>
      <diagonal/>
    </border>
    <border>
      <left/>
      <right style="hair">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indexed="64"/>
      </left>
      <right style="thin">
        <color auto="1"/>
      </right>
      <top style="thin">
        <color indexed="64"/>
      </top>
      <bottom/>
      <diagonal/>
    </border>
    <border>
      <left style="thin">
        <color auto="1"/>
      </left>
      <right style="thin">
        <color auto="1"/>
      </right>
      <top style="thin">
        <color indexed="8"/>
      </top>
      <bottom/>
      <diagonal/>
    </border>
    <border>
      <left style="thin">
        <color indexed="64"/>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64"/>
      </left>
      <right style="thin">
        <color auto="1"/>
      </right>
      <top/>
      <bottom/>
      <diagonal/>
    </border>
    <border>
      <left style="thin">
        <color indexed="64"/>
      </left>
      <right/>
      <top/>
      <bottom/>
      <diagonal/>
    </border>
    <border>
      <left/>
      <right style="thin">
        <color indexed="8"/>
      </right>
      <top/>
      <bottom/>
      <diagonal/>
    </border>
    <border>
      <left/>
      <right style="thin">
        <color indexed="64"/>
      </right>
      <top/>
      <bottom/>
      <diagonal/>
    </border>
    <border>
      <left style="thin">
        <color indexed="64"/>
      </left>
      <right/>
      <top style="thin">
        <color indexed="8"/>
      </top>
      <bottom/>
      <diagonal/>
    </border>
    <border>
      <left style="thin">
        <color indexed="8"/>
      </left>
      <right style="thin">
        <color indexed="8"/>
      </right>
      <top style="thin">
        <color indexed="8"/>
      </top>
      <bottom/>
      <diagonal/>
    </border>
    <border>
      <left style="thin">
        <color indexed="64"/>
      </left>
      <right/>
      <top style="thin">
        <color indexed="64"/>
      </top>
      <bottom/>
      <diagonal/>
    </border>
    <border>
      <left/>
      <right/>
      <top style="thin">
        <color indexed="64"/>
      </top>
      <bottom/>
      <diagonal/>
    </border>
    <border>
      <left style="thin">
        <color auto="1"/>
      </left>
      <right/>
      <top/>
      <bottom/>
      <diagonal/>
    </border>
    <border>
      <left style="thin">
        <color indexed="64"/>
      </left>
      <right/>
      <top style="thin">
        <color indexed="64"/>
      </top>
      <bottom style="thin">
        <color indexed="64"/>
      </bottom>
      <diagonal/>
    </border>
    <border>
      <left style="thin">
        <color indexed="8"/>
      </left>
      <right style="thin">
        <color indexed="64"/>
      </right>
      <top/>
      <bottom/>
      <diagonal/>
    </border>
    <border>
      <left style="thin">
        <color indexed="64"/>
      </left>
      <right/>
      <top/>
      <bottom/>
      <diagonal/>
    </border>
    <border>
      <left style="thin">
        <color indexed="8"/>
      </left>
      <right/>
      <top/>
      <bottom/>
      <diagonal/>
    </border>
    <border>
      <left style="thin">
        <color indexed="8"/>
      </left>
      <right style="thin">
        <color indexed="8"/>
      </right>
      <top/>
      <bottom/>
      <diagonal/>
    </border>
    <border>
      <left style="thin">
        <color auto="1"/>
      </left>
      <right style="thin">
        <color indexed="64"/>
      </right>
      <top/>
      <bottom/>
      <diagonal/>
    </border>
    <border>
      <left/>
      <right style="thin">
        <color indexed="8"/>
      </right>
      <top/>
      <bottom style="thin">
        <color indexed="64"/>
      </bottom>
      <diagonal/>
    </border>
    <border>
      <left style="thin">
        <color indexed="8"/>
      </left>
      <right/>
      <top/>
      <bottom style="thin">
        <color indexed="64"/>
      </bottom>
      <diagonal/>
    </border>
    <border>
      <left/>
      <right/>
      <top style="thin">
        <color indexed="64"/>
      </top>
      <bottom style="thin">
        <color indexed="8"/>
      </bottom>
      <diagonal/>
    </border>
    <border>
      <left style="thin">
        <color indexed="64"/>
      </left>
      <right style="thin">
        <color indexed="64"/>
      </right>
      <top/>
      <bottom style="thin">
        <color indexed="8"/>
      </bottom>
      <diagonal/>
    </border>
    <border>
      <left/>
      <right style="thin">
        <color indexed="8"/>
      </right>
      <top style="thin">
        <color indexed="64"/>
      </top>
      <bottom/>
      <diagonal/>
    </border>
    <border>
      <left style="thin">
        <color indexed="8"/>
      </left>
      <right style="thin">
        <color indexed="64"/>
      </right>
      <top style="thin">
        <color indexed="64"/>
      </top>
      <bottom/>
      <diagonal/>
    </border>
    <border>
      <left style="thin">
        <color indexed="8"/>
      </left>
      <right/>
      <top style="thin">
        <color indexed="64"/>
      </top>
      <bottom/>
      <diagonal/>
    </border>
    <border>
      <left/>
      <right style="thin">
        <color auto="1"/>
      </right>
      <top style="thin">
        <color auto="1"/>
      </top>
      <bottom/>
      <diagonal/>
    </border>
    <border>
      <left style="thin">
        <color auto="1"/>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style="thin">
        <color indexed="8"/>
      </left>
      <right/>
      <top/>
      <bottom style="thin">
        <color indexed="64"/>
      </bottom>
      <diagonal/>
    </border>
    <border>
      <left/>
      <right/>
      <top style="thin">
        <color indexed="8"/>
      </top>
      <bottom/>
      <diagonal/>
    </border>
    <border>
      <left style="thin">
        <color indexed="8"/>
      </left>
      <right/>
      <top style="thin">
        <color indexed="8"/>
      </top>
      <bottom/>
      <diagonal/>
    </border>
    <border>
      <left/>
      <right style="thin">
        <color indexed="64"/>
      </right>
      <top style="thin">
        <color indexed="8"/>
      </top>
      <bottom/>
      <diagonal/>
    </border>
    <border>
      <left style="thin">
        <color indexed="64"/>
      </left>
      <right style="thin">
        <color indexed="8"/>
      </right>
      <top/>
      <bottom style="thin">
        <color indexed="64"/>
      </bottom>
      <diagonal/>
    </border>
    <border>
      <left/>
      <right/>
      <top style="thin">
        <color indexed="64"/>
      </top>
      <bottom/>
      <diagonal/>
    </border>
    <border>
      <left/>
      <right style="thin">
        <color auto="1"/>
      </right>
      <top style="thin">
        <color auto="1"/>
      </top>
      <bottom/>
      <diagonal/>
    </border>
    <border>
      <left style="thin">
        <color indexed="64"/>
      </left>
      <right style="thin">
        <color indexed="64"/>
      </right>
      <top style="thin">
        <color indexed="8"/>
      </top>
      <bottom style="thin">
        <color indexed="8"/>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style="thin">
        <color indexed="8"/>
      </top>
      <bottom style="thin">
        <color indexed="8"/>
      </bottom>
      <diagonal/>
    </border>
    <border>
      <left/>
      <right/>
      <top style="thin">
        <color auto="1"/>
      </top>
      <bottom style="thin">
        <color auto="1"/>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style="thin">
        <color indexed="64"/>
      </left>
      <right style="thin">
        <color indexed="64"/>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64"/>
      </right>
      <top style="thin">
        <color indexed="8"/>
      </top>
      <bottom/>
      <diagonal/>
    </border>
    <border>
      <left style="thin">
        <color indexed="64"/>
      </left>
      <right style="thin">
        <color indexed="8"/>
      </right>
      <top/>
      <bottom/>
      <diagonal/>
    </border>
    <border>
      <left style="thin">
        <color indexed="8"/>
      </left>
      <right/>
      <top/>
      <bottom style="thin">
        <color indexed="8"/>
      </bottom>
      <diagonal/>
    </border>
    <border>
      <left/>
      <right style="thin">
        <color indexed="64"/>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right style="thin">
        <color auto="1"/>
      </right>
      <top style="thin">
        <color auto="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8"/>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diagonal/>
    </border>
    <border>
      <left style="thin">
        <color indexed="8"/>
      </left>
      <right style="thin">
        <color indexed="8"/>
      </right>
      <top/>
      <bottom style="thin">
        <color indexed="64"/>
      </bottom>
      <diagonal/>
    </border>
    <border>
      <left style="thin">
        <color indexed="8"/>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indexed="64"/>
      </right>
      <top/>
      <bottom/>
      <diagonal/>
    </border>
    <border>
      <left/>
      <right style="thin">
        <color auto="1"/>
      </right>
      <top/>
      <bottom style="thin">
        <color indexed="64"/>
      </bottom>
      <diagonal/>
    </border>
    <border>
      <left style="thin">
        <color indexed="8"/>
      </left>
      <right style="thin">
        <color indexed="64"/>
      </right>
      <top/>
      <bottom/>
      <diagonal/>
    </border>
    <border>
      <left style="thin">
        <color indexed="8"/>
      </left>
      <right style="thin">
        <color indexed="64"/>
      </right>
      <top/>
      <bottom/>
      <diagonal/>
    </border>
    <border>
      <left style="thin">
        <color indexed="64"/>
      </left>
      <right style="thin">
        <color indexed="64"/>
      </right>
      <top/>
      <bottom/>
      <diagonal/>
    </border>
    <border>
      <left/>
      <right/>
      <top style="thin">
        <color indexed="64"/>
      </top>
      <bottom/>
      <diagonal/>
    </border>
    <border>
      <left style="thin">
        <color indexed="8"/>
      </left>
      <right/>
      <top/>
      <bottom/>
      <diagonal/>
    </border>
    <border>
      <left style="thin">
        <color indexed="64"/>
      </left>
      <right/>
      <top/>
      <bottom/>
      <diagonal/>
    </border>
    <border>
      <left style="thin">
        <color auto="1"/>
      </left>
      <right/>
      <top/>
      <bottom style="thin">
        <color auto="1"/>
      </bottom>
      <diagonal/>
    </border>
    <border>
      <left style="thin">
        <color indexed="8"/>
      </left>
      <right style="thin">
        <color indexed="8"/>
      </right>
      <top/>
      <bottom/>
      <diagonal/>
    </border>
    <border>
      <left style="thin">
        <color auto="1"/>
      </left>
      <right/>
      <top style="thin">
        <color auto="1"/>
      </top>
      <bottom/>
      <diagonal/>
    </border>
    <border>
      <left style="thin">
        <color indexed="64"/>
      </left>
      <right style="thin">
        <color indexed="64"/>
      </right>
      <top style="thin">
        <color indexed="64"/>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64"/>
      </right>
      <top style="thin">
        <color indexed="64"/>
      </top>
      <bottom/>
      <diagonal/>
    </border>
    <border>
      <left style="thin">
        <color indexed="64"/>
      </left>
      <right/>
      <top style="thin">
        <color indexed="64"/>
      </top>
      <bottom/>
      <diagonal/>
    </border>
    <border>
      <left/>
      <right style="thin">
        <color indexed="8"/>
      </right>
      <top style="thin">
        <color indexed="64"/>
      </top>
      <bottom/>
      <diagonal/>
    </border>
    <border>
      <left/>
      <right style="thin">
        <color indexed="64"/>
      </right>
      <top style="thin">
        <color indexed="64"/>
      </top>
      <bottom/>
      <diagonal/>
    </border>
    <border>
      <left/>
      <right style="thin">
        <color auto="1"/>
      </right>
      <top/>
      <bottom style="thin">
        <color indexed="64"/>
      </bottom>
      <diagonal/>
    </border>
    <border>
      <left style="thin">
        <color indexed="64"/>
      </left>
      <right style="thin">
        <color indexed="8"/>
      </right>
      <top/>
      <bottom/>
      <diagonal/>
    </border>
    <border>
      <left style="thin">
        <color indexed="64"/>
      </left>
      <right style="thin">
        <color auto="1"/>
      </right>
      <top/>
      <bottom/>
      <diagonal/>
    </border>
  </borders>
  <cellStyleXfs count="3385">
    <xf numFmtId="0" fontId="0" fillId="0" borderId="0"/>
    <xf numFmtId="0" fontId="43" fillId="0" borderId="0" applyNumberFormat="0" applyFont="0" applyFill="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33" fillId="0" borderId="0"/>
    <xf numFmtId="0" fontId="29" fillId="0" borderId="1" applyNumberFormat="0" applyFill="0" applyAlignment="0" applyProtection="0"/>
    <xf numFmtId="0" fontId="12" fillId="3" borderId="0" applyNumberFormat="0" applyBorder="0" applyAlignment="0" applyProtection="0"/>
    <xf numFmtId="0" fontId="13" fillId="0" borderId="0"/>
    <xf numFmtId="0" fontId="14" fillId="20" borderId="2" applyNumberFormat="0" applyAlignment="0" applyProtection="0"/>
    <xf numFmtId="0" fontId="15" fillId="21" borderId="3" applyNumberFormat="0" applyAlignment="0" applyProtection="0"/>
    <xf numFmtId="43" fontId="9" fillId="0" borderId="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32" fillId="0" borderId="0" applyNumberFormat="0" applyFill="0" applyBorder="0" applyAlignment="0" applyProtection="0">
      <alignment vertical="top"/>
      <protection locked="0"/>
    </xf>
    <xf numFmtId="0" fontId="21" fillId="7" borderId="2" applyNumberFormat="0" applyAlignment="0" applyProtection="0"/>
    <xf numFmtId="0" fontId="47" fillId="0" borderId="0" applyNumberFormat="0" applyFill="0" applyAlignment="0" applyProtection="0"/>
    <xf numFmtId="0" fontId="22" fillId="22" borderId="0" applyNumberFormat="0" applyBorder="0" applyAlignment="0" applyProtection="0"/>
    <xf numFmtId="0" fontId="33" fillId="0" borderId="0"/>
    <xf numFmtId="0" fontId="39" fillId="0" borderId="0"/>
    <xf numFmtId="0" fontId="9" fillId="0" borderId="0"/>
    <xf numFmtId="0" fontId="9" fillId="0" borderId="0"/>
    <xf numFmtId="0" fontId="33" fillId="23" borderId="7" applyNumberFormat="0" applyAlignment="0" applyProtection="0"/>
    <xf numFmtId="175" fontId="9" fillId="0" borderId="0"/>
    <xf numFmtId="176" fontId="9" fillId="0" borderId="0"/>
    <xf numFmtId="0" fontId="23" fillId="20" borderId="8" applyNumberFormat="0" applyAlignment="0" applyProtection="0"/>
    <xf numFmtId="178" fontId="9" fillId="0" borderId="0"/>
    <xf numFmtId="9" fontId="9" fillId="0" borderId="0" applyFill="0" applyBorder="0" applyAlignment="0" applyProtection="0"/>
    <xf numFmtId="9" fontId="9" fillId="0" borderId="0" applyFont="0" applyFill="0" applyBorder="0" applyAlignment="0" applyProtection="0"/>
    <xf numFmtId="177" fontId="9" fillId="0" borderId="0"/>
    <xf numFmtId="0" fontId="24" fillId="0" borderId="0"/>
    <xf numFmtId="0" fontId="25" fillId="0" borderId="0" applyNumberFormat="0" applyFill="0" applyBorder="0" applyAlignment="0" applyProtection="0"/>
    <xf numFmtId="0" fontId="26" fillId="0" borderId="9" applyNumberFormat="0" applyFill="0" applyAlignment="0" applyProtection="0"/>
    <xf numFmtId="0" fontId="27" fillId="0" borderId="0"/>
    <xf numFmtId="0" fontId="33" fillId="0" borderId="0"/>
    <xf numFmtId="0" fontId="28" fillId="0" borderId="0" applyNumberForma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9" fontId="9" fillId="0" borderId="0" applyFont="0" applyFill="0" applyBorder="0" applyAlignment="0" applyProtection="0">
      <alignment vertical="center"/>
    </xf>
    <xf numFmtId="0" fontId="9" fillId="0" borderId="0"/>
    <xf numFmtId="0" fontId="9" fillId="0" borderId="0"/>
    <xf numFmtId="0" fontId="32" fillId="0" borderId="0" applyNumberFormat="0" applyFill="0" applyBorder="0" applyAlignment="0" applyProtection="0">
      <alignment vertical="top"/>
      <protection locked="0"/>
    </xf>
    <xf numFmtId="9" fontId="9" fillId="0" borderId="0" applyFill="0" applyBorder="0" applyAlignment="0" applyProtection="0"/>
    <xf numFmtId="0" fontId="35" fillId="0" borderId="0"/>
    <xf numFmtId="0" fontId="9" fillId="0" borderId="0"/>
    <xf numFmtId="0" fontId="9" fillId="0" borderId="0"/>
    <xf numFmtId="0" fontId="60" fillId="0" borderId="0"/>
    <xf numFmtId="43" fontId="60" fillId="0" borderId="0" applyFont="0" applyFill="0" applyBorder="0" applyAlignment="0" applyProtection="0"/>
    <xf numFmtId="0" fontId="35" fillId="0" borderId="0"/>
    <xf numFmtId="0" fontId="35" fillId="0" borderId="0"/>
    <xf numFmtId="0" fontId="9" fillId="0" borderId="0"/>
    <xf numFmtId="44" fontId="60" fillId="0" borderId="0" applyFont="0" applyFill="0" applyBorder="0" applyAlignment="0" applyProtection="0"/>
    <xf numFmtId="0" fontId="35" fillId="0" borderId="0"/>
    <xf numFmtId="0" fontId="35" fillId="0" borderId="0"/>
    <xf numFmtId="0" fontId="9" fillId="0" borderId="0"/>
    <xf numFmtId="0" fontId="9" fillId="0" borderId="0"/>
    <xf numFmtId="0" fontId="9" fillId="0" borderId="0"/>
    <xf numFmtId="0" fontId="35" fillId="0" borderId="0"/>
    <xf numFmtId="0" fontId="9" fillId="0" borderId="0"/>
    <xf numFmtId="0" fontId="9" fillId="0" borderId="0"/>
    <xf numFmtId="0" fontId="35" fillId="0" borderId="0"/>
    <xf numFmtId="0" fontId="9" fillId="0" borderId="0"/>
    <xf numFmtId="0" fontId="35" fillId="0" borderId="0"/>
    <xf numFmtId="0" fontId="35" fillId="0" borderId="0"/>
    <xf numFmtId="0" fontId="9" fillId="0" borderId="0"/>
    <xf numFmtId="0" fontId="35" fillId="0" borderId="0"/>
    <xf numFmtId="0" fontId="35" fillId="0" borderId="0"/>
    <xf numFmtId="0" fontId="61" fillId="0" borderId="0"/>
    <xf numFmtId="0" fontId="62" fillId="0" borderId="0"/>
    <xf numFmtId="43" fontId="62" fillId="0" borderId="0" applyFont="0" applyFill="0" applyBorder="0" applyAlignment="0" applyProtection="0"/>
    <xf numFmtId="9" fontId="62" fillId="0" borderId="0" applyFont="0" applyFill="0" applyBorder="0" applyAlignment="0" applyProtection="0"/>
    <xf numFmtId="43" fontId="9" fillId="0" borderId="0" applyFill="0" applyBorder="0" applyAlignment="0" applyProtection="0"/>
    <xf numFmtId="0" fontId="35" fillId="0" borderId="0"/>
    <xf numFmtId="9" fontId="35" fillId="0" borderId="0" applyFont="0" applyFill="0" applyBorder="0" applyAlignment="0" applyProtection="0"/>
    <xf numFmtId="0" fontId="35" fillId="0" borderId="0"/>
    <xf numFmtId="43" fontId="8" fillId="0" borderId="0" applyFont="0" applyFill="0" applyBorder="0" applyAlignment="0" applyProtection="0"/>
    <xf numFmtId="0" fontId="9" fillId="0" borderId="0" applyNumberFormat="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66" fillId="0" borderId="0"/>
    <xf numFmtId="0" fontId="9" fillId="0" borderId="0"/>
    <xf numFmtId="9" fontId="9" fillId="0" borderId="0" applyFont="0" applyFill="0" applyBorder="0" applyAlignment="0" applyProtection="0"/>
    <xf numFmtId="0" fontId="69" fillId="0" borderId="0"/>
    <xf numFmtId="0" fontId="43" fillId="0" borderId="0" applyNumberForma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9" fontId="72" fillId="0" borderId="0" applyFont="0" applyFill="0" applyBorder="0" applyAlignment="0" applyProtection="0"/>
    <xf numFmtId="0" fontId="125" fillId="0" borderId="72" applyNumberFormat="0" applyFont="0" applyFill="0" applyAlignment="0" applyProtection="0"/>
    <xf numFmtId="9" fontId="9" fillId="0" borderId="0" applyFont="0" applyFill="0" applyBorder="0" applyAlignment="0" applyProtection="0"/>
    <xf numFmtId="189" fontId="73" fillId="0" borderId="0" applyFont="0" applyFill="0" applyBorder="0" applyAlignment="0" applyProtection="0"/>
    <xf numFmtId="188" fontId="9" fillId="0" borderId="0" applyFont="0" applyFill="0" applyBorder="0" applyAlignment="0" applyProtection="0">
      <alignment horizontal="right"/>
    </xf>
    <xf numFmtId="43" fontId="69" fillId="0" borderId="0" applyFont="0" applyFill="0" applyBorder="0" applyAlignment="0" applyProtection="0"/>
    <xf numFmtId="44" fontId="69" fillId="0" borderId="0" applyFont="0" applyFill="0" applyBorder="0" applyAlignment="0" applyProtection="0"/>
    <xf numFmtId="9" fontId="69" fillId="0" borderId="0" applyFont="0" applyFill="0" applyBorder="0" applyAlignment="0" applyProtection="0"/>
    <xf numFmtId="9" fontId="9" fillId="0" borderId="0" applyFont="0" applyFill="0" applyBorder="0" applyAlignment="0" applyProtection="0"/>
    <xf numFmtId="190" fontId="9" fillId="0" borderId="0" applyFill="0" applyBorder="0" applyAlignment="0" applyProtection="0"/>
    <xf numFmtId="3" fontId="44" fillId="0" borderId="0"/>
    <xf numFmtId="0" fontId="72" fillId="31" borderId="0" applyNumberFormat="0" applyBorder="0" applyAlignment="0" applyProtection="0"/>
    <xf numFmtId="0" fontId="72" fillId="32" borderId="0" applyNumberFormat="0" applyBorder="0" applyAlignment="0" applyProtection="0"/>
    <xf numFmtId="0" fontId="72" fillId="33" borderId="0" applyNumberFormat="0" applyBorder="0" applyAlignment="0" applyProtection="0"/>
    <xf numFmtId="0" fontId="72" fillId="34" borderId="0" applyNumberFormat="0" applyBorder="0" applyAlignment="0" applyProtection="0"/>
    <xf numFmtId="0" fontId="72" fillId="35" borderId="0" applyNumberFormat="0" applyBorder="0" applyAlignment="0" applyProtection="0"/>
    <xf numFmtId="0" fontId="72" fillId="36" borderId="0" applyNumberFormat="0" applyBorder="0" applyAlignment="0" applyProtection="0"/>
    <xf numFmtId="0" fontId="72" fillId="37" borderId="0" applyNumberFormat="0" applyBorder="0" applyAlignment="0" applyProtection="0"/>
    <xf numFmtId="0" fontId="72" fillId="38" borderId="0" applyNumberFormat="0" applyBorder="0" applyAlignment="0" applyProtection="0"/>
    <xf numFmtId="0" fontId="72" fillId="39" borderId="0" applyNumberFormat="0" applyBorder="0" applyAlignment="0" applyProtection="0"/>
    <xf numFmtId="0" fontId="72" fillId="34" borderId="0" applyNumberFormat="0" applyBorder="0" applyAlignment="0" applyProtection="0"/>
    <xf numFmtId="0" fontId="72" fillId="37" borderId="0" applyNumberFormat="0" applyBorder="0" applyAlignment="0" applyProtection="0"/>
    <xf numFmtId="0" fontId="72" fillId="40" borderId="0" applyNumberFormat="0" applyBorder="0" applyAlignment="0" applyProtection="0"/>
    <xf numFmtId="0" fontId="74" fillId="41" borderId="0" applyNumberFormat="0" applyBorder="0" applyAlignment="0" applyProtection="0"/>
    <xf numFmtId="0" fontId="74" fillId="38" borderId="0" applyNumberFormat="0" applyBorder="0" applyAlignment="0" applyProtection="0"/>
    <xf numFmtId="0" fontId="74" fillId="39" borderId="0" applyNumberFormat="0" applyBorder="0" applyAlignment="0" applyProtection="0"/>
    <xf numFmtId="0" fontId="74" fillId="42" borderId="0" applyNumberFormat="0" applyBorder="0" applyAlignment="0" applyProtection="0"/>
    <xf numFmtId="0" fontId="74" fillId="43"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46" borderId="0" applyNumberFormat="0" applyBorder="0" applyAlignment="0" applyProtection="0"/>
    <xf numFmtId="0" fontId="74" fillId="47" borderId="0" applyNumberFormat="0" applyBorder="0" applyAlignment="0" applyProtection="0"/>
    <xf numFmtId="0" fontId="74" fillId="42" borderId="0" applyNumberFormat="0" applyBorder="0" applyAlignment="0" applyProtection="0"/>
    <xf numFmtId="0" fontId="74" fillId="43" borderId="0" applyNumberFormat="0" applyBorder="0" applyAlignment="0" applyProtection="0"/>
    <xf numFmtId="0" fontId="74" fillId="48" borderId="0" applyNumberFormat="0" applyBorder="0" applyAlignment="0" applyProtection="0"/>
    <xf numFmtId="0" fontId="75" fillId="32" borderId="0" applyNumberFormat="0" applyBorder="0" applyAlignment="0" applyProtection="0"/>
    <xf numFmtId="0" fontId="76" fillId="49" borderId="2" applyNumberFormat="0" applyAlignment="0" applyProtection="0"/>
    <xf numFmtId="0" fontId="77" fillId="50" borderId="3" applyNumberFormat="0" applyAlignment="0" applyProtection="0"/>
    <xf numFmtId="0" fontId="78" fillId="0" borderId="0" applyNumberFormat="0" applyFill="0" applyBorder="0" applyAlignment="0" applyProtection="0"/>
    <xf numFmtId="0" fontId="79" fillId="33" borderId="0" applyNumberFormat="0" applyBorder="0" applyAlignment="0" applyProtection="0"/>
    <xf numFmtId="0" fontId="80" fillId="0" borderId="4" applyNumberFormat="0" applyFill="0" applyAlignment="0" applyProtection="0"/>
    <xf numFmtId="0" fontId="81" fillId="0" borderId="5" applyNumberFormat="0" applyFill="0" applyAlignment="0" applyProtection="0"/>
    <xf numFmtId="0" fontId="82" fillId="0" borderId="6" applyNumberFormat="0" applyFill="0" applyAlignment="0" applyProtection="0"/>
    <xf numFmtId="0" fontId="82" fillId="0" borderId="0" applyNumberFormat="0" applyFill="0" applyBorder="0" applyAlignment="0" applyProtection="0"/>
    <xf numFmtId="0" fontId="83" fillId="36" borderId="2" applyNumberFormat="0" applyAlignment="0" applyProtection="0"/>
    <xf numFmtId="0" fontId="84" fillId="0" borderId="34" applyNumberFormat="0" applyFill="0" applyAlignment="0" applyProtection="0"/>
    <xf numFmtId="0" fontId="85" fillId="51" borderId="0" applyNumberFormat="0" applyBorder="0" applyAlignment="0" applyProtection="0"/>
    <xf numFmtId="0" fontId="9" fillId="52" borderId="7" applyNumberFormat="0" applyFont="0" applyAlignment="0" applyProtection="0"/>
    <xf numFmtId="0" fontId="86" fillId="49" borderId="8" applyNumberFormat="0" applyAlignment="0" applyProtection="0"/>
    <xf numFmtId="0" fontId="25" fillId="0" borderId="0" applyNumberFormat="0" applyFill="0" applyBorder="0" applyAlignment="0" applyProtection="0"/>
    <xf numFmtId="0" fontId="87" fillId="0" borderId="9" applyNumberFormat="0" applyFill="0" applyAlignment="0" applyProtection="0"/>
    <xf numFmtId="0" fontId="88" fillId="0" borderId="0" applyNumberFormat="0" applyFill="0" applyBorder="0" applyAlignment="0" applyProtection="0"/>
    <xf numFmtId="44" fontId="9" fillId="0" borderId="0" applyFont="0" applyFill="0" applyBorder="0" applyAlignment="0" applyProtection="0"/>
    <xf numFmtId="0" fontId="9" fillId="0" borderId="0"/>
    <xf numFmtId="0" fontId="9" fillId="0" borderId="0"/>
    <xf numFmtId="0" fontId="9" fillId="0" borderId="0"/>
    <xf numFmtId="0" fontId="9" fillId="0" borderId="0"/>
    <xf numFmtId="191"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10" fillId="0" borderId="0" applyFont="0" applyFill="0" applyBorder="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9" fillId="0" borderId="0"/>
    <xf numFmtId="0" fontId="69" fillId="0" borderId="0"/>
    <xf numFmtId="0" fontId="91"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72"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2" fillId="0" borderId="0" applyNumberFormat="0" applyFill="0" applyBorder="0" applyAlignment="0" applyProtection="0"/>
    <xf numFmtId="3" fontId="44" fillId="0" borderId="0"/>
    <xf numFmtId="0" fontId="9" fillId="0" borderId="0"/>
    <xf numFmtId="0" fontId="9" fillId="0" borderId="0"/>
    <xf numFmtId="0" fontId="9" fillId="0" borderId="0"/>
    <xf numFmtId="0" fontId="9" fillId="0" borderId="0"/>
    <xf numFmtId="3" fontId="44" fillId="0" borderId="0"/>
    <xf numFmtId="3" fontId="44" fillId="0" borderId="0"/>
    <xf numFmtId="3" fontId="44" fillId="0" borderId="0"/>
    <xf numFmtId="3" fontId="4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 fontId="44" fillId="0" borderId="0"/>
    <xf numFmtId="0" fontId="9" fillId="0" borderId="0"/>
    <xf numFmtId="0" fontId="9" fillId="0" borderId="0"/>
    <xf numFmtId="0" fontId="9" fillId="0" borderId="0"/>
    <xf numFmtId="3" fontId="44" fillId="0" borderId="0"/>
    <xf numFmtId="3" fontId="44" fillId="0" borderId="0"/>
    <xf numFmtId="3" fontId="44" fillId="0" borderId="0"/>
    <xf numFmtId="3" fontId="44" fillId="0" borderId="0"/>
    <xf numFmtId="3" fontId="44" fillId="0" borderId="0"/>
    <xf numFmtId="3" fontId="44" fillId="0" borderId="0"/>
    <xf numFmtId="3" fontId="44" fillId="0" borderId="0"/>
    <xf numFmtId="0" fontId="9" fillId="0" borderId="0"/>
    <xf numFmtId="0" fontId="9" fillId="0" borderId="0"/>
    <xf numFmtId="0" fontId="9" fillId="0" borderId="0"/>
    <xf numFmtId="3" fontId="44" fillId="0" borderId="0"/>
    <xf numFmtId="3" fontId="44" fillId="0" borderId="0"/>
    <xf numFmtId="3" fontId="44" fillId="0" borderId="0"/>
    <xf numFmtId="3" fontId="44" fillId="0" borderId="0"/>
    <xf numFmtId="0" fontId="9" fillId="0" borderId="0"/>
    <xf numFmtId="0" fontId="9" fillId="0" borderId="0"/>
    <xf numFmtId="3" fontId="44" fillId="0" borderId="0"/>
    <xf numFmtId="0" fontId="9" fillId="0" borderId="0"/>
    <xf numFmtId="0" fontId="9" fillId="0" borderId="0"/>
    <xf numFmtId="3" fontId="44" fillId="0" borderId="0"/>
    <xf numFmtId="3" fontId="44" fillId="0" borderId="0"/>
    <xf numFmtId="0" fontId="9" fillId="0" borderId="0"/>
    <xf numFmtId="0" fontId="9" fillId="0" borderId="0"/>
    <xf numFmtId="3" fontId="44" fillId="0" borderId="0"/>
    <xf numFmtId="0" fontId="9" fillId="0" borderId="0"/>
    <xf numFmtId="0" fontId="9" fillId="0" borderId="0"/>
    <xf numFmtId="0" fontId="9" fillId="0" borderId="0"/>
    <xf numFmtId="3" fontId="44" fillId="0" borderId="0"/>
    <xf numFmtId="3" fontId="44" fillId="0" borderId="0"/>
    <xf numFmtId="3" fontId="44" fillId="0" borderId="0"/>
    <xf numFmtId="3" fontId="44" fillId="0" borderId="0"/>
    <xf numFmtId="3" fontId="44" fillId="0" borderId="0"/>
    <xf numFmtId="0" fontId="9" fillId="0" borderId="0"/>
    <xf numFmtId="3" fontId="44" fillId="0" borderId="0"/>
    <xf numFmtId="0" fontId="9" fillId="0" borderId="0"/>
    <xf numFmtId="0" fontId="9" fillId="0" borderId="0"/>
    <xf numFmtId="0" fontId="44" fillId="0" borderId="0"/>
    <xf numFmtId="43" fontId="9" fillId="0" borderId="0" applyFont="0" applyFill="0" applyBorder="0" applyAlignment="0" applyProtection="0"/>
    <xf numFmtId="191" fontId="9" fillId="0" borderId="0" applyFont="0" applyFill="0" applyBorder="0" applyAlignment="0" applyProtection="0"/>
    <xf numFmtId="0" fontId="93" fillId="0" borderId="0" applyNumberFormat="0" applyFill="0" applyBorder="0" applyAlignment="0" applyProtection="0">
      <alignment vertical="top"/>
      <protection locked="0"/>
    </xf>
    <xf numFmtId="0" fontId="69" fillId="0" borderId="0"/>
    <xf numFmtId="3" fontId="44" fillId="0" borderId="0"/>
    <xf numFmtId="3" fontId="44" fillId="0" borderId="0"/>
    <xf numFmtId="0" fontId="6" fillId="0" borderId="0"/>
    <xf numFmtId="3" fontId="44" fillId="0" borderId="0"/>
    <xf numFmtId="0" fontId="6" fillId="0" borderId="0"/>
    <xf numFmtId="0" fontId="9" fillId="52" borderId="7" applyNumberFormat="0" applyFont="0" applyAlignment="0" applyProtection="0"/>
    <xf numFmtId="3" fontId="44" fillId="0" borderId="15" applyBorder="0"/>
    <xf numFmtId="3" fontId="44" fillId="0" borderId="15" applyBorder="0"/>
    <xf numFmtId="9" fontId="44" fillId="0" borderId="0" applyFont="0" applyFill="0" applyBorder="0" applyProtection="0">
      <alignment horizontal="right"/>
    </xf>
    <xf numFmtId="9" fontId="6" fillId="0" borderId="0" applyFont="0" applyFill="0" applyBorder="0" applyAlignment="0" applyProtection="0"/>
    <xf numFmtId="9" fontId="6" fillId="0" borderId="0" applyFont="0" applyFill="0" applyBorder="0" applyAlignment="0" applyProtection="0"/>
    <xf numFmtId="49" fontId="44" fillId="0" borderId="0">
      <alignment horizontal="right"/>
    </xf>
    <xf numFmtId="3" fontId="29" fillId="0" borderId="0"/>
    <xf numFmtId="3" fontId="44" fillId="0" borderId="0"/>
    <xf numFmtId="3" fontId="44" fillId="0" borderId="0"/>
    <xf numFmtId="0" fontId="9" fillId="0" borderId="0"/>
    <xf numFmtId="0" fontId="94" fillId="53" borderId="1" applyNumberFormat="0" applyAlignment="0" applyProtection="0"/>
    <xf numFmtId="2" fontId="94" fillId="54" borderId="1" applyProtection="0">
      <alignment horizontal="right"/>
    </xf>
    <xf numFmtId="2" fontId="95" fillId="29" borderId="1" applyProtection="0">
      <alignment horizontal="right"/>
    </xf>
    <xf numFmtId="192" fontId="96" fillId="55" borderId="1" applyProtection="0">
      <alignment horizontal="right"/>
    </xf>
    <xf numFmtId="192" fontId="96" fillId="55" borderId="1" applyProtection="0">
      <alignment horizontal="left"/>
    </xf>
    <xf numFmtId="0" fontId="97" fillId="53" borderId="1" applyNumberFormat="0" applyProtection="0">
      <alignment horizontal="left"/>
    </xf>
    <xf numFmtId="3" fontId="71" fillId="0" borderId="0" applyNumberFormat="0"/>
    <xf numFmtId="3" fontId="98" fillId="0" borderId="0"/>
    <xf numFmtId="0" fontId="71" fillId="0" borderId="11">
      <alignment horizontal="right" wrapText="1"/>
    </xf>
    <xf numFmtId="0" fontId="71" fillId="0" borderId="11">
      <alignment horizontal="right" wrapText="1"/>
    </xf>
    <xf numFmtId="0" fontId="71" fillId="0" borderId="11">
      <alignment horizontal="right" wrapText="1"/>
    </xf>
    <xf numFmtId="0" fontId="71" fillId="0" borderId="11">
      <alignment horizontal="right" wrapText="1"/>
    </xf>
    <xf numFmtId="3" fontId="71" fillId="0" borderId="31" applyNumberFormat="0"/>
    <xf numFmtId="167" fontId="99" fillId="0" borderId="0" applyFont="0" applyFill="0" applyBorder="0" applyAlignment="0" applyProtection="0"/>
    <xf numFmtId="0" fontId="100"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1" fillId="0" borderId="0" applyFont="0" applyFill="0" applyBorder="0" applyAlignment="0" applyProtection="0"/>
    <xf numFmtId="43" fontId="102" fillId="0" borderId="0" applyFont="0" applyFill="0" applyBorder="0" applyAlignment="0" applyProtection="0"/>
    <xf numFmtId="43" fontId="69" fillId="0" borderId="0" applyFont="0" applyFill="0" applyBorder="0" applyAlignment="0" applyProtection="0"/>
    <xf numFmtId="43" fontId="72" fillId="0" borderId="0" applyFont="0" applyFill="0" applyBorder="0" applyAlignment="0" applyProtection="0"/>
    <xf numFmtId="44" fontId="101"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69" fillId="0" borderId="0" applyFont="0" applyFill="0" applyBorder="0" applyAlignment="0" applyProtection="0"/>
    <xf numFmtId="44" fontId="72" fillId="0" borderId="0" applyFont="0" applyFill="0" applyBorder="0" applyAlignment="0" applyProtection="0"/>
    <xf numFmtId="22" fontId="9" fillId="0" borderId="0" applyFont="0" applyFill="0" applyBorder="0" applyAlignment="0" applyProtection="0">
      <alignment wrapText="1"/>
    </xf>
    <xf numFmtId="0" fontId="9" fillId="0" borderId="0" applyNumberFormat="0" applyFill="0" applyBorder="0" applyProtection="0">
      <alignment wrapText="1"/>
    </xf>
    <xf numFmtId="0" fontId="9" fillId="0" borderId="0" applyNumberFormat="0" applyFill="0" applyBorder="0" applyProtection="0">
      <alignment horizontal="justify" vertical="top" wrapText="1"/>
    </xf>
    <xf numFmtId="0" fontId="103" fillId="0" borderId="0" applyNumberFormat="0" applyFill="0" applyProtection="0">
      <alignment vertical="center"/>
      <protection locked="0"/>
    </xf>
    <xf numFmtId="0" fontId="104" fillId="0" borderId="0" applyNumberFormat="0">
      <alignment horizontal="right"/>
    </xf>
    <xf numFmtId="0" fontId="72" fillId="0" borderId="0"/>
    <xf numFmtId="0" fontId="72" fillId="0" borderId="0"/>
    <xf numFmtId="0" fontId="72" fillId="0" borderId="0"/>
    <xf numFmtId="0" fontId="9" fillId="0" borderId="0"/>
    <xf numFmtId="0" fontId="72" fillId="0" borderId="0"/>
    <xf numFmtId="0" fontId="6" fillId="0" borderId="0"/>
    <xf numFmtId="0" fontId="9" fillId="0" borderId="0"/>
    <xf numFmtId="4" fontId="10" fillId="24" borderId="0">
      <alignment horizontal="right"/>
    </xf>
    <xf numFmtId="0" fontId="105" fillId="24" borderId="0">
      <alignment horizontal="center" vertical="center"/>
    </xf>
    <xf numFmtId="0" fontId="26" fillId="24" borderId="29"/>
    <xf numFmtId="0" fontId="105" fillId="24" borderId="0" applyBorder="0">
      <alignment horizontal="centerContinuous"/>
    </xf>
    <xf numFmtId="0" fontId="106" fillId="24" borderId="0" applyBorder="0">
      <alignment horizontal="centerContinuous"/>
    </xf>
    <xf numFmtId="9" fontId="107" fillId="0" borderId="0" applyFont="0" applyFill="0" applyBorder="0" applyAlignment="0" applyProtection="0"/>
    <xf numFmtId="194" fontId="9" fillId="0" borderId="0" applyFill="0" applyBorder="0" applyAlignment="0" applyProtection="0">
      <alignment wrapText="1"/>
    </xf>
    <xf numFmtId="193" fontId="9" fillId="0" borderId="0" applyFill="0" applyBorder="0" applyAlignment="0" applyProtection="0">
      <alignment wrapText="1"/>
    </xf>
    <xf numFmtId="0" fontId="9" fillId="0" borderId="0" applyNumberFormat="0" applyFill="0" applyBorder="0" applyProtection="0">
      <alignment horizontal="right" wrapText="1"/>
    </xf>
    <xf numFmtId="0" fontId="9" fillId="0" borderId="0" applyNumberFormat="0" applyFill="0" applyBorder="0">
      <alignment horizontal="right" wrapText="1"/>
    </xf>
    <xf numFmtId="17" fontId="9" fillId="0" borderId="0" applyFill="0" applyBorder="0">
      <alignment horizontal="right" wrapText="1"/>
    </xf>
    <xf numFmtId="8" fontId="9" fillId="0" borderId="0" applyFill="0" applyBorder="0" applyAlignment="0" applyProtection="0">
      <alignment wrapText="1"/>
    </xf>
    <xf numFmtId="0" fontId="41" fillId="0" borderId="0" applyNumberFormat="0" applyFill="0" applyBorder="0">
      <alignment horizontal="left" wrapText="1"/>
    </xf>
    <xf numFmtId="0" fontId="30" fillId="0" borderId="0" applyNumberFormat="0" applyFill="0" applyBorder="0">
      <alignment horizontal="center" wrapText="1"/>
    </xf>
    <xf numFmtId="0" fontId="30" fillId="0" borderId="0" applyNumberFormat="0" applyFill="0" applyBorder="0">
      <alignment horizontal="center" wrapText="1"/>
    </xf>
    <xf numFmtId="169" fontId="9" fillId="0" borderId="0" applyFont="0" applyFill="0" applyBorder="0" applyAlignment="0" applyProtection="0"/>
    <xf numFmtId="0" fontId="9" fillId="0" borderId="13" applyNumberFormat="0" applyFont="0" applyFill="0" applyAlignment="0" applyProtection="0"/>
    <xf numFmtId="43" fontId="6" fillId="0" borderId="0" applyFont="0" applyFill="0" applyBorder="0" applyAlignment="0" applyProtection="0"/>
    <xf numFmtId="43" fontId="6" fillId="0" borderId="0" applyFont="0" applyFill="0" applyBorder="0" applyAlignment="0" applyProtection="0"/>
    <xf numFmtId="43" fontId="9" fillId="0" borderId="0" applyFont="0" applyFill="0" applyBorder="0" applyAlignment="0" applyProtection="0"/>
    <xf numFmtId="190" fontId="9" fillId="0" borderId="0" applyFill="0" applyBorder="0" applyAlignment="0" applyProtection="0"/>
    <xf numFmtId="44" fontId="9" fillId="0" borderId="0" applyFont="0" applyFill="0" applyBorder="0" applyAlignment="0" applyProtection="0"/>
    <xf numFmtId="0" fontId="109" fillId="0" borderId="0"/>
    <xf numFmtId="0" fontId="6" fillId="0" borderId="0"/>
    <xf numFmtId="0" fontId="6" fillId="0" borderId="0"/>
    <xf numFmtId="0" fontId="69" fillId="0" borderId="0"/>
    <xf numFmtId="0" fontId="6" fillId="0" borderId="0"/>
    <xf numFmtId="0" fontId="6" fillId="0" borderId="0"/>
    <xf numFmtId="0" fontId="6" fillId="0" borderId="0"/>
    <xf numFmtId="0" fontId="9"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44" fillId="0" borderId="0" applyFont="0" applyFill="0" applyBorder="0" applyProtection="0">
      <alignment horizontal="right"/>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10" fillId="0" borderId="0"/>
    <xf numFmtId="5" fontId="125" fillId="0" borderId="0" applyFont="0" applyFill="0" applyBorder="0" applyAlignment="0" applyProtection="0"/>
    <xf numFmtId="8" fontId="125" fillId="0" borderId="0" applyFont="0" applyFill="0" applyBorder="0" applyAlignment="0" applyProtection="0"/>
    <xf numFmtId="9" fontId="125" fillId="0" borderId="0" applyFont="0" applyFill="0" applyBorder="0" applyAlignment="0" applyProtection="0"/>
    <xf numFmtId="10" fontId="125" fillId="0" borderId="0" applyFont="0" applyFill="0" applyBorder="0" applyAlignment="0" applyProtection="0"/>
    <xf numFmtId="169" fontId="101" fillId="0" borderId="0" applyFont="0" applyFill="0" applyBorder="0" applyAlignment="0" applyProtection="0"/>
    <xf numFmtId="169" fontId="101" fillId="0" borderId="0" applyFont="0" applyFill="0" applyBorder="0" applyAlignment="0" applyProtection="0"/>
    <xf numFmtId="0" fontId="38" fillId="0" borderId="0"/>
    <xf numFmtId="0" fontId="38" fillId="0" borderId="0"/>
    <xf numFmtId="37" fontId="126" fillId="0" borderId="0" applyNumberFormat="0" applyFill="0" applyBorder="0" applyAlignment="0" applyProtection="0"/>
    <xf numFmtId="0" fontId="127" fillId="0" borderId="0" applyNumberFormat="0" applyFill="0" applyBorder="0" applyAlignment="0" applyProtection="0"/>
    <xf numFmtId="0" fontId="128" fillId="0" borderId="31" applyNumberFormat="0" applyFill="0" applyAlignment="0" applyProtection="0"/>
    <xf numFmtId="0" fontId="125" fillId="0" borderId="31" applyNumberFormat="0" applyFont="0" applyFill="0" applyAlignment="0" applyProtection="0"/>
    <xf numFmtId="0" fontId="125" fillId="0" borderId="10" applyNumberFormat="0" applyFont="0" applyFill="0" applyAlignment="0" applyProtection="0"/>
    <xf numFmtId="0" fontId="125" fillId="0" borderId="29" applyNumberFormat="0" applyFont="0" applyFill="0" applyAlignment="0" applyProtection="0"/>
    <xf numFmtId="0" fontId="125" fillId="0" borderId="28" applyNumberFormat="0" applyFont="0" applyFill="0" applyAlignment="0" applyProtection="0"/>
    <xf numFmtId="37" fontId="129" fillId="0" borderId="0" applyNumberFormat="0" applyFill="0" applyBorder="0" applyAlignment="0" applyProtection="0">
      <alignment horizontal="center"/>
    </xf>
    <xf numFmtId="169" fontId="101" fillId="0" borderId="0" applyFont="0" applyFill="0" applyBorder="0" applyAlignment="0" applyProtection="0"/>
    <xf numFmtId="1" fontId="130" fillId="0" borderId="0"/>
    <xf numFmtId="0" fontId="10" fillId="0" borderId="0"/>
    <xf numFmtId="0" fontId="115" fillId="55" borderId="0"/>
    <xf numFmtId="186" fontId="131" fillId="0" borderId="0" applyFont="0"/>
    <xf numFmtId="197" fontId="132" fillId="0" borderId="0"/>
    <xf numFmtId="2" fontId="132" fillId="0" borderId="0"/>
    <xf numFmtId="3" fontId="133" fillId="0" borderId="0"/>
    <xf numFmtId="187" fontId="133" fillId="0" borderId="0"/>
    <xf numFmtId="2" fontId="133" fillId="0" borderId="0"/>
    <xf numFmtId="169" fontId="134" fillId="0" borderId="0" applyFill="0" applyBorder="0">
      <alignment horizontal="left"/>
    </xf>
    <xf numFmtId="198" fontId="132" fillId="0" borderId="0"/>
    <xf numFmtId="198" fontId="132" fillId="0" borderId="0"/>
    <xf numFmtId="168" fontId="38" fillId="0" borderId="0" applyFont="0" applyFill="0" applyBorder="0" applyAlignment="0" applyProtection="0"/>
    <xf numFmtId="6" fontId="135" fillId="0" borderId="0">
      <protection locked="0"/>
    </xf>
    <xf numFmtId="195" fontId="38" fillId="0" borderId="0"/>
    <xf numFmtId="199" fontId="9" fillId="0" borderId="0" applyFont="0" applyFill="0" applyBorder="0" applyAlignment="0" applyProtection="0"/>
    <xf numFmtId="0" fontId="38" fillId="0" borderId="0">
      <protection locked="0"/>
    </xf>
    <xf numFmtId="38" fontId="29" fillId="28" borderId="0" applyNumberFormat="0" applyBorder="0" applyAlignment="0" applyProtection="0"/>
    <xf numFmtId="0" fontId="136" fillId="0" borderId="0" applyNumberFormat="0" applyFill="0" applyBorder="0" applyAlignment="0" applyProtection="0"/>
    <xf numFmtId="0" fontId="41" fillId="0" borderId="37" applyNumberFormat="0" applyAlignment="0" applyProtection="0">
      <alignment horizontal="left" vertical="center"/>
    </xf>
    <xf numFmtId="0" fontId="41" fillId="0" borderId="11">
      <alignment horizontal="left" vertical="center"/>
    </xf>
    <xf numFmtId="0" fontId="135" fillId="0" borderId="0">
      <protection locked="0"/>
    </xf>
    <xf numFmtId="0" fontId="135" fillId="0" borderId="0">
      <protection locked="0"/>
    </xf>
    <xf numFmtId="37" fontId="137" fillId="0" borderId="31" applyNumberFormat="0" applyFill="0" applyBorder="0" applyAlignment="0" applyProtection="0"/>
    <xf numFmtId="0" fontId="31" fillId="0" borderId="38" applyNumberFormat="0" applyFill="0" applyAlignment="0" applyProtection="0"/>
    <xf numFmtId="0" fontId="32" fillId="0" borderId="0" applyNumberFormat="0" applyFill="0" applyBorder="0" applyAlignment="0" applyProtection="0">
      <alignment vertical="top"/>
      <protection locked="0"/>
    </xf>
    <xf numFmtId="37" fontId="138" fillId="0" borderId="0" applyFill="0" applyBorder="0" applyAlignment="0" applyProtection="0"/>
    <xf numFmtId="10" fontId="29" fillId="57" borderId="22" applyNumberFormat="0" applyBorder="0" applyAlignment="0" applyProtection="0"/>
    <xf numFmtId="169" fontId="38" fillId="0" borderId="0"/>
    <xf numFmtId="0" fontId="121" fillId="0" borderId="0"/>
    <xf numFmtId="0" fontId="124" fillId="0" borderId="0" applyNumberFormat="0" applyFill="0" applyBorder="0" applyProtection="0">
      <alignment horizontal="left" vertical="center"/>
    </xf>
    <xf numFmtId="37" fontId="139" fillId="0" borderId="0" applyNumberFormat="0" applyFill="0" applyBorder="0" applyAlignment="0" applyProtection="0">
      <alignment horizontal="center"/>
    </xf>
    <xf numFmtId="37" fontId="139" fillId="0" borderId="0" applyNumberFormat="0" applyFill="0" applyBorder="0" applyAlignment="0" applyProtection="0">
      <alignment horizontal="center"/>
    </xf>
    <xf numFmtId="14" fontId="125" fillId="0" borderId="0" applyFont="0" applyFill="0" applyBorder="0" applyAlignment="0" applyProtection="0"/>
    <xf numFmtId="0" fontId="113" fillId="53" borderId="0"/>
    <xf numFmtId="0" fontId="15" fillId="58" borderId="0"/>
    <xf numFmtId="0" fontId="112" fillId="0" borderId="0"/>
    <xf numFmtId="196" fontId="9" fillId="0" borderId="0"/>
    <xf numFmtId="43" fontId="38" fillId="0" borderId="0" applyFont="0" applyFill="0" applyBorder="0" applyAlignment="0" applyProtection="0"/>
    <xf numFmtId="41" fontId="38" fillId="0" borderId="0" applyFont="0" applyFill="0" applyBorder="0" applyAlignment="0" applyProtection="0"/>
    <xf numFmtId="167" fontId="132" fillId="0" borderId="0"/>
    <xf numFmtId="10" fontId="9" fillId="0" borderId="0" applyFont="0" applyFill="0" applyBorder="0" applyAlignment="0" applyProtection="0"/>
    <xf numFmtId="167" fontId="131" fillId="0" borderId="0"/>
    <xf numFmtId="9" fontId="9" fillId="0" borderId="0"/>
    <xf numFmtId="167" fontId="138" fillId="0" borderId="0" applyFill="0" applyBorder="0" applyAlignment="0" applyProtection="0"/>
    <xf numFmtId="0" fontId="124" fillId="0" borderId="0" applyNumberFormat="0" applyFill="0" applyBorder="0" applyProtection="0">
      <alignment horizontal="right" vertical="center"/>
    </xf>
    <xf numFmtId="0" fontId="114" fillId="59" borderId="0"/>
    <xf numFmtId="0" fontId="140" fillId="60" borderId="0" applyNumberFormat="0" applyFont="0" applyBorder="0" applyAlignment="0" applyProtection="0"/>
    <xf numFmtId="0" fontId="118" fillId="0" borderId="0"/>
    <xf numFmtId="0" fontId="117" fillId="0" borderId="0"/>
    <xf numFmtId="0" fontId="125" fillId="0" borderId="0" applyNumberFormat="0" applyFont="0" applyFill="0" applyBorder="0" applyProtection="0">
      <alignment horizontal="left" vertical="top" wrapText="1"/>
    </xf>
    <xf numFmtId="0" fontId="119" fillId="0" borderId="0">
      <alignment vertical="top"/>
    </xf>
    <xf numFmtId="0" fontId="120" fillId="0" borderId="0"/>
    <xf numFmtId="0" fontId="116" fillId="0" borderId="0">
      <alignment vertical="top"/>
    </xf>
    <xf numFmtId="0" fontId="122" fillId="61" borderId="0" applyNumberFormat="0" applyBorder="0" applyProtection="0">
      <alignment horizontal="left" vertical="center"/>
    </xf>
    <xf numFmtId="0" fontId="123" fillId="1" borderId="0" applyNumberFormat="0" applyBorder="0" applyProtection="0">
      <alignment horizontal="left" vertical="center"/>
    </xf>
    <xf numFmtId="0" fontId="111" fillId="0" borderId="0">
      <alignment vertical="top"/>
    </xf>
    <xf numFmtId="37" fontId="141" fillId="0" borderId="0" applyNumberFormat="0" applyFill="0" applyBorder="0" applyAlignment="0" applyProtection="0">
      <alignment horizontal="center"/>
    </xf>
    <xf numFmtId="37" fontId="141" fillId="0" borderId="0" applyNumberFormat="0" applyFill="0" applyBorder="0" applyAlignment="0" applyProtection="0">
      <alignment horizontal="center"/>
    </xf>
    <xf numFmtId="0" fontId="119" fillId="0" borderId="0">
      <alignment wrapText="1"/>
    </xf>
    <xf numFmtId="37" fontId="29" fillId="62" borderId="0" applyNumberFormat="0" applyBorder="0" applyAlignment="0" applyProtection="0"/>
    <xf numFmtId="37" fontId="29" fillId="0" borderId="0"/>
    <xf numFmtId="3" fontId="70" fillId="0" borderId="38" applyProtection="0"/>
    <xf numFmtId="6" fontId="142" fillId="0" borderId="35" applyNumberFormat="0" applyFill="0" applyBorder="0" applyAlignment="0" applyProtection="0">
      <alignment horizontal="right"/>
    </xf>
    <xf numFmtId="1" fontId="140" fillId="0" borderId="31">
      <alignment horizontal="center"/>
    </xf>
    <xf numFmtId="0" fontId="108" fillId="0" borderId="0"/>
    <xf numFmtId="0" fontId="9" fillId="0" borderId="0"/>
    <xf numFmtId="0" fontId="6" fillId="0" borderId="0"/>
    <xf numFmtId="0" fontId="6" fillId="0" borderId="0"/>
    <xf numFmtId="0" fontId="143" fillId="0" borderId="0">
      <alignment horizontal="left"/>
    </xf>
    <xf numFmtId="0" fontId="143" fillId="0" borderId="0">
      <alignment horizontal="left"/>
    </xf>
    <xf numFmtId="0" fontId="73" fillId="0" borderId="0"/>
    <xf numFmtId="200" fontId="73" fillId="0" borderId="31"/>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43" fillId="0" borderId="0">
      <alignment horizontal="left"/>
    </xf>
    <xf numFmtId="0" fontId="144" fillId="0" borderId="0">
      <alignment horizontal="left"/>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71" fillId="0" borderId="11">
      <alignment horizontal="center" wrapText="1"/>
    </xf>
    <xf numFmtId="0" fontId="101" fillId="0" borderId="0"/>
    <xf numFmtId="0" fontId="108" fillId="0" borderId="0"/>
    <xf numFmtId="201" fontId="145" fillId="0" borderId="0">
      <alignment horizontal="right"/>
    </xf>
    <xf numFmtId="202" fontId="145" fillId="28" borderId="0"/>
    <xf numFmtId="203" fontId="145" fillId="28" borderId="0"/>
    <xf numFmtId="204" fontId="145" fillId="28" borderId="0"/>
    <xf numFmtId="205" fontId="145" fillId="28" borderId="0">
      <alignment horizontal="right"/>
    </xf>
    <xf numFmtId="4" fontId="73" fillId="0" borderId="0" applyFont="0" applyFill="0" applyBorder="0" applyAlignment="0" applyProtection="0"/>
    <xf numFmtId="44" fontId="29" fillId="0" borderId="0" applyFont="0" applyFill="0" applyBorder="0" applyAlignment="0" applyProtection="0"/>
    <xf numFmtId="206" fontId="146" fillId="0" borderId="0" applyFill="0" applyBorder="0">
      <alignment horizontal="right"/>
    </xf>
    <xf numFmtId="207" fontId="146" fillId="0" borderId="0" applyFill="0" applyBorder="0">
      <alignment horizontal="right"/>
    </xf>
    <xf numFmtId="208" fontId="146" fillId="0" borderId="31" applyFill="0" applyBorder="0">
      <alignment horizontal="right"/>
    </xf>
    <xf numFmtId="209" fontId="145" fillId="28" borderId="29">
      <alignment horizontal="right"/>
    </xf>
    <xf numFmtId="210" fontId="145" fillId="63" borderId="0"/>
    <xf numFmtId="211" fontId="145" fillId="63" borderId="0"/>
    <xf numFmtId="212" fontId="145" fillId="63" borderId="0"/>
    <xf numFmtId="213" fontId="145" fillId="0" borderId="0"/>
    <xf numFmtId="214" fontId="145" fillId="0" borderId="0"/>
    <xf numFmtId="215" fontId="145" fillId="0" borderId="0"/>
    <xf numFmtId="211" fontId="145" fillId="0" borderId="39"/>
    <xf numFmtId="216" fontId="145" fillId="28" borderId="29">
      <alignment horizontal="right"/>
    </xf>
    <xf numFmtId="0" fontId="147" fillId="0" borderId="0" applyNumberFormat="0" applyFill="0" applyBorder="0" applyAlignment="0" applyProtection="0">
      <alignment vertical="top"/>
      <protection locked="0"/>
    </xf>
    <xf numFmtId="217" fontId="145" fillId="0" borderId="0">
      <alignment horizontal="right"/>
    </xf>
    <xf numFmtId="218" fontId="145" fillId="63" borderId="0">
      <alignment horizontal="right"/>
    </xf>
    <xf numFmtId="219" fontId="145" fillId="63" borderId="29">
      <alignment horizontal="right"/>
    </xf>
    <xf numFmtId="164" fontId="73" fillId="0" borderId="0"/>
    <xf numFmtId="10" fontId="29" fillId="57" borderId="118" applyNumberFormat="0" applyBorder="0" applyAlignment="0" applyProtection="0"/>
    <xf numFmtId="0" fontId="6" fillId="0" borderId="0"/>
    <xf numFmtId="0" fontId="6" fillId="0" borderId="0"/>
    <xf numFmtId="0" fontId="6" fillId="0" borderId="0"/>
    <xf numFmtId="0" fontId="29" fillId="0" borderId="0"/>
    <xf numFmtId="0" fontId="6" fillId="0" borderId="0"/>
    <xf numFmtId="3" fontId="44" fillId="0" borderId="28" applyBorder="0"/>
    <xf numFmtId="220" fontId="146" fillId="0" borderId="0" applyFill="0" applyBorder="0">
      <alignment horizontal="right"/>
    </xf>
    <xf numFmtId="221" fontId="146" fillId="0" borderId="0" applyFill="0" applyBorder="0">
      <alignment horizontal="right"/>
    </xf>
    <xf numFmtId="222" fontId="146" fillId="0" borderId="0" applyFill="0" applyBorder="0">
      <alignment horizontal="right"/>
    </xf>
    <xf numFmtId="0" fontId="148" fillId="0" borderId="0" applyNumberFormat="0" applyFill="0" applyBorder="0" applyAlignment="0" applyProtection="0"/>
    <xf numFmtId="223" fontId="145" fillId="63" borderId="0"/>
    <xf numFmtId="224" fontId="145" fillId="0" borderId="0"/>
    <xf numFmtId="167" fontId="73" fillId="0" borderId="0"/>
    <xf numFmtId="225" fontId="73" fillId="0" borderId="0"/>
    <xf numFmtId="226" fontId="145" fillId="63" borderId="0">
      <alignment horizontal="right"/>
    </xf>
    <xf numFmtId="227" fontId="145" fillId="28" borderId="0"/>
    <xf numFmtId="0" fontId="149" fillId="0" borderId="0">
      <alignment horizontal="center"/>
    </xf>
    <xf numFmtId="0" fontId="145" fillId="0" borderId="31">
      <alignment horizontal="centerContinuous"/>
    </xf>
    <xf numFmtId="228" fontId="145" fillId="28" borderId="0">
      <alignment horizontal="right"/>
    </xf>
    <xf numFmtId="229" fontId="145" fillId="28" borderId="29">
      <alignment horizontal="right"/>
    </xf>
    <xf numFmtId="49" fontId="150" fillId="0" borderId="0"/>
    <xf numFmtId="0" fontId="151" fillId="0" borderId="0"/>
    <xf numFmtId="3" fontId="71" fillId="0" borderId="31" applyNumberFormat="0"/>
    <xf numFmtId="0" fontId="101" fillId="0" borderId="0"/>
    <xf numFmtId="0" fontId="87" fillId="0" borderId="42" applyNumberFormat="0" applyFill="0" applyAlignment="0" applyProtection="0"/>
    <xf numFmtId="0" fontId="9" fillId="0" borderId="0"/>
    <xf numFmtId="0" fontId="157" fillId="0" borderId="0" applyNumberFormat="0" applyFill="0" applyBorder="0" applyAlignment="0" applyProtection="0"/>
    <xf numFmtId="0" fontId="9" fillId="0" borderId="0">
      <alignment vertical="top"/>
    </xf>
    <xf numFmtId="0" fontId="9" fillId="0" borderId="0">
      <alignment vertical="top"/>
    </xf>
    <xf numFmtId="0" fontId="153" fillId="0" borderId="30"/>
    <xf numFmtId="0" fontId="24" fillId="0" borderId="30">
      <alignment horizontal="centerContinuous"/>
    </xf>
    <xf numFmtId="0" fontId="24" fillId="0" borderId="30">
      <alignment horizontal="centerContinuous"/>
    </xf>
    <xf numFmtId="0" fontId="24" fillId="0" borderId="0"/>
    <xf numFmtId="0" fontId="9" fillId="62" borderId="0" applyNumberFormat="0" applyFont="0" applyBorder="0" applyAlignment="0" applyProtection="0"/>
    <xf numFmtId="9" fontId="9" fillId="0" borderId="0" applyFont="0" applyFill="0" applyBorder="0" applyAlignment="0" applyProtection="0"/>
    <xf numFmtId="0" fontId="100" fillId="0" borderId="0">
      <alignment vertical="center"/>
    </xf>
    <xf numFmtId="0" fontId="86" fillId="65" borderId="8" applyNumberFormat="0" applyAlignment="0" applyProtection="0"/>
    <xf numFmtId="0" fontId="9" fillId="51" borderId="7" applyNumberFormat="0" applyFont="0" applyAlignment="0" applyProtection="0"/>
    <xf numFmtId="0" fontId="83" fillId="51" borderId="2" applyNumberFormat="0" applyAlignment="0" applyProtection="0"/>
    <xf numFmtId="0" fontId="156" fillId="0" borderId="0" applyNumberFormat="0" applyFill="0" applyBorder="0" applyAlignment="0" applyProtection="0"/>
    <xf numFmtId="0" fontId="156" fillId="0" borderId="41" applyNumberFormat="0" applyFill="0" applyAlignment="0" applyProtection="0"/>
    <xf numFmtId="0" fontId="155" fillId="0" borderId="5" applyNumberFormat="0" applyFill="0" applyAlignment="0" applyProtection="0"/>
    <xf numFmtId="0" fontId="154" fillId="0" borderId="40" applyNumberFormat="0" applyFill="0" applyAlignment="0" applyProtection="0"/>
    <xf numFmtId="4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6" fillId="65" borderId="2" applyNumberFormat="0" applyAlignment="0" applyProtection="0"/>
    <xf numFmtId="0" fontId="13" fillId="0" borderId="0"/>
    <xf numFmtId="0" fontId="74" fillId="38" borderId="0" applyNumberFormat="0" applyBorder="0" applyAlignment="0" applyProtection="0"/>
    <xf numFmtId="0" fontId="74" fillId="64" borderId="0" applyNumberFormat="0" applyBorder="0" applyAlignment="0" applyProtection="0"/>
    <xf numFmtId="0" fontId="74" fillId="52" borderId="0" applyNumberFormat="0" applyBorder="0" applyAlignment="0" applyProtection="0"/>
    <xf numFmtId="0" fontId="74" fillId="38" borderId="0" applyNumberFormat="0" applyBorder="0" applyAlignment="0" applyProtection="0"/>
    <xf numFmtId="0" fontId="74" fillId="43" borderId="0" applyNumberFormat="0" applyBorder="0" applyAlignment="0" applyProtection="0"/>
    <xf numFmtId="0" fontId="74" fillId="51" borderId="0" applyNumberFormat="0" applyBorder="0" applyAlignment="0" applyProtection="0"/>
    <xf numFmtId="0" fontId="74" fillId="49" borderId="0" applyNumberFormat="0" applyBorder="0" applyAlignment="0" applyProtection="0"/>
    <xf numFmtId="0" fontId="74" fillId="52" borderId="0" applyNumberFormat="0" applyBorder="0" applyAlignment="0" applyProtection="0"/>
    <xf numFmtId="0" fontId="74" fillId="43" borderId="0" applyNumberFormat="0" applyBorder="0" applyAlignment="0" applyProtection="0"/>
    <xf numFmtId="0" fontId="72" fillId="51" borderId="0" applyNumberFormat="0" applyBorder="0" applyAlignment="0" applyProtection="0"/>
    <xf numFmtId="0" fontId="72" fillId="49" borderId="0" applyNumberFormat="0" applyBorder="0" applyAlignment="0" applyProtection="0"/>
    <xf numFmtId="0" fontId="72" fillId="51" borderId="0" applyNumberFormat="0" applyBorder="0" applyAlignment="0" applyProtection="0"/>
    <xf numFmtId="0" fontId="72" fillId="49" borderId="0" applyNumberFormat="0" applyBorder="0" applyAlignment="0" applyProtection="0"/>
    <xf numFmtId="0" fontId="72" fillId="51" borderId="0" applyNumberFormat="0" applyBorder="0" applyAlignment="0" applyProtection="0"/>
    <xf numFmtId="0" fontId="72" fillId="36" borderId="0" applyNumberFormat="0" applyBorder="0" applyAlignment="0" applyProtection="0"/>
    <xf numFmtId="0" fontId="72" fillId="51" borderId="0" applyNumberFormat="0" applyBorder="0" applyAlignment="0" applyProtection="0"/>
    <xf numFmtId="0" fontId="72" fillId="38" borderId="0" applyNumberFormat="0" applyBorder="0" applyAlignment="0" applyProtection="0"/>
    <xf numFmtId="0" fontId="72" fillId="36" borderId="0" applyNumberFormat="0" applyBorder="0" applyAlignment="0" applyProtection="0"/>
    <xf numFmtId="0" fontId="35" fillId="0" borderId="0"/>
    <xf numFmtId="0" fontId="35" fillId="0" borderId="0"/>
    <xf numFmtId="0" fontId="35" fillId="0" borderId="0"/>
    <xf numFmtId="0" fontId="35" fillId="0" borderId="0"/>
    <xf numFmtId="0" fontId="9" fillId="0" borderId="0"/>
    <xf numFmtId="0" fontId="9" fillId="0" borderId="0"/>
    <xf numFmtId="0" fontId="9" fillId="0" borderId="0"/>
    <xf numFmtId="0" fontId="9" fillId="0" borderId="0"/>
    <xf numFmtId="0" fontId="9" fillId="0" borderId="0"/>
    <xf numFmtId="3" fontId="44" fillId="0" borderId="0"/>
    <xf numFmtId="0" fontId="9" fillId="0" borderId="0"/>
    <xf numFmtId="0" fontId="9" fillId="0" borderId="0"/>
    <xf numFmtId="0" fontId="6" fillId="0" borderId="0"/>
    <xf numFmtId="0" fontId="6" fillId="0" borderId="0"/>
    <xf numFmtId="9" fontId="9" fillId="0" borderId="0" applyFont="0" applyFill="0" applyBorder="0" applyAlignment="0" applyProtection="0"/>
    <xf numFmtId="9" fontId="9" fillId="0" borderId="0" applyFont="0" applyFill="0" applyBorder="0" applyAlignment="0" applyProtection="0"/>
    <xf numFmtId="10" fontId="29" fillId="57" borderId="22" applyNumberFormat="0" applyBorder="0" applyAlignment="0" applyProtection="0"/>
    <xf numFmtId="37" fontId="138" fillId="0" borderId="0" applyFill="0" applyBorder="0" applyAlignment="0" applyProtection="0"/>
    <xf numFmtId="37" fontId="138" fillId="0" borderId="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9" fillId="0" borderId="0"/>
    <xf numFmtId="0" fontId="152" fillId="0" borderId="0" applyNumberFormat="0" applyFill="0" applyBorder="0" applyAlignment="0" applyProtection="0">
      <alignment vertical="top"/>
      <protection locked="0"/>
    </xf>
    <xf numFmtId="0" fontId="6" fillId="0" borderId="0"/>
    <xf numFmtId="0" fontId="6" fillId="0" borderId="0"/>
    <xf numFmtId="9" fontId="9" fillId="0" borderId="0" applyFont="0" applyFill="0" applyBorder="0" applyAlignment="0" applyProtection="0"/>
    <xf numFmtId="9" fontId="9" fillId="0" borderId="0" applyFont="0" applyFill="0" applyBorder="0" applyAlignment="0" applyProtection="0"/>
    <xf numFmtId="37" fontId="138" fillId="0" borderId="0" applyFill="0" applyBorder="0" applyAlignment="0" applyProtection="0"/>
    <xf numFmtId="37" fontId="138" fillId="0" borderId="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83" fillId="51" borderId="2" applyNumberFormat="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156" fillId="0" borderId="41" applyNumberFormat="0" applyFill="0" applyAlignment="0" applyProtection="0"/>
    <xf numFmtId="0" fontId="83" fillId="51" borderId="2" applyNumberFormat="0" applyAlignment="0" applyProtection="0"/>
    <xf numFmtId="9" fontId="9" fillId="0" borderId="0" applyFont="0" applyFill="0" applyBorder="0" applyAlignment="0" applyProtection="0"/>
    <xf numFmtId="0" fontId="9" fillId="0" borderId="0"/>
    <xf numFmtId="0" fontId="77" fillId="50" borderId="3" applyNumberFormat="0" applyAlignment="0" applyProtection="0"/>
    <xf numFmtId="3" fontId="44" fillId="0" borderId="28" applyBorder="0"/>
    <xf numFmtId="0" fontId="86" fillId="49" borderId="8" applyNumberFormat="0" applyAlignment="0" applyProtection="0"/>
    <xf numFmtId="0" fontId="6" fillId="0" borderId="0"/>
    <xf numFmtId="0" fontId="6" fillId="0" borderId="0"/>
    <xf numFmtId="3" fontId="44" fillId="0" borderId="15" applyBorder="0"/>
    <xf numFmtId="3" fontId="44" fillId="0" borderId="15" applyBorder="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9" fillId="0" borderId="0"/>
    <xf numFmtId="0" fontId="9" fillId="0" borderId="0"/>
    <xf numFmtId="9" fontId="6" fillId="0" borderId="0" applyFont="0" applyFill="0" applyBorder="0" applyAlignment="0" applyProtection="0"/>
    <xf numFmtId="0" fontId="125" fillId="0" borderId="33" applyNumberFormat="0" applyFont="0" applyFill="0" applyAlignment="0" applyProtection="0"/>
    <xf numFmtId="0" fontId="41" fillId="0" borderId="11">
      <alignment horizontal="left" vertical="center"/>
    </xf>
    <xf numFmtId="0" fontId="31" fillId="0" borderId="38" applyNumberFormat="0" applyFill="0" applyAlignment="0" applyProtection="0"/>
    <xf numFmtId="10" fontId="29" fillId="57" borderId="22" applyNumberFormat="0" applyBorder="0" applyAlignment="0" applyProtection="0"/>
    <xf numFmtId="3" fontId="70" fillId="0" borderId="38" applyProtection="0"/>
    <xf numFmtId="6" fontId="142" fillId="0" borderId="35" applyNumberFormat="0" applyFill="0" applyBorder="0" applyAlignment="0" applyProtection="0">
      <alignment horizontal="right"/>
    </xf>
    <xf numFmtId="0" fontId="6" fillId="0" borderId="0"/>
    <xf numFmtId="0" fontId="6" fillId="0" borderId="0"/>
    <xf numFmtId="0" fontId="71" fillId="0" borderId="11">
      <alignment horizontal="center" wrapText="1"/>
    </xf>
    <xf numFmtId="0" fontId="6" fillId="0" borderId="0"/>
    <xf numFmtId="0" fontId="6" fillId="0" borderId="0"/>
    <xf numFmtId="0" fontId="6" fillId="0" borderId="0"/>
    <xf numFmtId="0" fontId="6" fillId="0" borderId="0"/>
    <xf numFmtId="0" fontId="87" fillId="0" borderId="42" applyNumberFormat="0" applyFill="0" applyAlignment="0" applyProtection="0"/>
    <xf numFmtId="0" fontId="9" fillId="0" borderId="0"/>
    <xf numFmtId="0" fontId="9" fillId="0" borderId="0">
      <alignment vertical="top"/>
    </xf>
    <xf numFmtId="0" fontId="9" fillId="0" borderId="0">
      <alignment vertical="top"/>
    </xf>
    <xf numFmtId="9" fontId="9" fillId="0" borderId="0" applyFont="0" applyFill="0" applyBorder="0" applyAlignment="0" applyProtection="0"/>
    <xf numFmtId="0" fontId="9" fillId="51" borderId="7" applyNumberFormat="0" applyFont="0" applyAlignment="0" applyProtection="0"/>
    <xf numFmtId="0" fontId="156" fillId="0" borderId="41" applyNumberFormat="0" applyFill="0" applyAlignment="0" applyProtection="0"/>
    <xf numFmtId="4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0" borderId="0"/>
    <xf numFmtId="0" fontId="109" fillId="0" borderId="0"/>
    <xf numFmtId="0" fontId="6" fillId="0" borderId="0"/>
    <xf numFmtId="0" fontId="6" fillId="0" borderId="0"/>
    <xf numFmtId="9" fontId="6" fillId="0" borderId="0" applyFont="0" applyFill="0" applyBorder="0" applyAlignment="0" applyProtection="0"/>
    <xf numFmtId="0" fontId="31" fillId="0" borderId="45" applyNumberFormat="0" applyFill="0" applyAlignment="0" applyProtection="0"/>
    <xf numFmtId="0" fontId="76" fillId="49" borderId="2" applyNumberFormat="0" applyAlignment="0" applyProtection="0"/>
    <xf numFmtId="0" fontId="77" fillId="50" borderId="44" applyNumberFormat="0" applyAlignment="0" applyProtection="0"/>
    <xf numFmtId="0" fontId="83" fillId="36" borderId="2" applyNumberFormat="0" applyAlignment="0" applyProtection="0"/>
    <xf numFmtId="0" fontId="84" fillId="0" borderId="34" applyNumberFormat="0" applyFill="0" applyAlignment="0" applyProtection="0"/>
    <xf numFmtId="0" fontId="9" fillId="52" borderId="7" applyNumberFormat="0" applyFont="0" applyAlignment="0" applyProtection="0"/>
    <xf numFmtId="0" fontId="86" fillId="49" borderId="8" applyNumberFormat="0" applyAlignment="0" applyProtection="0"/>
    <xf numFmtId="0" fontId="87" fillId="0" borderId="9" applyNumberFormat="0" applyFill="0" applyAlignment="0" applyProtection="0"/>
    <xf numFmtId="3" fontId="70" fillId="0" borderId="45" applyProtection="0"/>
    <xf numFmtId="0" fontId="6" fillId="0" borderId="0"/>
    <xf numFmtId="0" fontId="6" fillId="0" borderId="0"/>
    <xf numFmtId="0" fontId="9" fillId="52" borderId="7" applyNumberFormat="0" applyFont="0" applyAlignment="0" applyProtection="0"/>
    <xf numFmtId="3" fontId="44" fillId="0" borderId="15" applyBorder="0"/>
    <xf numFmtId="3" fontId="44" fillId="0" borderId="15" applyBorder="0"/>
    <xf numFmtId="9" fontId="6" fillId="0" borderId="0" applyFont="0" applyFill="0" applyBorder="0" applyAlignment="0" applyProtection="0"/>
    <xf numFmtId="9" fontId="6" fillId="0" borderId="0" applyFont="0" applyFill="0" applyBorder="0" applyAlignment="0" applyProtection="0"/>
    <xf numFmtId="0" fontId="94" fillId="53" borderId="1" applyNumberFormat="0" applyAlignment="0" applyProtection="0"/>
    <xf numFmtId="2" fontId="94" fillId="54" borderId="1" applyProtection="0">
      <alignment horizontal="right"/>
    </xf>
    <xf numFmtId="2" fontId="95" fillId="29" borderId="1" applyProtection="0">
      <alignment horizontal="right"/>
    </xf>
    <xf numFmtId="192" fontId="96" fillId="55" borderId="1" applyProtection="0">
      <alignment horizontal="right"/>
    </xf>
    <xf numFmtId="192" fontId="96" fillId="55" borderId="1" applyProtection="0">
      <alignment horizontal="left"/>
    </xf>
    <xf numFmtId="0" fontId="97" fillId="53" borderId="1" applyNumberFormat="0" applyProtection="0">
      <alignment horizontal="left"/>
    </xf>
    <xf numFmtId="0" fontId="71" fillId="0" borderId="11">
      <alignment horizontal="right" wrapText="1"/>
    </xf>
    <xf numFmtId="0" fontId="71" fillId="0" borderId="11">
      <alignment horizontal="right" wrapText="1"/>
    </xf>
    <xf numFmtId="0" fontId="71" fillId="0" borderId="11">
      <alignment horizontal="right" wrapText="1"/>
    </xf>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41" fillId="0" borderId="11">
      <alignment horizontal="left" vertical="center"/>
    </xf>
    <xf numFmtId="0" fontId="31" fillId="0" borderId="45" applyNumberFormat="0" applyFill="0" applyAlignment="0" applyProtection="0"/>
    <xf numFmtId="10" fontId="29" fillId="57" borderId="22" applyNumberFormat="0" applyBorder="0" applyAlignment="0" applyProtection="0"/>
    <xf numFmtId="0" fontId="77" fillId="50" borderId="44" applyNumberFormat="0" applyAlignment="0" applyProtection="0"/>
    <xf numFmtId="3" fontId="70" fillId="0" borderId="45" applyProtection="0"/>
    <xf numFmtId="6" fontId="142" fillId="0" borderId="35" applyNumberFormat="0" applyFill="0" applyBorder="0" applyAlignment="0" applyProtection="0">
      <alignment horizontal="right"/>
    </xf>
    <xf numFmtId="0" fontId="6" fillId="0" borderId="0"/>
    <xf numFmtId="0" fontId="6" fillId="0" borderId="0"/>
    <xf numFmtId="0" fontId="71" fillId="0" borderId="11">
      <alignment horizontal="center" wrapText="1"/>
    </xf>
    <xf numFmtId="0" fontId="6" fillId="0" borderId="0"/>
    <xf numFmtId="0" fontId="6" fillId="0" borderId="0"/>
    <xf numFmtId="0" fontId="6" fillId="0" borderId="0"/>
    <xf numFmtId="0" fontId="6" fillId="0" borderId="0"/>
    <xf numFmtId="0" fontId="86" fillId="65" borderId="8" applyNumberFormat="0" applyAlignment="0" applyProtection="0"/>
    <xf numFmtId="0" fontId="9" fillId="51" borderId="7" applyNumberFormat="0" applyFont="0" applyAlignment="0" applyProtection="0"/>
    <xf numFmtId="0" fontId="83" fillId="51" borderId="2" applyNumberFormat="0" applyAlignment="0" applyProtection="0"/>
    <xf numFmtId="0" fontId="76" fillId="65" borderId="2" applyNumberFormat="0" applyAlignment="0" applyProtection="0"/>
    <xf numFmtId="0" fontId="6" fillId="0" borderId="0"/>
    <xf numFmtId="0" fontId="6" fillId="0" borderId="0"/>
    <xf numFmtId="10" fontId="29" fillId="57" borderId="22" applyNumberFormat="0" applyBorder="0" applyAlignment="0" applyProtection="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125" fillId="0" borderId="43" applyNumberFormat="0" applyFont="0" applyFill="0" applyAlignment="0" applyProtection="0"/>
    <xf numFmtId="0" fontId="83" fillId="51" borderId="2" applyNumberFormat="0" applyAlignment="0" applyProtection="0"/>
    <xf numFmtId="0" fontId="83" fillId="51" borderId="2" applyNumberFormat="0" applyAlignment="0" applyProtection="0"/>
    <xf numFmtId="0" fontId="77" fillId="50" borderId="44" applyNumberFormat="0" applyAlignment="0" applyProtection="0"/>
    <xf numFmtId="0" fontId="86" fillId="49" borderId="8" applyNumberFormat="0" applyAlignment="0" applyProtection="0"/>
    <xf numFmtId="0" fontId="6" fillId="0" borderId="0"/>
    <xf numFmtId="0" fontId="6" fillId="0" borderId="0"/>
    <xf numFmtId="3" fontId="44" fillId="0" borderId="15" applyBorder="0"/>
    <xf numFmtId="3" fontId="44" fillId="0" borderId="15" applyBorder="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41" fillId="0" borderId="11">
      <alignment horizontal="left" vertical="center"/>
    </xf>
    <xf numFmtId="0" fontId="31" fillId="0" borderId="45" applyNumberFormat="0" applyFill="0" applyAlignment="0" applyProtection="0"/>
    <xf numFmtId="10" fontId="29" fillId="57" borderId="22" applyNumberFormat="0" applyBorder="0" applyAlignment="0" applyProtection="0"/>
    <xf numFmtId="3" fontId="70" fillId="0" borderId="45" applyProtection="0"/>
    <xf numFmtId="6" fontId="142" fillId="0" borderId="35" applyNumberFormat="0" applyFill="0" applyBorder="0" applyAlignment="0" applyProtection="0">
      <alignment horizontal="right"/>
    </xf>
    <xf numFmtId="0" fontId="6" fillId="0" borderId="0"/>
    <xf numFmtId="0" fontId="6" fillId="0" borderId="0"/>
    <xf numFmtId="0" fontId="71" fillId="0" borderId="11">
      <alignment horizontal="center" wrapText="1"/>
    </xf>
    <xf numFmtId="0" fontId="6" fillId="0" borderId="0"/>
    <xf numFmtId="0" fontId="6" fillId="0" borderId="0"/>
    <xf numFmtId="0" fontId="6" fillId="0" borderId="0"/>
    <xf numFmtId="0" fontId="6" fillId="0" borderId="0"/>
    <xf numFmtId="0" fontId="9" fillId="51" borderId="7" applyNumberFormat="0" applyFon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77" fillId="50" borderId="44" applyNumberFormat="0" applyAlignment="0" applyProtection="0"/>
    <xf numFmtId="0" fontId="125" fillId="0" borderId="43" applyNumberFormat="0" applyFont="0" applyFill="0" applyAlignment="0" applyProtection="0"/>
    <xf numFmtId="0" fontId="41" fillId="0" borderId="46">
      <alignment horizontal="left" vertical="center"/>
    </xf>
    <xf numFmtId="0" fontId="31" fillId="0" borderId="45" applyNumberFormat="0" applyFill="0" applyAlignment="0" applyProtection="0"/>
    <xf numFmtId="10" fontId="29" fillId="57" borderId="47" applyNumberFormat="0" applyBorder="0" applyAlignment="0" applyProtection="0"/>
    <xf numFmtId="3" fontId="70" fillId="0" borderId="45" applyProtection="0"/>
    <xf numFmtId="0" fontId="71" fillId="0" borderId="46">
      <alignment horizontal="center" wrapText="1"/>
    </xf>
    <xf numFmtId="0" fontId="87" fillId="0" borderId="42" applyNumberFormat="0" applyFill="0" applyAlignment="0" applyProtection="0"/>
    <xf numFmtId="0" fontId="6" fillId="0" borderId="0"/>
    <xf numFmtId="9" fontId="6" fillId="0" borderId="0" applyFont="0" applyFill="0" applyBorder="0" applyAlignment="0" applyProtection="0"/>
    <xf numFmtId="0" fontId="76" fillId="49" borderId="2" applyNumberFormat="0" applyAlignment="0" applyProtection="0"/>
    <xf numFmtId="0" fontId="83" fillId="36" borderId="2" applyNumberFormat="0" applyAlignment="0" applyProtection="0"/>
    <xf numFmtId="0" fontId="9" fillId="52" borderId="7" applyNumberFormat="0" applyFont="0" applyAlignment="0" applyProtection="0"/>
    <xf numFmtId="0" fontId="87" fillId="0" borderId="9" applyNumberFormat="0" applyFill="0" applyAlignment="0" applyProtection="0"/>
    <xf numFmtId="0" fontId="6" fillId="0" borderId="0"/>
    <xf numFmtId="0" fontId="6" fillId="0" borderId="0"/>
    <xf numFmtId="0" fontId="9" fillId="52" borderId="7"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94" fillId="53" borderId="1" applyNumberFormat="0" applyAlignment="0" applyProtection="0"/>
    <xf numFmtId="2" fontId="94" fillId="54" borderId="1" applyProtection="0">
      <alignment horizontal="right"/>
    </xf>
    <xf numFmtId="2" fontId="95" fillId="29" borderId="1" applyProtection="0">
      <alignment horizontal="right"/>
    </xf>
    <xf numFmtId="192" fontId="96" fillId="55" borderId="1" applyProtection="0">
      <alignment horizontal="right"/>
    </xf>
    <xf numFmtId="192" fontId="96" fillId="55" borderId="1" applyProtection="0">
      <alignment horizontal="left"/>
    </xf>
    <xf numFmtId="0" fontId="97" fillId="53" borderId="1" applyNumberFormat="0" applyProtection="0">
      <alignment horizontal="left"/>
    </xf>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6" fontId="142" fillId="0" borderId="35" applyNumberFormat="0" applyFill="0" applyBorder="0" applyAlignment="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9" fillId="51" borderId="7" applyNumberFormat="0" applyFont="0" applyAlignment="0" applyProtection="0"/>
    <xf numFmtId="0" fontId="83" fillId="51" borderId="2" applyNumberFormat="0" applyAlignment="0" applyProtection="0"/>
    <xf numFmtId="0" fontId="76" fillId="65" borderId="2" applyNumberForma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83" fillId="51" borderId="2" applyNumberFormat="0" applyAlignment="0" applyProtection="0"/>
    <xf numFmtId="0" fontId="83" fillId="51" borderId="2" applyNumberFormat="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41" fillId="0" borderId="46">
      <alignment horizontal="left" vertical="center"/>
    </xf>
    <xf numFmtId="10" fontId="29" fillId="57" borderId="47" applyNumberFormat="0" applyBorder="0" applyAlignment="0" applyProtection="0"/>
    <xf numFmtId="6" fontId="142" fillId="0" borderId="35" applyNumberFormat="0" applyFill="0" applyBorder="0" applyAlignment="0" applyProtection="0">
      <alignment horizontal="right"/>
    </xf>
    <xf numFmtId="0" fontId="6" fillId="0" borderId="0"/>
    <xf numFmtId="0" fontId="6" fillId="0" borderId="0"/>
    <xf numFmtId="0" fontId="71" fillId="0" borderId="46">
      <alignment horizontal="center" wrapText="1"/>
    </xf>
    <xf numFmtId="0" fontId="6" fillId="0" borderId="0"/>
    <xf numFmtId="0" fontId="6" fillId="0" borderId="0"/>
    <xf numFmtId="0" fontId="6" fillId="0" borderId="0"/>
    <xf numFmtId="0" fontId="6" fillId="0" borderId="0"/>
    <xf numFmtId="0" fontId="87" fillId="0" borderId="42" applyNumberFormat="0" applyFill="0" applyAlignment="0" applyProtection="0"/>
    <xf numFmtId="0" fontId="9" fillId="51" borderId="7" applyNumberFormat="0" applyFon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31" fillId="0" borderId="45" applyNumberFormat="0" applyFill="0" applyAlignment="0" applyProtection="0"/>
    <xf numFmtId="0" fontId="76" fillId="49" borderId="2" applyNumberFormat="0" applyAlignment="0" applyProtection="0"/>
    <xf numFmtId="0" fontId="77" fillId="50" borderId="44" applyNumberFormat="0" applyAlignment="0" applyProtection="0"/>
    <xf numFmtId="0" fontId="83" fillId="36" borderId="2" applyNumberFormat="0" applyAlignment="0" applyProtection="0"/>
    <xf numFmtId="0" fontId="84" fillId="0" borderId="34" applyNumberFormat="0" applyFill="0" applyAlignment="0" applyProtection="0"/>
    <xf numFmtId="0" fontId="9" fillId="52" borderId="7" applyNumberFormat="0" applyFont="0" applyAlignment="0" applyProtection="0"/>
    <xf numFmtId="0" fontId="86" fillId="49" borderId="8" applyNumberFormat="0" applyAlignment="0" applyProtection="0"/>
    <xf numFmtId="0" fontId="87" fillId="0" borderId="9" applyNumberFormat="0" applyFill="0" applyAlignment="0" applyProtection="0"/>
    <xf numFmtId="3" fontId="70" fillId="0" borderId="45" applyProtection="0"/>
    <xf numFmtId="0" fontId="6" fillId="0" borderId="0"/>
    <xf numFmtId="0" fontId="6" fillId="0" borderId="0"/>
    <xf numFmtId="0" fontId="9" fillId="52" borderId="7" applyNumberFormat="0" applyFont="0" applyAlignment="0" applyProtection="0"/>
    <xf numFmtId="3" fontId="44" fillId="0" borderId="15" applyBorder="0"/>
    <xf numFmtId="3" fontId="44" fillId="0" borderId="15" applyBorder="0"/>
    <xf numFmtId="9" fontId="6" fillId="0" borderId="0" applyFont="0" applyFill="0" applyBorder="0" applyAlignment="0" applyProtection="0"/>
    <xf numFmtId="9" fontId="6" fillId="0" borderId="0" applyFont="0" applyFill="0" applyBorder="0" applyAlignment="0" applyProtection="0"/>
    <xf numFmtId="0" fontId="94" fillId="53" borderId="1" applyNumberFormat="0" applyAlignment="0" applyProtection="0"/>
    <xf numFmtId="2" fontId="94" fillId="54" borderId="1" applyProtection="0">
      <alignment horizontal="right"/>
    </xf>
    <xf numFmtId="2" fontId="95" fillId="29" borderId="1" applyProtection="0">
      <alignment horizontal="right"/>
    </xf>
    <xf numFmtId="192" fontId="96" fillId="55" borderId="1" applyProtection="0">
      <alignment horizontal="right"/>
    </xf>
    <xf numFmtId="192" fontId="96" fillId="55" borderId="1" applyProtection="0">
      <alignment horizontal="left"/>
    </xf>
    <xf numFmtId="0" fontId="97" fillId="53" borderId="1" applyNumberFormat="0" applyProtection="0">
      <alignment horizontal="left"/>
    </xf>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31" fillId="0" borderId="45" applyNumberFormat="0" applyFill="0" applyAlignment="0" applyProtection="0"/>
    <xf numFmtId="0" fontId="77" fillId="50" borderId="44" applyNumberFormat="0" applyAlignment="0" applyProtection="0"/>
    <xf numFmtId="3" fontId="70" fillId="0" borderId="45" applyProtection="0"/>
    <xf numFmtId="0" fontId="6" fillId="0" borderId="0"/>
    <xf numFmtId="0" fontId="6" fillId="0" borderId="0"/>
    <xf numFmtId="0" fontId="6" fillId="0" borderId="0"/>
    <xf numFmtId="0" fontId="6" fillId="0" borderId="0"/>
    <xf numFmtId="0" fontId="6" fillId="0" borderId="0"/>
    <xf numFmtId="0" fontId="6" fillId="0" borderId="0"/>
    <xf numFmtId="0" fontId="86" fillId="65" borderId="8" applyNumberFormat="0" applyAlignment="0" applyProtection="0"/>
    <xf numFmtId="0" fontId="9" fillId="51" borderId="7" applyNumberFormat="0" applyFont="0" applyAlignment="0" applyProtection="0"/>
    <xf numFmtId="0" fontId="83" fillId="51" borderId="2" applyNumberFormat="0" applyAlignment="0" applyProtection="0"/>
    <xf numFmtId="0" fontId="76" fillId="65" borderId="2" applyNumberForma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125" fillId="0" borderId="43" applyNumberFormat="0" applyFont="0" applyFill="0" applyAlignment="0" applyProtection="0"/>
    <xf numFmtId="0" fontId="83" fillId="51" borderId="2" applyNumberFormat="0" applyAlignment="0" applyProtection="0"/>
    <xf numFmtId="0" fontId="83" fillId="51" borderId="2" applyNumberFormat="0" applyAlignment="0" applyProtection="0"/>
    <xf numFmtId="0" fontId="77" fillId="50" borderId="44" applyNumberFormat="0" applyAlignment="0" applyProtection="0"/>
    <xf numFmtId="0" fontId="86" fillId="49" borderId="8" applyNumberFormat="0" applyAlignment="0" applyProtection="0"/>
    <xf numFmtId="0" fontId="6" fillId="0" borderId="0"/>
    <xf numFmtId="0" fontId="6" fillId="0" borderId="0"/>
    <xf numFmtId="3" fontId="44" fillId="0" borderId="15" applyBorder="0"/>
    <xf numFmtId="3" fontId="44" fillId="0" borderId="15" applyBorder="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31" fillId="0" borderId="45" applyNumberFormat="0" applyFill="0" applyAlignment="0" applyProtection="0"/>
    <xf numFmtId="3" fontId="70" fillId="0" borderId="45" applyProtection="0"/>
    <xf numFmtId="0" fontId="6" fillId="0" borderId="0"/>
    <xf numFmtId="0" fontId="6" fillId="0" borderId="0"/>
    <xf numFmtId="0" fontId="6" fillId="0" borderId="0"/>
    <xf numFmtId="0" fontId="6" fillId="0" borderId="0"/>
    <xf numFmtId="0" fontId="6" fillId="0" borderId="0"/>
    <xf numFmtId="0" fontId="6" fillId="0" borderId="0"/>
    <xf numFmtId="0" fontId="9" fillId="51" borderId="7" applyNumberFormat="0" applyFon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77" fillId="50" borderId="44" applyNumberFormat="0" applyAlignment="0" applyProtection="0"/>
    <xf numFmtId="0" fontId="125" fillId="0" borderId="43" applyNumberFormat="0" applyFont="0" applyFill="0" applyAlignment="0" applyProtection="0"/>
    <xf numFmtId="0" fontId="31" fillId="0" borderId="45" applyNumberFormat="0" applyFill="0" applyAlignment="0" applyProtection="0"/>
    <xf numFmtId="10" fontId="29" fillId="57" borderId="47" applyNumberFormat="0" applyBorder="0" applyAlignment="0" applyProtection="0"/>
    <xf numFmtId="3" fontId="70" fillId="0" borderId="45" applyProtection="0"/>
    <xf numFmtId="0" fontId="87" fillId="0" borderId="42" applyNumberFormat="0" applyFill="0" applyAlignment="0" applyProtection="0"/>
    <xf numFmtId="0" fontId="6" fillId="0" borderId="0"/>
    <xf numFmtId="9" fontId="6" fillId="0" borderId="0" applyFont="0" applyFill="0" applyBorder="0" applyAlignment="0" applyProtection="0"/>
    <xf numFmtId="0" fontId="76" fillId="49" borderId="2" applyNumberFormat="0" applyAlignment="0" applyProtection="0"/>
    <xf numFmtId="0" fontId="83" fillId="36" borderId="2" applyNumberFormat="0" applyAlignment="0" applyProtection="0"/>
    <xf numFmtId="0" fontId="9" fillId="52" borderId="7" applyNumberFormat="0" applyFont="0" applyAlignment="0" applyProtection="0"/>
    <xf numFmtId="0" fontId="87" fillId="0" borderId="9" applyNumberFormat="0" applyFill="0" applyAlignment="0" applyProtection="0"/>
    <xf numFmtId="0" fontId="6" fillId="0" borderId="0"/>
    <xf numFmtId="0" fontId="6" fillId="0" borderId="0"/>
    <xf numFmtId="0" fontId="9" fillId="52" borderId="7"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94" fillId="53" borderId="1" applyNumberFormat="0" applyAlignment="0" applyProtection="0"/>
    <xf numFmtId="2" fontId="94" fillId="54" borderId="1" applyProtection="0">
      <alignment horizontal="right"/>
    </xf>
    <xf numFmtId="2" fontId="95" fillId="29" borderId="1" applyProtection="0">
      <alignment horizontal="right"/>
    </xf>
    <xf numFmtId="192" fontId="96" fillId="55" borderId="1" applyProtection="0">
      <alignment horizontal="right"/>
    </xf>
    <xf numFmtId="192" fontId="96" fillId="55" borderId="1" applyProtection="0">
      <alignment horizontal="left"/>
    </xf>
    <xf numFmtId="0" fontId="97" fillId="53" borderId="1" applyNumberFormat="0" applyProtection="0">
      <alignment horizontal="left"/>
    </xf>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1" fillId="0" borderId="46">
      <alignment horizontal="left" vertical="center"/>
    </xf>
    <xf numFmtId="10" fontId="29" fillId="57" borderId="47" applyNumberFormat="0" applyBorder="0" applyAlignment="0" applyProtection="0"/>
    <xf numFmtId="6" fontId="142" fillId="0" borderId="35" applyNumberFormat="0" applyFill="0" applyBorder="0" applyAlignment="0" applyProtection="0">
      <alignment horizontal="right"/>
    </xf>
    <xf numFmtId="0" fontId="6" fillId="0" borderId="0"/>
    <xf numFmtId="0" fontId="6" fillId="0" borderId="0"/>
    <xf numFmtId="0" fontId="71" fillId="0" borderId="46">
      <alignment horizontal="center" wrapText="1"/>
    </xf>
    <xf numFmtId="0" fontId="6" fillId="0" borderId="0"/>
    <xf numFmtId="0" fontId="6" fillId="0" borderId="0"/>
    <xf numFmtId="0" fontId="6" fillId="0" borderId="0"/>
    <xf numFmtId="0" fontId="6" fillId="0" borderId="0"/>
    <xf numFmtId="0" fontId="87" fillId="0" borderId="42" applyNumberFormat="0" applyFill="0" applyAlignment="0" applyProtection="0"/>
    <xf numFmtId="0" fontId="9" fillId="51" borderId="7" applyNumberFormat="0" applyFont="0" applyAlignment="0" applyProtection="0"/>
    <xf numFmtId="0" fontId="83" fillId="51" borderId="2" applyNumberFormat="0" applyAlignment="0" applyProtection="0"/>
    <xf numFmtId="0" fontId="76" fillId="65" borderId="2" applyNumberForma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83" fillId="51" borderId="2" applyNumberFormat="0" applyAlignment="0" applyProtection="0"/>
    <xf numFmtId="0" fontId="83" fillId="51" borderId="2" applyNumberFormat="0" applyAlignment="0" applyProtection="0"/>
    <xf numFmtId="0" fontId="86" fillId="49" borderId="8" applyNumberFormat="0" applyAlignment="0" applyProtection="0"/>
    <xf numFmtId="0" fontId="6" fillId="0" borderId="0"/>
    <xf numFmtId="0" fontId="6" fillId="0" borderId="0"/>
    <xf numFmtId="3" fontId="44" fillId="0" borderId="15" applyBorder="0"/>
    <xf numFmtId="3" fontId="44" fillId="0" borderId="15" applyBorder="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6" fontId="142" fillId="0" borderId="35" applyNumberFormat="0" applyFill="0" applyBorder="0" applyAlignment="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9" fillId="51" borderId="7" applyNumberFormat="0" applyFont="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31" fillId="0" borderId="45" applyNumberFormat="0" applyFill="0" applyAlignment="0" applyProtection="0"/>
    <xf numFmtId="0" fontId="77" fillId="50" borderId="44" applyNumberFormat="0" applyAlignment="0" applyProtection="0"/>
    <xf numFmtId="3" fontId="70" fillId="0" borderId="45"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31" fillId="0" borderId="45" applyNumberFormat="0" applyFill="0" applyAlignment="0" applyProtection="0"/>
    <xf numFmtId="0" fontId="77" fillId="50" borderId="44" applyNumberFormat="0" applyAlignment="0" applyProtection="0"/>
    <xf numFmtId="3" fontId="70" fillId="0" borderId="45"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125" fillId="0" borderId="43" applyNumberFormat="0" applyFont="0" applyFill="0" applyAlignment="0" applyProtection="0"/>
    <xf numFmtId="0" fontId="77" fillId="50" borderId="44" applyNumberFormat="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6" borderId="36" applyNumberFormat="0" applyFont="0" applyAlignment="0" applyProtection="0"/>
    <xf numFmtId="0" fontId="6" fillId="56" borderId="3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25" fillId="0" borderId="43" applyNumberFormat="0" applyFont="0" applyFill="0" applyAlignment="0" applyProtection="0"/>
    <xf numFmtId="0" fontId="31" fillId="0" borderId="45" applyNumberFormat="0" applyFill="0" applyAlignment="0" applyProtection="0"/>
    <xf numFmtId="3" fontId="70" fillId="0" borderId="45"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77" fillId="50" borderId="44" applyNumberFormat="0" applyAlignment="0" applyProtection="0"/>
    <xf numFmtId="0" fontId="125" fillId="0" borderId="43" applyNumberFormat="0" applyFont="0" applyFill="0" applyAlignment="0" applyProtection="0"/>
    <xf numFmtId="0" fontId="41" fillId="0" borderId="46">
      <alignment horizontal="left" vertical="center"/>
    </xf>
    <xf numFmtId="0" fontId="31" fillId="0" borderId="45" applyNumberFormat="0" applyFill="0" applyAlignment="0" applyProtection="0"/>
    <xf numFmtId="3" fontId="70" fillId="0" borderId="45" applyProtection="0"/>
    <xf numFmtId="0" fontId="71" fillId="0" borderId="46">
      <alignment horizontal="center" wrapText="1"/>
    </xf>
    <xf numFmtId="0" fontId="6" fillId="0" borderId="0"/>
    <xf numFmtId="9" fontId="6" fillId="0" borderId="0" applyFont="0" applyFill="0" applyBorder="0" applyAlignment="0" applyProtection="0"/>
    <xf numFmtId="0" fontId="87" fillId="0" borderId="83" applyNumberFormat="0" applyFill="0" applyAlignment="0" applyProtection="0"/>
    <xf numFmtId="192" fontId="96" fillId="55" borderId="91" applyProtection="0">
      <alignment horizontal="right"/>
    </xf>
    <xf numFmtId="43" fontId="69" fillId="0" borderId="0" applyFont="0" applyFill="0" applyBorder="0" applyAlignment="0" applyProtection="0"/>
    <xf numFmtId="44" fontId="69" fillId="0" borderId="0" applyFont="0" applyFill="0" applyBorder="0" applyAlignment="0" applyProtection="0"/>
    <xf numFmtId="9" fontId="69" fillId="0" borderId="0" applyFont="0" applyFill="0" applyBorder="0" applyAlignment="0" applyProtection="0"/>
    <xf numFmtId="0" fontId="87" fillId="0" borderId="83" applyNumberFormat="0" applyFill="0" applyAlignment="0" applyProtection="0"/>
    <xf numFmtId="0" fontId="41" fillId="0" borderId="98">
      <alignment horizontal="left" vertical="center"/>
    </xf>
    <xf numFmtId="0" fontId="77" fillId="50" borderId="88" applyNumberFormat="0" applyAlignment="0" applyProtection="0"/>
    <xf numFmtId="0" fontId="9" fillId="51" borderId="106" applyNumberFormat="0" applyFont="0" applyAlignment="0" applyProtection="0"/>
    <xf numFmtId="0" fontId="86" fillId="49" borderId="103" applyNumberFormat="0" applyAlignment="0" applyProtection="0"/>
    <xf numFmtId="0" fontId="97" fillId="53" borderId="126" applyNumberFormat="0" applyProtection="0">
      <alignment horizontal="left"/>
    </xf>
    <xf numFmtId="3" fontId="44" fillId="0" borderId="71" applyBorder="0"/>
    <xf numFmtId="0" fontId="31" fillId="0" borderId="109" applyNumberFormat="0" applyFill="0" applyAlignment="0" applyProtection="0"/>
    <xf numFmtId="0" fontId="83" fillId="36" borderId="87" applyNumberFormat="0" applyAlignment="0" applyProtection="0"/>
    <xf numFmtId="0" fontId="77" fillId="50" borderId="75" applyNumberFormat="0" applyAlignment="0" applyProtection="0"/>
    <xf numFmtId="0" fontId="31" fillId="0" borderId="79" applyNumberFormat="0" applyFill="0" applyAlignment="0" applyProtection="0"/>
    <xf numFmtId="2" fontId="95" fillId="29" borderId="126" applyProtection="0">
      <alignment horizontal="right"/>
    </xf>
    <xf numFmtId="0" fontId="97" fillId="53" borderId="91" applyNumberFormat="0" applyProtection="0">
      <alignment horizontal="left"/>
    </xf>
    <xf numFmtId="3" fontId="44" fillId="0" borderId="84" applyBorder="0"/>
    <xf numFmtId="0" fontId="71" fillId="0" borderId="117">
      <alignment horizontal="center" wrapText="1"/>
    </xf>
    <xf numFmtId="0" fontId="9" fillId="52" borderId="124" applyNumberFormat="0" applyFont="0" applyAlignment="0" applyProtection="0"/>
    <xf numFmtId="3" fontId="44" fillId="0" borderId="71" applyBorder="0"/>
    <xf numFmtId="0" fontId="83" fillId="51" borderId="74" applyNumberFormat="0" applyAlignment="0" applyProtection="0"/>
    <xf numFmtId="3" fontId="70" fillId="0" borderId="92" applyProtection="0"/>
    <xf numFmtId="0" fontId="125" fillId="0" borderId="72" applyNumberFormat="0" applyFont="0" applyFill="0" applyAlignment="0" applyProtection="0"/>
    <xf numFmtId="0" fontId="77" fillId="50" borderId="105" applyNumberFormat="0" applyAlignment="0" applyProtection="0"/>
    <xf numFmtId="2" fontId="95" fillId="29" borderId="108" applyProtection="0">
      <alignment horizontal="right"/>
    </xf>
    <xf numFmtId="0" fontId="83" fillId="51" borderId="104" applyNumberFormat="0" applyAlignment="0" applyProtection="0"/>
    <xf numFmtId="0" fontId="83" fillId="51" borderId="122" applyNumberFormat="0" applyAlignment="0" applyProtection="0"/>
    <xf numFmtId="0" fontId="9" fillId="51" borderId="124" applyNumberFormat="0" applyFont="0" applyAlignment="0" applyProtection="0"/>
    <xf numFmtId="0" fontId="125" fillId="0" borderId="72" applyNumberFormat="0" applyFont="0" applyFill="0" applyAlignment="0" applyProtection="0"/>
    <xf numFmtId="0" fontId="76" fillId="49" borderId="122" applyNumberFormat="0" applyAlignment="0" applyProtection="0"/>
    <xf numFmtId="0" fontId="9" fillId="52" borderId="106" applyNumberFormat="0" applyFont="0" applyAlignment="0" applyProtection="0"/>
    <xf numFmtId="0" fontId="41" fillId="0" borderId="81">
      <alignment horizontal="left" vertical="center"/>
    </xf>
    <xf numFmtId="0" fontId="9" fillId="51" borderId="89" applyNumberFormat="0" applyFont="0" applyAlignment="0" applyProtection="0"/>
    <xf numFmtId="0" fontId="31" fillId="0" borderId="79" applyNumberFormat="0" applyFill="0" applyAlignment="0" applyProtection="0"/>
    <xf numFmtId="10" fontId="29" fillId="57" borderId="82" applyNumberFormat="0" applyBorder="0" applyAlignment="0" applyProtection="0"/>
    <xf numFmtId="0" fontId="9" fillId="52" borderId="124" applyNumberFormat="0" applyFont="0" applyAlignment="0" applyProtection="0"/>
    <xf numFmtId="44" fontId="69" fillId="0" borderId="0" applyFont="0" applyFill="0" applyBorder="0" applyAlignment="0" applyProtection="0"/>
    <xf numFmtId="0" fontId="77" fillId="50" borderId="105" applyNumberFormat="0" applyAlignment="0" applyProtection="0"/>
    <xf numFmtId="0" fontId="77" fillId="50" borderId="105" applyNumberFormat="0" applyAlignment="0" applyProtection="0"/>
    <xf numFmtId="2" fontId="94" fillId="54" borderId="126" applyProtection="0">
      <alignment horizontal="right"/>
    </xf>
    <xf numFmtId="0" fontId="9" fillId="52" borderId="106" applyNumberFormat="0" applyFont="0" applyAlignment="0" applyProtection="0"/>
    <xf numFmtId="0" fontId="87" fillId="0" borderId="100" applyNumberFormat="0" applyFill="0" applyAlignment="0" applyProtection="0"/>
    <xf numFmtId="3" fontId="70" fillId="0" borderId="127" applyProtection="0"/>
    <xf numFmtId="0" fontId="77" fillId="50" borderId="123" applyNumberFormat="0" applyAlignment="0" applyProtection="0"/>
    <xf numFmtId="3" fontId="44" fillId="0" borderId="71" applyBorder="0"/>
    <xf numFmtId="0" fontId="41" fillId="0" borderId="98">
      <alignment horizontal="left" vertical="center"/>
    </xf>
    <xf numFmtId="0" fontId="41" fillId="0" borderId="117">
      <alignment horizontal="left" vertical="center"/>
    </xf>
    <xf numFmtId="0" fontId="77" fillId="50" borderId="75" applyNumberFormat="0" applyAlignment="0" applyProtection="0"/>
    <xf numFmtId="0" fontId="94" fillId="53" borderId="91" applyNumberFormat="0" applyAlignment="0" applyProtection="0"/>
    <xf numFmtId="0" fontId="125" fillId="0" borderId="72" applyNumberFormat="0" applyFont="0" applyFill="0" applyAlignment="0" applyProtection="0"/>
    <xf numFmtId="0" fontId="77" fillId="50" borderId="88" applyNumberFormat="0" applyAlignment="0" applyProtection="0"/>
    <xf numFmtId="0" fontId="77" fillId="50" borderId="123" applyNumberFormat="0" applyAlignment="0" applyProtection="0"/>
    <xf numFmtId="2" fontId="95" fillId="29" borderId="91" applyProtection="0">
      <alignment horizontal="right"/>
    </xf>
    <xf numFmtId="0" fontId="94" fillId="53" borderId="126" applyNumberFormat="0" applyAlignment="0" applyProtection="0"/>
    <xf numFmtId="192" fontId="96" fillId="55" borderId="91" applyProtection="0">
      <alignment horizontal="left"/>
    </xf>
    <xf numFmtId="0" fontId="71" fillId="0" borderId="98">
      <alignment horizontal="center" wrapText="1"/>
    </xf>
    <xf numFmtId="0" fontId="9" fillId="52" borderId="106" applyNumberFormat="0" applyFont="0" applyAlignment="0" applyProtection="0"/>
    <xf numFmtId="0" fontId="83" fillId="51" borderId="122" applyNumberFormat="0" applyAlignment="0" applyProtection="0"/>
    <xf numFmtId="3" fontId="44" fillId="0" borderId="101" applyBorder="0"/>
    <xf numFmtId="10" fontId="29" fillId="57" borderId="118" applyNumberFormat="0" applyBorder="0" applyAlignment="0" applyProtection="0"/>
    <xf numFmtId="192" fontId="96" fillId="55" borderId="108" applyProtection="0">
      <alignment horizontal="left"/>
    </xf>
    <xf numFmtId="0" fontId="9" fillId="51" borderId="124" applyNumberFormat="0" applyFont="0" applyAlignment="0" applyProtection="0"/>
    <xf numFmtId="0" fontId="31" fillId="0" borderId="92" applyNumberFormat="0" applyFill="0" applyAlignment="0" applyProtection="0"/>
    <xf numFmtId="10" fontId="29" fillId="57" borderId="82" applyNumberFormat="0" applyBorder="0" applyAlignment="0" applyProtection="0"/>
    <xf numFmtId="0" fontId="69" fillId="0" borderId="0"/>
    <xf numFmtId="3" fontId="71" fillId="0" borderId="27" applyNumberFormat="0"/>
    <xf numFmtId="0" fontId="87" fillId="0" borderId="100" applyNumberFormat="0" applyFill="0" applyAlignment="0" applyProtection="0"/>
    <xf numFmtId="192" fontId="96" fillId="55" borderId="108" applyProtection="0">
      <alignment horizontal="right"/>
    </xf>
    <xf numFmtId="0" fontId="9" fillId="52" borderId="124" applyNumberFormat="0" applyFont="0" applyAlignment="0" applyProtection="0"/>
    <xf numFmtId="0" fontId="77" fillId="50" borderId="105" applyNumberFormat="0" applyAlignment="0" applyProtection="0"/>
    <xf numFmtId="0" fontId="87" fillId="0" borderId="119" applyNumberFormat="0" applyFill="0" applyAlignment="0" applyProtection="0"/>
    <xf numFmtId="0" fontId="125" fillId="0" borderId="72" applyNumberFormat="0" applyFont="0" applyFill="0" applyAlignment="0" applyProtection="0"/>
    <xf numFmtId="0" fontId="77" fillId="50" borderId="75" applyNumberFormat="0" applyAlignment="0" applyProtection="0"/>
    <xf numFmtId="3" fontId="70" fillId="0" borderId="79" applyProtection="0"/>
    <xf numFmtId="192" fontId="96" fillId="55" borderId="126" applyProtection="0">
      <alignment horizontal="right"/>
    </xf>
    <xf numFmtId="0" fontId="76" fillId="65" borderId="74" applyNumberFormat="0" applyAlignment="0" applyProtection="0"/>
    <xf numFmtId="0" fontId="83" fillId="51" borderId="74" applyNumberFormat="0" applyAlignment="0" applyProtection="0"/>
    <xf numFmtId="0" fontId="71" fillId="0" borderId="81">
      <alignment horizontal="center" wrapText="1"/>
    </xf>
    <xf numFmtId="0" fontId="31" fillId="0" borderId="109" applyNumberFormat="0" applyFill="0" applyAlignment="0" applyProtection="0"/>
    <xf numFmtId="3" fontId="44" fillId="0" borderId="84" applyBorder="0"/>
    <xf numFmtId="0" fontId="9" fillId="52" borderId="106" applyNumberFormat="0" applyFont="0" applyAlignment="0" applyProtection="0"/>
    <xf numFmtId="192" fontId="96" fillId="55" borderId="78" applyProtection="0">
      <alignment horizontal="right"/>
    </xf>
    <xf numFmtId="0" fontId="86" fillId="65" borderId="86" applyNumberFormat="0" applyAlignment="0" applyProtection="0"/>
    <xf numFmtId="2" fontId="94" fillId="54" borderId="126" applyProtection="0">
      <alignment horizontal="right"/>
    </xf>
    <xf numFmtId="0" fontId="9" fillId="52" borderId="124" applyNumberFormat="0" applyFont="0" applyAlignment="0" applyProtection="0"/>
    <xf numFmtId="0" fontId="125" fillId="0" borderId="85" applyNumberFormat="0" applyFont="0" applyFill="0" applyAlignment="0" applyProtection="0"/>
    <xf numFmtId="0" fontId="83" fillId="51" borderId="87" applyNumberFormat="0" applyAlignment="0" applyProtection="0"/>
    <xf numFmtId="2" fontId="94" fillId="54" borderId="78" applyProtection="0">
      <alignment horizontal="right"/>
    </xf>
    <xf numFmtId="2" fontId="94" fillId="54" borderId="108" applyProtection="0">
      <alignment horizontal="right"/>
    </xf>
    <xf numFmtId="3" fontId="70" fillId="0" borderId="79" applyProtection="0"/>
    <xf numFmtId="3" fontId="44" fillId="0" borderId="101" applyBorder="0"/>
    <xf numFmtId="0" fontId="71" fillId="0" borderId="98">
      <alignment horizontal="center" wrapText="1"/>
    </xf>
    <xf numFmtId="3" fontId="70" fillId="0" borderId="92" applyProtection="0"/>
    <xf numFmtId="0" fontId="125" fillId="0" borderId="49" applyNumberFormat="0" applyFont="0" applyFill="0" applyAlignment="0" applyProtection="0"/>
    <xf numFmtId="0" fontId="86" fillId="49" borderId="103" applyNumberFormat="0" applyAlignment="0" applyProtection="0"/>
    <xf numFmtId="0" fontId="87" fillId="0" borderId="100" applyNumberFormat="0" applyFill="0" applyAlignment="0" applyProtection="0"/>
    <xf numFmtId="10" fontId="29" fillId="57" borderId="82" applyNumberFormat="0" applyBorder="0" applyAlignment="0" applyProtection="0"/>
    <xf numFmtId="0" fontId="31" fillId="0" borderId="92" applyNumberFormat="0" applyFill="0" applyAlignment="0" applyProtection="0"/>
    <xf numFmtId="0" fontId="86" fillId="49" borderId="121" applyNumberFormat="0" applyAlignment="0" applyProtection="0"/>
    <xf numFmtId="0" fontId="9" fillId="52" borderId="106" applyNumberFormat="0" applyFont="0" applyAlignment="0" applyProtection="0"/>
    <xf numFmtId="3" fontId="44" fillId="0" borderId="71" applyBorder="0"/>
    <xf numFmtId="0" fontId="41" fillId="0" borderId="50">
      <alignment horizontal="left" vertical="center"/>
    </xf>
    <xf numFmtId="3" fontId="44" fillId="0" borderId="96" applyBorder="0"/>
    <xf numFmtId="0" fontId="9" fillId="51" borderId="76" applyNumberFormat="0" applyFont="0" applyAlignment="0" applyProtection="0"/>
    <xf numFmtId="0" fontId="86" fillId="65" borderId="73" applyNumberFormat="0" applyAlignment="0" applyProtection="0"/>
    <xf numFmtId="3" fontId="70" fillId="0" borderId="109" applyProtection="0"/>
    <xf numFmtId="10" fontId="29" fillId="57" borderId="51" applyNumberFormat="0" applyBorder="0" applyAlignment="0" applyProtection="0"/>
    <xf numFmtId="0" fontId="83" fillId="36" borderId="104" applyNumberFormat="0" applyAlignment="0" applyProtection="0"/>
    <xf numFmtId="3" fontId="44" fillId="0" borderId="101" applyBorder="0"/>
    <xf numFmtId="192" fontId="96" fillId="55" borderId="78" applyProtection="0">
      <alignment horizontal="left"/>
    </xf>
    <xf numFmtId="192" fontId="96" fillId="55" borderId="108" applyProtection="0">
      <alignment horizontal="right"/>
    </xf>
    <xf numFmtId="43" fontId="69" fillId="0" borderId="0" applyFont="0" applyFill="0" applyBorder="0" applyAlignment="0" applyProtection="0"/>
    <xf numFmtId="0" fontId="125" fillId="0" borderId="85" applyNumberFormat="0" applyFont="0" applyFill="0" applyAlignment="0" applyProtection="0"/>
    <xf numFmtId="43" fontId="69" fillId="0" borderId="0" applyFont="0" applyFill="0" applyBorder="0" applyAlignment="0" applyProtection="0"/>
    <xf numFmtId="0" fontId="83" fillId="51" borderId="87" applyNumberFormat="0" applyAlignment="0" applyProtection="0"/>
    <xf numFmtId="0" fontId="31" fillId="0" borderId="127" applyNumberFormat="0" applyFill="0" applyAlignment="0" applyProtection="0"/>
    <xf numFmtId="3" fontId="70" fillId="0" borderId="79" applyProtection="0"/>
    <xf numFmtId="0" fontId="83" fillId="36" borderId="122" applyNumberFormat="0" applyAlignment="0" applyProtection="0"/>
    <xf numFmtId="0" fontId="83" fillId="51" borderId="74" applyNumberFormat="0" applyAlignment="0" applyProtection="0"/>
    <xf numFmtId="0" fontId="94" fillId="53" borderId="78" applyNumberFormat="0" applyAlignment="0" applyProtection="0"/>
    <xf numFmtId="3" fontId="70" fillId="0" borderId="92" applyProtection="0"/>
    <xf numFmtId="0" fontId="9" fillId="52" borderId="89" applyNumberFormat="0" applyFont="0" applyAlignment="0" applyProtection="0"/>
    <xf numFmtId="0" fontId="83" fillId="51" borderId="87" applyNumberFormat="0" applyAlignment="0" applyProtection="0"/>
    <xf numFmtId="0" fontId="83" fillId="36" borderId="87" applyNumberFormat="0" applyAlignment="0" applyProtection="0"/>
    <xf numFmtId="0" fontId="97" fillId="53" borderId="126" applyNumberFormat="0" applyProtection="0">
      <alignment horizontal="left"/>
    </xf>
    <xf numFmtId="0" fontId="31" fillId="0" borderId="127" applyNumberFormat="0" applyFill="0" applyAlignment="0" applyProtection="0"/>
    <xf numFmtId="9" fontId="69" fillId="0" borderId="0" applyFont="0" applyFill="0" applyBorder="0" applyAlignment="0" applyProtection="0"/>
    <xf numFmtId="192" fontId="96" fillId="55" borderId="91" applyProtection="0">
      <alignment horizontal="left"/>
    </xf>
    <xf numFmtId="0" fontId="77" fillId="50" borderId="105" applyNumberFormat="0" applyAlignment="0" applyProtection="0"/>
    <xf numFmtId="0" fontId="125" fillId="0" borderId="110" applyNumberFormat="0" applyFont="0" applyFill="0" applyAlignment="0" applyProtection="0"/>
    <xf numFmtId="0" fontId="83" fillId="51" borderId="87" applyNumberFormat="0" applyAlignment="0" applyProtection="0"/>
    <xf numFmtId="0" fontId="71" fillId="0" borderId="50">
      <alignment horizontal="center" wrapText="1"/>
    </xf>
    <xf numFmtId="3" fontId="70" fillId="0" borderId="109" applyProtection="0"/>
    <xf numFmtId="0" fontId="9" fillId="52" borderId="124" applyNumberFormat="0" applyFont="0" applyAlignment="0" applyProtection="0"/>
    <xf numFmtId="0" fontId="83" fillId="51" borderId="122" applyNumberFormat="0" applyAlignment="0" applyProtection="0"/>
    <xf numFmtId="43" fontId="69" fillId="0" borderId="0" applyFont="0" applyFill="0" applyBorder="0" applyAlignment="0" applyProtection="0"/>
    <xf numFmtId="0" fontId="125" fillId="0" borderId="102" applyNumberFormat="0" applyFont="0" applyFill="0" applyAlignment="0" applyProtection="0"/>
    <xf numFmtId="3" fontId="70" fillId="0" borderId="109" applyProtection="0"/>
    <xf numFmtId="0" fontId="76" fillId="65" borderId="122" applyNumberFormat="0" applyAlignment="0" applyProtection="0"/>
    <xf numFmtId="0" fontId="76" fillId="49" borderId="104" applyNumberFormat="0" applyAlignment="0" applyProtection="0"/>
    <xf numFmtId="0" fontId="97" fillId="53" borderId="78" applyNumberFormat="0" applyProtection="0">
      <alignment horizontal="left"/>
    </xf>
    <xf numFmtId="2" fontId="95" fillId="29" borderId="78" applyProtection="0">
      <alignment horizontal="right"/>
    </xf>
    <xf numFmtId="0" fontId="77" fillId="50" borderId="75" applyNumberFormat="0" applyAlignment="0" applyProtection="0"/>
    <xf numFmtId="0" fontId="125" fillId="0" borderId="80" applyNumberFormat="0" applyFont="0" applyFill="0" applyAlignment="0" applyProtection="0"/>
    <xf numFmtId="3" fontId="44" fillId="0" borderId="120" applyBorder="0"/>
    <xf numFmtId="9" fontId="69" fillId="0" borderId="0" applyFont="0" applyFill="0" applyBorder="0" applyAlignment="0" applyProtection="0"/>
    <xf numFmtId="44" fontId="69" fillId="0" borderId="0" applyFont="0" applyFill="0" applyBorder="0" applyAlignment="0" applyProtection="0"/>
    <xf numFmtId="192" fontId="96" fillId="55" borderId="126" applyProtection="0">
      <alignment horizontal="right"/>
    </xf>
    <xf numFmtId="0" fontId="9" fillId="51" borderId="89" applyNumberFormat="0" applyFont="0" applyAlignment="0" applyProtection="0"/>
    <xf numFmtId="0" fontId="87" fillId="0" borderId="52" applyNumberFormat="0" applyFill="0" applyAlignment="0" applyProtection="0"/>
    <xf numFmtId="0" fontId="77" fillId="50" borderId="88" applyNumberFormat="0" applyAlignment="0" applyProtection="0"/>
    <xf numFmtId="0" fontId="9" fillId="51" borderId="124" applyNumberFormat="0" applyFont="0" applyAlignment="0" applyProtection="0"/>
    <xf numFmtId="0" fontId="31" fillId="0" borderId="109" applyNumberFormat="0" applyFill="0" applyAlignment="0" applyProtection="0"/>
    <xf numFmtId="3" fontId="44" fillId="0" borderId="84" applyBorder="0"/>
    <xf numFmtId="0" fontId="87" fillId="0" borderId="125" applyNumberFormat="0" applyFill="0" applyAlignment="0" applyProtection="0"/>
    <xf numFmtId="0" fontId="86" fillId="49" borderId="121" applyNumberFormat="0" applyAlignment="0" applyProtection="0"/>
    <xf numFmtId="0" fontId="125" fillId="0" borderId="72" applyNumberFormat="0" applyFont="0" applyFill="0" applyAlignment="0" applyProtection="0"/>
    <xf numFmtId="0" fontId="125" fillId="0" borderId="110" applyNumberFormat="0" applyFont="0" applyFill="0" applyAlignment="0" applyProtection="0"/>
    <xf numFmtId="0" fontId="94" fillId="53" borderId="108" applyNumberFormat="0" applyAlignment="0" applyProtection="0"/>
    <xf numFmtId="0" fontId="9" fillId="52" borderId="124" applyNumberFormat="0" applyFont="0" applyAlignment="0" applyProtection="0"/>
    <xf numFmtId="3" fontId="44" fillId="0" borderId="120" applyBorder="0"/>
    <xf numFmtId="0" fontId="71" fillId="0" borderId="81">
      <alignment horizontal="center" wrapText="1"/>
    </xf>
    <xf numFmtId="192" fontId="96" fillId="55" borderId="126" applyProtection="0">
      <alignment horizontal="left"/>
    </xf>
    <xf numFmtId="0" fontId="77" fillId="50" borderId="105" applyNumberFormat="0" applyAlignment="0" applyProtection="0"/>
    <xf numFmtId="0" fontId="71" fillId="0" borderId="98">
      <alignment horizontal="center" wrapText="1"/>
    </xf>
    <xf numFmtId="3" fontId="44" fillId="0" borderId="71" applyBorder="0"/>
    <xf numFmtId="0" fontId="125" fillId="0" borderId="72" applyNumberFormat="0" applyFont="0" applyFill="0" applyAlignment="0" applyProtection="0"/>
    <xf numFmtId="0" fontId="77" fillId="50" borderId="75" applyNumberFormat="0" applyAlignment="0" applyProtection="0"/>
    <xf numFmtId="3" fontId="44" fillId="0" borderId="71" applyBorder="0"/>
    <xf numFmtId="0" fontId="31" fillId="0" borderId="79" applyNumberFormat="0" applyFill="0" applyAlignment="0" applyProtection="0"/>
    <xf numFmtId="0" fontId="41" fillId="0" borderId="81">
      <alignment horizontal="left" vertical="center"/>
    </xf>
    <xf numFmtId="3" fontId="70" fillId="0" borderId="109" applyProtection="0"/>
    <xf numFmtId="3" fontId="70" fillId="0" borderId="79" applyProtection="0"/>
    <xf numFmtId="0" fontId="94" fillId="53" borderId="126" applyNumberFormat="0" applyAlignment="0" applyProtection="0"/>
    <xf numFmtId="3" fontId="44" fillId="0" borderId="101" applyBorder="0"/>
    <xf numFmtId="0" fontId="87" fillId="0" borderId="70" applyNumberFormat="0" applyFill="0" applyAlignment="0" applyProtection="0"/>
    <xf numFmtId="0" fontId="83" fillId="51" borderId="87" applyNumberFormat="0" applyAlignment="0" applyProtection="0"/>
    <xf numFmtId="0" fontId="41" fillId="0" borderId="68">
      <alignment horizontal="left" vertical="center"/>
    </xf>
    <xf numFmtId="192" fontId="96" fillId="55" borderId="126" applyProtection="0">
      <alignment horizontal="right"/>
    </xf>
    <xf numFmtId="192" fontId="96" fillId="55" borderId="126" applyProtection="0">
      <alignment horizontal="left"/>
    </xf>
    <xf numFmtId="0" fontId="94" fillId="53" borderId="91" applyNumberFormat="0" applyAlignment="0" applyProtection="0"/>
    <xf numFmtId="0" fontId="31" fillId="0" borderId="92" applyNumberFormat="0" applyFill="0" applyAlignment="0" applyProtection="0"/>
    <xf numFmtId="0" fontId="9" fillId="51" borderId="76" applyNumberFormat="0" applyFont="0" applyAlignment="0" applyProtection="0"/>
    <xf numFmtId="2" fontId="94" fillId="54" borderId="108" applyProtection="0">
      <alignment horizontal="right"/>
    </xf>
    <xf numFmtId="192" fontId="96" fillId="55" borderId="108" applyProtection="0">
      <alignment horizontal="left"/>
    </xf>
    <xf numFmtId="0" fontId="76" fillId="65" borderId="87" applyNumberFormat="0" applyAlignment="0" applyProtection="0"/>
    <xf numFmtId="0" fontId="86" fillId="49" borderId="54" applyNumberFormat="0" applyAlignment="0" applyProtection="0"/>
    <xf numFmtId="3" fontId="44" fillId="0" borderId="53" applyBorder="0"/>
    <xf numFmtId="3" fontId="44" fillId="0" borderId="53" applyBorder="0"/>
    <xf numFmtId="0" fontId="83" fillId="51" borderId="122" applyNumberFormat="0" applyAlignment="0" applyProtection="0"/>
    <xf numFmtId="2" fontId="95" fillId="29" borderId="126" applyProtection="0">
      <alignment horizontal="right"/>
    </xf>
    <xf numFmtId="0" fontId="76" fillId="49" borderId="122" applyNumberFormat="0" applyAlignment="0" applyProtection="0"/>
    <xf numFmtId="0" fontId="125" fillId="0" borderId="102" applyNumberFormat="0" applyFont="0" applyFill="0" applyAlignment="0" applyProtection="0"/>
    <xf numFmtId="10" fontId="29" fillId="57" borderId="99" applyNumberFormat="0" applyBorder="0" applyAlignment="0" applyProtection="0"/>
    <xf numFmtId="192" fontId="96" fillId="55" borderId="91" applyProtection="0">
      <alignment horizontal="right"/>
    </xf>
    <xf numFmtId="0" fontId="76" fillId="49" borderId="74" applyNumberFormat="0" applyAlignment="0" applyProtection="0"/>
    <xf numFmtId="0" fontId="125" fillId="0" borderId="49" applyNumberFormat="0" applyFont="0" applyFill="0" applyAlignment="0" applyProtection="0"/>
    <xf numFmtId="0" fontId="41" fillId="0" borderId="55">
      <alignment horizontal="left" vertical="center"/>
    </xf>
    <xf numFmtId="10" fontId="29" fillId="57" borderId="56" applyNumberFormat="0" applyBorder="0" applyAlignment="0" applyProtection="0"/>
    <xf numFmtId="0" fontId="71" fillId="0" borderId="55">
      <alignment horizontal="center" wrapText="1"/>
    </xf>
    <xf numFmtId="3" fontId="44" fillId="0" borderId="71" applyBorder="0"/>
    <xf numFmtId="0" fontId="31" fillId="0" borderId="79" applyNumberFormat="0" applyFill="0" applyAlignment="0" applyProtection="0"/>
    <xf numFmtId="0" fontId="87" fillId="0" borderId="57" applyNumberFormat="0" applyFill="0" applyAlignment="0" applyProtection="0"/>
    <xf numFmtId="0" fontId="76" fillId="65" borderId="87" applyNumberFormat="0" applyAlignment="0" applyProtection="0"/>
    <xf numFmtId="3" fontId="44" fillId="0" borderId="84" applyBorder="0"/>
    <xf numFmtId="192" fontId="96" fillId="55" borderId="91" applyProtection="0">
      <alignment horizontal="right"/>
    </xf>
    <xf numFmtId="0" fontId="87" fillId="0" borderId="119" applyNumberFormat="0" applyFill="0" applyAlignment="0" applyProtection="0"/>
    <xf numFmtId="0" fontId="69" fillId="0" borderId="0"/>
    <xf numFmtId="0" fontId="31" fillId="0" borderId="79" applyNumberFormat="0" applyFill="0" applyAlignment="0" applyProtection="0"/>
    <xf numFmtId="3" fontId="70" fillId="0" borderId="79" applyProtection="0"/>
    <xf numFmtId="0" fontId="125" fillId="0" borderId="72" applyNumberFormat="0" applyFont="0" applyFill="0" applyAlignment="0" applyProtection="0"/>
    <xf numFmtId="0" fontId="87" fillId="0" borderId="83" applyNumberFormat="0" applyFill="0" applyAlignment="0" applyProtection="0"/>
    <xf numFmtId="0" fontId="76" fillId="65" borderId="87" applyNumberFormat="0" applyAlignment="0" applyProtection="0"/>
    <xf numFmtId="0" fontId="83" fillId="51" borderId="87" applyNumberFormat="0" applyAlignment="0" applyProtection="0"/>
    <xf numFmtId="0" fontId="31" fillId="0" borderId="92" applyNumberFormat="0" applyFill="0" applyAlignment="0" applyProtection="0"/>
    <xf numFmtId="0" fontId="94" fillId="53" borderId="108" applyNumberFormat="0" applyAlignment="0" applyProtection="0"/>
    <xf numFmtId="0" fontId="83" fillId="51" borderId="87" applyNumberFormat="0" applyAlignment="0" applyProtection="0"/>
    <xf numFmtId="0" fontId="71" fillId="0" borderId="117">
      <alignment horizontal="center" wrapText="1"/>
    </xf>
    <xf numFmtId="0" fontId="31" fillId="0" borderId="66" applyNumberFormat="0" applyFill="0" applyAlignment="0" applyProtection="0"/>
    <xf numFmtId="0" fontId="76" fillId="49" borderId="61" applyNumberFormat="0" applyAlignment="0" applyProtection="0"/>
    <xf numFmtId="0" fontId="77" fillId="50" borderId="62" applyNumberFormat="0" applyAlignment="0" applyProtection="0"/>
    <xf numFmtId="0" fontId="83" fillId="36" borderId="61" applyNumberFormat="0" applyAlignment="0" applyProtection="0"/>
    <xf numFmtId="0" fontId="9" fillId="52" borderId="63" applyNumberFormat="0" applyFont="0" applyAlignment="0" applyProtection="0"/>
    <xf numFmtId="0" fontId="86" fillId="49" borderId="60" applyNumberFormat="0" applyAlignment="0" applyProtection="0"/>
    <xf numFmtId="0" fontId="87" fillId="0" borderId="64" applyNumberFormat="0" applyFill="0" applyAlignment="0" applyProtection="0"/>
    <xf numFmtId="3" fontId="70" fillId="0" borderId="66" applyProtection="0"/>
    <xf numFmtId="0" fontId="9" fillId="52" borderId="63" applyNumberFormat="0" applyFont="0" applyAlignment="0" applyProtection="0"/>
    <xf numFmtId="3" fontId="44" fillId="0" borderId="58" applyBorder="0"/>
    <xf numFmtId="3" fontId="44" fillId="0" borderId="58" applyBorder="0"/>
    <xf numFmtId="0" fontId="9" fillId="52" borderId="106" applyNumberFormat="0" applyFont="0" applyAlignment="0" applyProtection="0"/>
    <xf numFmtId="0" fontId="94" fillId="53" borderId="65" applyNumberFormat="0" applyAlignment="0" applyProtection="0"/>
    <xf numFmtId="2" fontId="94" fillId="54" borderId="65" applyProtection="0">
      <alignment horizontal="right"/>
    </xf>
    <xf numFmtId="2" fontId="95" fillId="29" borderId="65" applyProtection="0">
      <alignment horizontal="right"/>
    </xf>
    <xf numFmtId="192" fontId="96" fillId="55" borderId="65" applyProtection="0">
      <alignment horizontal="right"/>
    </xf>
    <xf numFmtId="192" fontId="96" fillId="55" borderId="65" applyProtection="0">
      <alignment horizontal="left"/>
    </xf>
    <xf numFmtId="0" fontId="97" fillId="53" borderId="65" applyNumberFormat="0" applyProtection="0">
      <alignment horizontal="left"/>
    </xf>
    <xf numFmtId="3" fontId="70" fillId="0" borderId="127" applyProtection="0"/>
    <xf numFmtId="0" fontId="9" fillId="51" borderId="89" applyNumberFormat="0" applyFont="0" applyAlignment="0" applyProtection="0"/>
    <xf numFmtId="0" fontId="41" fillId="0" borderId="81">
      <alignment horizontal="left" vertical="center"/>
    </xf>
    <xf numFmtId="10" fontId="29" fillId="57" borderId="99" applyNumberFormat="0" applyBorder="0" applyAlignment="0" applyProtection="0"/>
    <xf numFmtId="2" fontId="94" fillId="54" borderId="91" applyProtection="0">
      <alignment horizontal="right"/>
    </xf>
    <xf numFmtId="0" fontId="77" fillId="50" borderId="88" applyNumberFormat="0" applyAlignment="0" applyProtection="0"/>
    <xf numFmtId="0" fontId="41" fillId="0" borderId="81">
      <alignment horizontal="left" vertical="center"/>
    </xf>
    <xf numFmtId="0" fontId="76" fillId="49" borderId="104" applyNumberFormat="0" applyAlignment="0" applyProtection="0"/>
    <xf numFmtId="3" fontId="70" fillId="0" borderId="127" applyProtection="0"/>
    <xf numFmtId="0" fontId="125" fillId="0" borderId="59" applyNumberFormat="0" applyFont="0" applyFill="0" applyAlignment="0" applyProtection="0"/>
    <xf numFmtId="0" fontId="77" fillId="50" borderId="75" applyNumberFormat="0" applyAlignment="0" applyProtection="0"/>
    <xf numFmtId="0" fontId="31" fillId="0" borderId="66" applyNumberFormat="0" applyFill="0" applyAlignment="0" applyProtection="0"/>
    <xf numFmtId="0" fontId="31" fillId="0" borderId="79" applyNumberFormat="0" applyFill="0" applyAlignment="0" applyProtection="0"/>
    <xf numFmtId="0" fontId="77" fillId="50" borderId="62" applyNumberFormat="0" applyAlignment="0" applyProtection="0"/>
    <xf numFmtId="3" fontId="70" fillId="0" borderId="66" applyProtection="0"/>
    <xf numFmtId="192" fontId="96" fillId="55" borderId="91" applyProtection="0">
      <alignment horizontal="right"/>
    </xf>
    <xf numFmtId="0" fontId="87" fillId="0" borderId="77" applyNumberFormat="0" applyFill="0" applyAlignment="0" applyProtection="0"/>
    <xf numFmtId="10" fontId="29" fillId="57" borderId="118" applyNumberFormat="0" applyBorder="0" applyAlignment="0" applyProtection="0"/>
    <xf numFmtId="0" fontId="86" fillId="65" borderId="60" applyNumberFormat="0" applyAlignment="0" applyProtection="0"/>
    <xf numFmtId="0" fontId="9" fillId="51" borderId="63" applyNumberFormat="0" applyFont="0" applyAlignment="0" applyProtection="0"/>
    <xf numFmtId="0" fontId="83" fillId="51" borderId="61" applyNumberFormat="0" applyAlignment="0" applyProtection="0"/>
    <xf numFmtId="0" fontId="76" fillId="65" borderId="61" applyNumberFormat="0" applyAlignment="0" applyProtection="0"/>
    <xf numFmtId="0" fontId="77" fillId="50" borderId="75" applyNumberFormat="0" applyAlignment="0" applyProtection="0"/>
    <xf numFmtId="0" fontId="125" fillId="0" borderId="110" applyNumberFormat="0" applyFont="0" applyFill="0" applyAlignment="0" applyProtection="0"/>
    <xf numFmtId="2" fontId="94" fillId="54" borderId="108" applyProtection="0">
      <alignment horizontal="right"/>
    </xf>
    <xf numFmtId="0" fontId="125" fillId="0" borderId="59" applyNumberFormat="0" applyFont="0" applyFill="0" applyAlignment="0" applyProtection="0"/>
    <xf numFmtId="0" fontId="83" fillId="51" borderId="61" applyNumberFormat="0" applyAlignment="0" applyProtection="0"/>
    <xf numFmtId="0" fontId="83" fillId="51" borderId="61" applyNumberFormat="0" applyAlignment="0" applyProtection="0"/>
    <xf numFmtId="0" fontId="77" fillId="50" borderId="62" applyNumberFormat="0" applyAlignment="0" applyProtection="0"/>
    <xf numFmtId="0" fontId="86" fillId="49" borderId="60" applyNumberFormat="0" applyAlignment="0" applyProtection="0"/>
    <xf numFmtId="3" fontId="44" fillId="0" borderId="58" applyBorder="0"/>
    <xf numFmtId="3" fontId="44" fillId="0" borderId="58" applyBorder="0"/>
    <xf numFmtId="0" fontId="76" fillId="49" borderId="87" applyNumberFormat="0" applyAlignment="0" applyProtection="0"/>
    <xf numFmtId="0" fontId="83" fillId="36" borderId="122" applyNumberFormat="0" applyAlignment="0" applyProtection="0"/>
    <xf numFmtId="0" fontId="77" fillId="50" borderId="123" applyNumberFormat="0" applyAlignment="0" applyProtection="0"/>
    <xf numFmtId="0" fontId="86" fillId="65" borderId="86" applyNumberFormat="0" applyAlignment="0" applyProtection="0"/>
    <xf numFmtId="0" fontId="41" fillId="0" borderId="93">
      <alignment horizontal="left" vertical="center"/>
    </xf>
    <xf numFmtId="0" fontId="76" fillId="65" borderId="104" applyNumberFormat="0" applyAlignment="0" applyProtection="0"/>
    <xf numFmtId="0" fontId="97" fillId="53" borderId="108" applyNumberFormat="0" applyProtection="0">
      <alignment horizontal="left"/>
    </xf>
    <xf numFmtId="0" fontId="9" fillId="51" borderId="89" applyNumberFormat="0" applyFont="0" applyAlignment="0" applyProtection="0"/>
    <xf numFmtId="0" fontId="125" fillId="0" borderId="85" applyNumberFormat="0" applyFont="0" applyFill="0" applyAlignment="0" applyProtection="0"/>
    <xf numFmtId="0" fontId="125" fillId="0" borderId="59" applyNumberFormat="0" applyFont="0" applyFill="0" applyAlignment="0" applyProtection="0"/>
    <xf numFmtId="0" fontId="86" fillId="49" borderId="73" applyNumberFormat="0" applyAlignment="0" applyProtection="0"/>
    <xf numFmtId="0" fontId="31" fillId="0" borderId="66" applyNumberFormat="0" applyFill="0" applyAlignment="0" applyProtection="0"/>
    <xf numFmtId="3" fontId="70" fillId="0" borderId="66" applyProtection="0"/>
    <xf numFmtId="3" fontId="44" fillId="0" borderId="71" applyBorder="0"/>
    <xf numFmtId="0" fontId="86" fillId="49" borderId="86" applyNumberFormat="0" applyAlignment="0" applyProtection="0"/>
    <xf numFmtId="0" fontId="9" fillId="51" borderId="63" applyNumberFormat="0" applyFont="0" applyAlignment="0" applyProtection="0"/>
    <xf numFmtId="10" fontId="29" fillId="57" borderId="82" applyNumberFormat="0" applyBorder="0" applyAlignment="0" applyProtection="0"/>
    <xf numFmtId="0" fontId="41" fillId="0" borderId="117">
      <alignment horizontal="left" vertical="center"/>
    </xf>
    <xf numFmtId="0" fontId="71" fillId="0" borderId="93">
      <alignment horizontal="center" wrapText="1"/>
    </xf>
    <xf numFmtId="0" fontId="86" fillId="65" borderId="121" applyNumberFormat="0" applyAlignment="0" applyProtection="0"/>
    <xf numFmtId="0" fontId="94" fillId="53" borderId="126" applyNumberFormat="0" applyAlignment="0" applyProtection="0"/>
    <xf numFmtId="0" fontId="77" fillId="50" borderId="62" applyNumberFormat="0" applyAlignment="0" applyProtection="0"/>
    <xf numFmtId="0" fontId="125" fillId="0" borderId="59" applyNumberFormat="0" applyFont="0" applyFill="0" applyAlignment="0" applyProtection="0"/>
    <xf numFmtId="0" fontId="41" fillId="0" borderId="55">
      <alignment horizontal="left" vertical="center"/>
    </xf>
    <xf numFmtId="0" fontId="31" fillId="0" borderId="66" applyNumberFormat="0" applyFill="0" applyAlignment="0" applyProtection="0"/>
    <xf numFmtId="10" fontId="29" fillId="57" borderId="56" applyNumberFormat="0" applyBorder="0" applyAlignment="0" applyProtection="0"/>
    <xf numFmtId="3" fontId="70" fillId="0" borderId="66" applyProtection="0"/>
    <xf numFmtId="0" fontId="71" fillId="0" borderId="55">
      <alignment horizontal="center" wrapText="1"/>
    </xf>
    <xf numFmtId="0" fontId="87" fillId="0" borderId="57" applyNumberFormat="0" applyFill="0" applyAlignment="0" applyProtection="0"/>
    <xf numFmtId="0" fontId="87" fillId="0" borderId="83" applyNumberFormat="0" applyFill="0" applyAlignment="0" applyProtection="0"/>
    <xf numFmtId="0" fontId="76" fillId="49" borderId="61" applyNumberFormat="0" applyAlignment="0" applyProtection="0"/>
    <xf numFmtId="0" fontId="83" fillId="36" borderId="61" applyNumberFormat="0" applyAlignment="0" applyProtection="0"/>
    <xf numFmtId="0" fontId="9" fillId="52" borderId="63" applyNumberFormat="0" applyFont="0" applyAlignment="0" applyProtection="0"/>
    <xf numFmtId="0" fontId="87" fillId="0" borderId="64" applyNumberFormat="0" applyFill="0" applyAlignment="0" applyProtection="0"/>
    <xf numFmtId="0" fontId="9" fillId="52" borderId="63" applyNumberFormat="0" applyFont="0" applyAlignment="0" applyProtection="0"/>
    <xf numFmtId="192" fontId="96" fillId="55" borderId="91" applyProtection="0">
      <alignment horizontal="left"/>
    </xf>
    <xf numFmtId="0" fontId="94" fillId="53" borderId="65" applyNumberFormat="0" applyAlignment="0" applyProtection="0"/>
    <xf numFmtId="2" fontId="94" fillId="54" borderId="65" applyProtection="0">
      <alignment horizontal="right"/>
    </xf>
    <xf numFmtId="2" fontId="95" fillId="29" borderId="65" applyProtection="0">
      <alignment horizontal="right"/>
    </xf>
    <xf numFmtId="192" fontId="96" fillId="55" borderId="65" applyProtection="0">
      <alignment horizontal="right"/>
    </xf>
    <xf numFmtId="192" fontId="96" fillId="55" borderId="65" applyProtection="0">
      <alignment horizontal="left"/>
    </xf>
    <xf numFmtId="0" fontId="97" fillId="53" borderId="65" applyNumberFormat="0" applyProtection="0">
      <alignment horizontal="left"/>
    </xf>
    <xf numFmtId="0" fontId="94" fillId="53" borderId="108" applyNumberFormat="0" applyAlignment="0" applyProtection="0"/>
    <xf numFmtId="0" fontId="76" fillId="49" borderId="87" applyNumberFormat="0" applyAlignment="0" applyProtection="0"/>
    <xf numFmtId="0" fontId="31" fillId="0" borderId="92" applyNumberFormat="0" applyFill="0" applyAlignment="0" applyProtection="0"/>
    <xf numFmtId="192" fontId="96" fillId="55" borderId="126" applyProtection="0">
      <alignment horizontal="left"/>
    </xf>
    <xf numFmtId="2" fontId="94" fillId="54" borderId="91" applyProtection="0">
      <alignment horizontal="right"/>
    </xf>
    <xf numFmtId="6" fontId="142" fillId="0" borderId="67" applyNumberFormat="0" applyFill="0" applyBorder="0" applyAlignment="0" applyProtection="0">
      <alignment horizontal="right"/>
    </xf>
    <xf numFmtId="0" fontId="87" fillId="0" borderId="83" applyNumberFormat="0" applyFill="0" applyAlignment="0" applyProtection="0"/>
    <xf numFmtId="0" fontId="87" fillId="0" borderId="90" applyNumberFormat="0" applyFill="0" applyAlignment="0" applyProtection="0"/>
    <xf numFmtId="0" fontId="31" fillId="0" borderId="92" applyNumberFormat="0" applyFill="0" applyAlignment="0" applyProtection="0"/>
    <xf numFmtId="0" fontId="125" fillId="0" borderId="59" applyNumberFormat="0" applyFont="0" applyFill="0" applyAlignment="0" applyProtection="0"/>
    <xf numFmtId="0" fontId="86" fillId="49" borderId="97" applyNumberFormat="0" applyAlignment="0" applyProtection="0"/>
    <xf numFmtId="0" fontId="9" fillId="52" borderId="89" applyNumberFormat="0" applyFont="0" applyAlignment="0" applyProtection="0"/>
    <xf numFmtId="3" fontId="44" fillId="0" borderId="84" applyBorder="0"/>
    <xf numFmtId="0" fontId="31" fillId="0" borderId="92" applyNumberFormat="0" applyFill="0" applyAlignment="0" applyProtection="0"/>
    <xf numFmtId="0" fontId="9" fillId="51" borderId="63" applyNumberFormat="0" applyFont="0" applyAlignment="0" applyProtection="0"/>
    <xf numFmtId="0" fontId="83" fillId="51" borderId="61" applyNumberFormat="0" applyAlignment="0" applyProtection="0"/>
    <xf numFmtId="0" fontId="76" fillId="65" borderId="61" applyNumberFormat="0" applyAlignment="0" applyProtection="0"/>
    <xf numFmtId="0" fontId="125" fillId="0" borderId="110" applyNumberFormat="0" applyFont="0" applyFill="0" applyAlignment="0" applyProtection="0"/>
    <xf numFmtId="10" fontId="29" fillId="57" borderId="69" applyNumberFormat="0" applyBorder="0" applyAlignment="0" applyProtection="0"/>
    <xf numFmtId="0" fontId="31" fillId="0" borderId="79" applyNumberFormat="0" applyFill="0" applyAlignment="0" applyProtection="0"/>
    <xf numFmtId="3" fontId="70" fillId="0" borderId="127" applyProtection="0"/>
    <xf numFmtId="0" fontId="83" fillId="51" borderId="61" applyNumberFormat="0" applyAlignment="0" applyProtection="0"/>
    <xf numFmtId="0" fontId="83" fillId="51" borderId="61" applyNumberFormat="0" applyAlignment="0" applyProtection="0"/>
    <xf numFmtId="0" fontId="9" fillId="51" borderId="106" applyNumberFormat="0" applyFont="0" applyAlignment="0" applyProtection="0"/>
    <xf numFmtId="0" fontId="77" fillId="50" borderId="105" applyNumberFormat="0" applyAlignment="0" applyProtection="0"/>
    <xf numFmtId="0" fontId="77" fillId="50" borderId="123" applyNumberFormat="0" applyAlignment="0" applyProtection="0"/>
    <xf numFmtId="0" fontId="87" fillId="0" borderId="107" applyNumberFormat="0" applyFill="0" applyAlignment="0" applyProtection="0"/>
    <xf numFmtId="2" fontId="94" fillId="54" borderId="108" applyProtection="0">
      <alignment horizontal="right"/>
    </xf>
    <xf numFmtId="2" fontId="95" fillId="29" borderId="108" applyProtection="0">
      <alignment horizontal="right"/>
    </xf>
    <xf numFmtId="0" fontId="125" fillId="0" borderId="59" applyNumberFormat="0" applyFont="0" applyFill="0" applyAlignment="0" applyProtection="0"/>
    <xf numFmtId="0" fontId="41" fillId="0" borderId="55">
      <alignment horizontal="left" vertical="center"/>
    </xf>
    <xf numFmtId="10" fontId="29" fillId="57" borderId="56" applyNumberFormat="0" applyBorder="0" applyAlignment="0" applyProtection="0"/>
    <xf numFmtId="0" fontId="71" fillId="0" borderId="55">
      <alignment horizontal="center" wrapText="1"/>
    </xf>
    <xf numFmtId="0" fontId="77" fillId="50" borderId="88" applyNumberFormat="0" applyAlignment="0" applyProtection="0"/>
    <xf numFmtId="0" fontId="125" fillId="0" borderId="85" applyNumberFormat="0" applyFont="0" applyFill="0" applyAlignment="0" applyProtection="0"/>
    <xf numFmtId="0" fontId="87" fillId="0" borderId="57" applyNumberFormat="0" applyFill="0" applyAlignment="0" applyProtection="0"/>
    <xf numFmtId="0" fontId="9" fillId="51" borderId="63" applyNumberFormat="0" applyFont="0" applyAlignment="0" applyProtection="0"/>
    <xf numFmtId="0" fontId="76" fillId="49" borderId="87" applyNumberFormat="0" applyAlignment="0" applyProtection="0"/>
    <xf numFmtId="0" fontId="71" fillId="0" borderId="68">
      <alignment horizontal="center" wrapText="1"/>
    </xf>
    <xf numFmtId="0" fontId="86" fillId="49" borderId="86" applyNumberFormat="0" applyAlignment="0" applyProtection="0"/>
    <xf numFmtId="0" fontId="97" fillId="53" borderId="108" applyNumberFormat="0" applyProtection="0">
      <alignment horizontal="left"/>
    </xf>
    <xf numFmtId="0" fontId="9" fillId="52" borderId="89" applyNumberFormat="0" applyFont="0" applyAlignment="0" applyProtection="0"/>
    <xf numFmtId="0" fontId="31" fillId="0" borderId="66" applyNumberFormat="0" applyFill="0" applyAlignment="0" applyProtection="0"/>
    <xf numFmtId="0" fontId="76" fillId="49" borderId="61" applyNumberFormat="0" applyAlignment="0" applyProtection="0"/>
    <xf numFmtId="0" fontId="77" fillId="50" borderId="62" applyNumberFormat="0" applyAlignment="0" applyProtection="0"/>
    <xf numFmtId="0" fontId="83" fillId="36" borderId="61" applyNumberFormat="0" applyAlignment="0" applyProtection="0"/>
    <xf numFmtId="0" fontId="9" fillId="52" borderId="63" applyNumberFormat="0" applyFont="0" applyAlignment="0" applyProtection="0"/>
    <xf numFmtId="0" fontId="86" fillId="49" borderId="60" applyNumberFormat="0" applyAlignment="0" applyProtection="0"/>
    <xf numFmtId="0" fontId="87" fillId="0" borderId="64" applyNumberFormat="0" applyFill="0" applyAlignment="0" applyProtection="0"/>
    <xf numFmtId="3" fontId="70" fillId="0" borderId="66" applyProtection="0"/>
    <xf numFmtId="0" fontId="83" fillId="51" borderId="104" applyNumberFormat="0" applyAlignment="0" applyProtection="0"/>
    <xf numFmtId="0" fontId="83" fillId="51" borderId="104" applyNumberFormat="0" applyAlignment="0" applyProtection="0"/>
    <xf numFmtId="0" fontId="9" fillId="52" borderId="63" applyNumberFormat="0" applyFont="0" applyAlignment="0" applyProtection="0"/>
    <xf numFmtId="3" fontId="44" fillId="0" borderId="58" applyBorder="0"/>
    <xf numFmtId="3" fontId="44" fillId="0" borderId="58" applyBorder="0"/>
    <xf numFmtId="2" fontId="94" fillId="54" borderId="91" applyProtection="0">
      <alignment horizontal="right"/>
    </xf>
    <xf numFmtId="0" fontId="94" fillId="53" borderId="65" applyNumberFormat="0" applyAlignment="0" applyProtection="0"/>
    <xf numFmtId="2" fontId="94" fillId="54" borderId="65" applyProtection="0">
      <alignment horizontal="right"/>
    </xf>
    <xf numFmtId="2" fontId="95" fillId="29" borderId="65" applyProtection="0">
      <alignment horizontal="right"/>
    </xf>
    <xf numFmtId="192" fontId="96" fillId="55" borderId="65" applyProtection="0">
      <alignment horizontal="right"/>
    </xf>
    <xf numFmtId="192" fontId="96" fillId="55" borderId="65" applyProtection="0">
      <alignment horizontal="left"/>
    </xf>
    <xf numFmtId="0" fontId="97" fillId="53" borderId="65" applyNumberFormat="0" applyProtection="0">
      <alignment horizontal="left"/>
    </xf>
    <xf numFmtId="0" fontId="83" fillId="51" borderId="87" applyNumberFormat="0" applyAlignment="0" applyProtection="0"/>
    <xf numFmtId="0" fontId="87" fillId="0" borderId="90" applyNumberFormat="0" applyFill="0" applyAlignment="0" applyProtection="0"/>
    <xf numFmtId="0" fontId="31" fillId="0" borderId="127" applyNumberFormat="0" applyFill="0" applyAlignment="0" applyProtection="0"/>
    <xf numFmtId="0" fontId="71" fillId="0" borderId="81">
      <alignment horizontal="center" wrapText="1"/>
    </xf>
    <xf numFmtId="0" fontId="125" fillId="0" borderId="85" applyNumberFormat="0" applyFont="0" applyFill="0" applyAlignment="0" applyProtection="0"/>
    <xf numFmtId="0" fontId="9" fillId="52" borderId="89" applyNumberFormat="0" applyFont="0" applyAlignment="0" applyProtection="0"/>
    <xf numFmtId="0" fontId="41" fillId="0" borderId="98">
      <alignment horizontal="left" vertical="center"/>
    </xf>
    <xf numFmtId="0" fontId="76" fillId="49" borderId="104" applyNumberFormat="0" applyAlignment="0" applyProtection="0"/>
    <xf numFmtId="0" fontId="97" fillId="53" borderId="108" applyNumberFormat="0" applyProtection="0">
      <alignment horizontal="left"/>
    </xf>
    <xf numFmtId="0" fontId="125" fillId="0" borderId="59" applyNumberFormat="0" applyFont="0" applyFill="0" applyAlignment="0" applyProtection="0"/>
    <xf numFmtId="0" fontId="31" fillId="0" borderId="66" applyNumberFormat="0" applyFill="0" applyAlignment="0" applyProtection="0"/>
    <xf numFmtId="0" fontId="77" fillId="50" borderId="62" applyNumberFormat="0" applyAlignment="0" applyProtection="0"/>
    <xf numFmtId="3" fontId="70" fillId="0" borderId="66" applyProtection="0"/>
    <xf numFmtId="0" fontId="94" fillId="53" borderId="91" applyNumberFormat="0" applyAlignment="0" applyProtection="0"/>
    <xf numFmtId="10" fontId="29" fillId="57" borderId="82" applyNumberFormat="0" applyBorder="0" applyAlignment="0" applyProtection="0"/>
    <xf numFmtId="0" fontId="86" fillId="49" borderId="73" applyNumberFormat="0" applyAlignment="0" applyProtection="0"/>
    <xf numFmtId="0" fontId="31" fillId="0" borderId="92" applyNumberFormat="0" applyFill="0" applyAlignment="0" applyProtection="0"/>
    <xf numFmtId="0" fontId="86" fillId="65" borderId="60" applyNumberFormat="0" applyAlignment="0" applyProtection="0"/>
    <xf numFmtId="0" fontId="9" fillId="51" borderId="63" applyNumberFormat="0" applyFont="0" applyAlignment="0" applyProtection="0"/>
    <xf numFmtId="0" fontId="83" fillId="51" borderId="61" applyNumberFormat="0" applyAlignment="0" applyProtection="0"/>
    <xf numFmtId="0" fontId="76" fillId="65" borderId="61" applyNumberFormat="0" applyAlignment="0" applyProtection="0"/>
    <xf numFmtId="0" fontId="83" fillId="36" borderId="122" applyNumberFormat="0" applyAlignment="0" applyProtection="0"/>
    <xf numFmtId="0" fontId="9" fillId="51" borderId="124" applyNumberFormat="0" applyFont="0" applyAlignment="0" applyProtection="0"/>
    <xf numFmtId="0" fontId="125" fillId="0" borderId="80" applyNumberFormat="0" applyFont="0" applyFill="0" applyAlignment="0" applyProtection="0"/>
    <xf numFmtId="6" fontId="142" fillId="0" borderId="67" applyNumberFormat="0" applyFill="0" applyBorder="0" applyAlignment="0" applyProtection="0">
      <alignment horizontal="right"/>
    </xf>
    <xf numFmtId="3" fontId="70" fillId="0" borderId="79" applyProtection="0"/>
    <xf numFmtId="3" fontId="44" fillId="0" borderId="84" applyBorder="0"/>
    <xf numFmtId="0" fontId="83" fillId="51" borderId="104" applyNumberFormat="0" applyAlignment="0" applyProtection="0"/>
    <xf numFmtId="0" fontId="125" fillId="0" borderId="59" applyNumberFormat="0" applyFont="0" applyFill="0" applyAlignment="0" applyProtection="0"/>
    <xf numFmtId="0" fontId="83" fillId="51" borderId="61" applyNumberFormat="0" applyAlignment="0" applyProtection="0"/>
    <xf numFmtId="0" fontId="83" fillId="51" borderId="61" applyNumberFormat="0" applyAlignment="0" applyProtection="0"/>
    <xf numFmtId="0" fontId="77" fillId="50" borderId="62" applyNumberFormat="0" applyAlignment="0" applyProtection="0"/>
    <xf numFmtId="0" fontId="86" fillId="49" borderId="60" applyNumberFormat="0" applyAlignment="0" applyProtection="0"/>
    <xf numFmtId="44" fontId="69" fillId="0" borderId="0" applyFont="0" applyFill="0" applyBorder="0" applyAlignment="0" applyProtection="0"/>
    <xf numFmtId="3" fontId="44" fillId="0" borderId="58" applyBorder="0"/>
    <xf numFmtId="3" fontId="44" fillId="0" borderId="58" applyBorder="0"/>
    <xf numFmtId="0" fontId="83" fillId="36" borderId="87" applyNumberFormat="0" applyAlignment="0" applyProtection="0"/>
    <xf numFmtId="0" fontId="9" fillId="52" borderId="89" applyNumberFormat="0" applyFont="0" applyAlignment="0" applyProtection="0"/>
    <xf numFmtId="43" fontId="69" fillId="0" borderId="0" applyFont="0" applyFill="0" applyBorder="0" applyAlignment="0" applyProtection="0"/>
    <xf numFmtId="0" fontId="86" fillId="49" borderId="121" applyNumberFormat="0" applyAlignment="0" applyProtection="0"/>
    <xf numFmtId="0" fontId="87" fillId="0" borderId="107" applyNumberFormat="0" applyFill="0" applyAlignment="0" applyProtection="0"/>
    <xf numFmtId="0" fontId="71" fillId="0" borderId="117">
      <alignment horizontal="center" wrapText="1"/>
    </xf>
    <xf numFmtId="192" fontId="96" fillId="55" borderId="108" applyProtection="0">
      <alignment horizontal="right"/>
    </xf>
    <xf numFmtId="10" fontId="29" fillId="57" borderId="99" applyNumberFormat="0" applyBorder="0" applyAlignment="0" applyProtection="0"/>
    <xf numFmtId="0" fontId="76" fillId="65" borderId="104" applyNumberFormat="0" applyAlignment="0" applyProtection="0"/>
    <xf numFmtId="3" fontId="44" fillId="0" borderId="120" applyBorder="0"/>
    <xf numFmtId="9" fontId="69" fillId="0" borderId="0" applyFont="0" applyFill="0" applyBorder="0" applyAlignment="0" applyProtection="0"/>
    <xf numFmtId="0" fontId="125" fillId="0" borderId="59" applyNumberFormat="0" applyFont="0" applyFill="0" applyAlignment="0" applyProtection="0"/>
    <xf numFmtId="0" fontId="31" fillId="0" borderId="66" applyNumberFormat="0" applyFill="0" applyAlignment="0" applyProtection="0"/>
    <xf numFmtId="3" fontId="70" fillId="0" borderId="66" applyProtection="0"/>
    <xf numFmtId="3" fontId="44" fillId="0" borderId="120" applyBorder="0"/>
    <xf numFmtId="0" fontId="9" fillId="52" borderId="76" applyNumberFormat="0" applyFont="0" applyAlignment="0" applyProtection="0"/>
    <xf numFmtId="0" fontId="41" fillId="0" borderId="111" applyNumberFormat="0" applyAlignment="0" applyProtection="0">
      <alignment horizontal="left" vertical="center"/>
    </xf>
    <xf numFmtId="0" fontId="9" fillId="51" borderId="63" applyNumberFormat="0" applyFont="0" applyAlignment="0" applyProtection="0"/>
    <xf numFmtId="0" fontId="125" fillId="0" borderId="85" applyNumberFormat="0" applyFont="0" applyFill="0" applyAlignment="0" applyProtection="0"/>
    <xf numFmtId="0" fontId="83" fillId="51" borderId="87" applyNumberFormat="0" applyAlignment="0" applyProtection="0"/>
    <xf numFmtId="0" fontId="9" fillId="52" borderId="124" applyNumberFormat="0" applyFont="0" applyAlignment="0" applyProtection="0"/>
    <xf numFmtId="0" fontId="77" fillId="50" borderId="123" applyNumberFormat="0" applyAlignment="0" applyProtection="0"/>
    <xf numFmtId="0" fontId="77" fillId="50" borderId="62" applyNumberFormat="0" applyAlignment="0" applyProtection="0"/>
    <xf numFmtId="0" fontId="125" fillId="0" borderId="59" applyNumberFormat="0" applyFont="0" applyFill="0" applyAlignment="0" applyProtection="0"/>
    <xf numFmtId="0" fontId="31" fillId="0" borderId="66" applyNumberFormat="0" applyFill="0" applyAlignment="0" applyProtection="0"/>
    <xf numFmtId="10" fontId="29" fillId="57" borderId="56" applyNumberFormat="0" applyBorder="0" applyAlignment="0" applyProtection="0"/>
    <xf numFmtId="3" fontId="70" fillId="0" borderId="66" applyProtection="0"/>
    <xf numFmtId="0" fontId="87" fillId="0" borderId="57" applyNumberFormat="0" applyFill="0" applyAlignment="0" applyProtection="0"/>
    <xf numFmtId="3" fontId="70" fillId="0" borderId="92" applyProtection="0"/>
    <xf numFmtId="0" fontId="76" fillId="49" borderId="61" applyNumberFormat="0" applyAlignment="0" applyProtection="0"/>
    <xf numFmtId="0" fontId="83" fillId="36" borderId="61" applyNumberFormat="0" applyAlignment="0" applyProtection="0"/>
    <xf numFmtId="0" fontId="9" fillId="52" borderId="63" applyNumberFormat="0" applyFont="0" applyAlignment="0" applyProtection="0"/>
    <xf numFmtId="0" fontId="87" fillId="0" borderId="64" applyNumberFormat="0" applyFill="0" applyAlignment="0" applyProtection="0"/>
    <xf numFmtId="3" fontId="70" fillId="0" borderId="92" applyProtection="0"/>
    <xf numFmtId="0" fontId="9" fillId="52" borderId="63" applyNumberFormat="0" applyFont="0" applyAlignment="0" applyProtection="0"/>
    <xf numFmtId="0" fontId="94" fillId="53" borderId="65" applyNumberFormat="0" applyAlignment="0" applyProtection="0"/>
    <xf numFmtId="2" fontId="94" fillId="54" borderId="65" applyProtection="0">
      <alignment horizontal="right"/>
    </xf>
    <xf numFmtId="2" fontId="95" fillId="29" borderId="65" applyProtection="0">
      <alignment horizontal="right"/>
    </xf>
    <xf numFmtId="192" fontId="96" fillId="55" borderId="65" applyProtection="0">
      <alignment horizontal="right"/>
    </xf>
    <xf numFmtId="192" fontId="96" fillId="55" borderId="65" applyProtection="0">
      <alignment horizontal="left"/>
    </xf>
    <xf numFmtId="0" fontId="97" fillId="53" borderId="65" applyNumberFormat="0" applyProtection="0">
      <alignment horizontal="left"/>
    </xf>
    <xf numFmtId="10" fontId="29" fillId="57" borderId="118" applyNumberFormat="0" applyBorder="0" applyAlignment="0" applyProtection="0"/>
    <xf numFmtId="3" fontId="70" fillId="0" borderId="109" applyProtection="0"/>
    <xf numFmtId="3" fontId="44" fillId="0" borderId="84" applyBorder="0"/>
    <xf numFmtId="2" fontId="95" fillId="29" borderId="91" applyProtection="0">
      <alignment horizontal="right"/>
    </xf>
    <xf numFmtId="3" fontId="70" fillId="0" borderId="92" applyProtection="0"/>
    <xf numFmtId="0" fontId="77" fillId="50" borderId="123" applyNumberFormat="0" applyAlignment="0" applyProtection="0"/>
    <xf numFmtId="0" fontId="97" fillId="53" borderId="91" applyNumberFormat="0" applyProtection="0">
      <alignment horizontal="left"/>
    </xf>
    <xf numFmtId="3" fontId="70" fillId="0" borderId="92" applyProtection="0"/>
    <xf numFmtId="0" fontId="41" fillId="0" borderId="55">
      <alignment horizontal="left" vertical="center"/>
    </xf>
    <xf numFmtId="10" fontId="29" fillId="57" borderId="56" applyNumberFormat="0" applyBorder="0" applyAlignment="0" applyProtection="0"/>
    <xf numFmtId="0" fontId="9" fillId="52" borderId="89" applyNumberFormat="0" applyFont="0" applyAlignment="0" applyProtection="0"/>
    <xf numFmtId="0" fontId="71" fillId="0" borderId="55">
      <alignment horizontal="center" wrapText="1"/>
    </xf>
    <xf numFmtId="0" fontId="83" fillId="36" borderId="74" applyNumberFormat="0" applyAlignment="0" applyProtection="0"/>
    <xf numFmtId="0" fontId="87" fillId="0" borderId="57" applyNumberFormat="0" applyFill="0" applyAlignment="0" applyProtection="0"/>
    <xf numFmtId="0" fontId="9" fillId="51" borderId="63" applyNumberFormat="0" applyFont="0" applyAlignment="0" applyProtection="0"/>
    <xf numFmtId="0" fontId="83" fillId="51" borderId="61" applyNumberFormat="0" applyAlignment="0" applyProtection="0"/>
    <xf numFmtId="0" fontId="76" fillId="65" borderId="61" applyNumberFormat="0" applyAlignment="0" applyProtection="0"/>
    <xf numFmtId="0" fontId="77" fillId="50" borderId="88" applyNumberFormat="0" applyAlignment="0" applyProtection="0"/>
    <xf numFmtId="0" fontId="9" fillId="52" borderId="89" applyNumberFormat="0" applyFont="0" applyAlignment="0" applyProtection="0"/>
    <xf numFmtId="3" fontId="70" fillId="0" borderId="109" applyProtection="0"/>
    <xf numFmtId="0" fontId="83" fillId="51" borderId="61" applyNumberFormat="0" applyAlignment="0" applyProtection="0"/>
    <xf numFmtId="0" fontId="83" fillId="51" borderId="61" applyNumberFormat="0" applyAlignment="0" applyProtection="0"/>
    <xf numFmtId="0" fontId="86" fillId="49" borderId="60" applyNumberFormat="0" applyAlignment="0" applyProtection="0"/>
    <xf numFmtId="0" fontId="83" fillId="36" borderId="122" applyNumberFormat="0" applyAlignment="0" applyProtection="0"/>
    <xf numFmtId="3" fontId="44" fillId="0" borderId="58" applyBorder="0"/>
    <xf numFmtId="3" fontId="44" fillId="0" borderId="58" applyBorder="0"/>
    <xf numFmtId="0" fontId="9" fillId="52" borderId="89" applyNumberFormat="0" applyFont="0" applyAlignment="0" applyProtection="0"/>
    <xf numFmtId="0" fontId="31" fillId="0" borderId="109" applyNumberFormat="0" applyFill="0" applyAlignment="0" applyProtection="0"/>
    <xf numFmtId="0" fontId="87" fillId="0" borderId="125" applyNumberFormat="0" applyFill="0" applyAlignment="0" applyProtection="0"/>
    <xf numFmtId="2" fontId="94" fillId="54" borderId="126" applyProtection="0">
      <alignment horizontal="right"/>
    </xf>
    <xf numFmtId="0" fontId="125" fillId="0" borderId="72" applyNumberFormat="0" applyFont="0" applyFill="0" applyAlignment="0" applyProtection="0"/>
    <xf numFmtId="3" fontId="44" fillId="0" borderId="84" applyBorder="0"/>
    <xf numFmtId="0" fontId="125" fillId="0" borderId="85" applyNumberFormat="0" applyFont="0" applyFill="0" applyAlignment="0" applyProtection="0"/>
    <xf numFmtId="0" fontId="97" fillId="53" borderId="91" applyNumberFormat="0" applyProtection="0">
      <alignment horizontal="left"/>
    </xf>
    <xf numFmtId="3" fontId="70" fillId="0" borderId="79" applyProtection="0"/>
    <xf numFmtId="0" fontId="83" fillId="36" borderId="87" applyNumberFormat="0" applyAlignment="0" applyProtection="0"/>
    <xf numFmtId="0" fontId="87" fillId="0" borderId="95" applyNumberFormat="0" applyFill="0" applyAlignment="0" applyProtection="0"/>
    <xf numFmtId="0" fontId="9" fillId="51" borderId="63" applyNumberFormat="0" applyFont="0" applyAlignment="0" applyProtection="0"/>
    <xf numFmtId="0" fontId="125" fillId="0" borderId="85" applyNumberFormat="0" applyFont="0" applyFill="0" applyAlignment="0" applyProtection="0"/>
    <xf numFmtId="0" fontId="86" fillId="49" borderId="86" applyNumberFormat="0" applyAlignment="0" applyProtection="0"/>
    <xf numFmtId="0" fontId="87" fillId="0" borderId="70" applyNumberFormat="0" applyFill="0" applyAlignment="0" applyProtection="0"/>
    <xf numFmtId="192" fontId="96" fillId="55" borderId="126" applyProtection="0">
      <alignment horizontal="left"/>
    </xf>
    <xf numFmtId="0" fontId="9" fillId="51" borderId="106" applyNumberFormat="0" applyFont="0" applyAlignment="0" applyProtection="0"/>
    <xf numFmtId="2" fontId="95" fillId="29" borderId="108" applyProtection="0">
      <alignment horizontal="right"/>
    </xf>
    <xf numFmtId="0" fontId="87" fillId="0" borderId="100" applyNumberFormat="0" applyFill="0" applyAlignment="0" applyProtection="0"/>
    <xf numFmtId="0" fontId="31" fillId="0" borderId="66" applyNumberFormat="0" applyFill="0" applyAlignment="0" applyProtection="0"/>
    <xf numFmtId="0" fontId="77" fillId="50" borderId="62" applyNumberFormat="0" applyAlignment="0" applyProtection="0"/>
    <xf numFmtId="3" fontId="70" fillId="0" borderId="66" applyProtection="0"/>
    <xf numFmtId="0" fontId="86" fillId="65" borderId="103" applyNumberFormat="0" applyAlignment="0" applyProtection="0"/>
    <xf numFmtId="3" fontId="70" fillId="0" borderId="127" applyProtection="0"/>
    <xf numFmtId="2" fontId="95" fillId="29" borderId="91" applyProtection="0">
      <alignment horizontal="right"/>
    </xf>
    <xf numFmtId="0" fontId="71" fillId="0" borderId="81">
      <alignment horizontal="center" wrapText="1"/>
    </xf>
    <xf numFmtId="0" fontId="83" fillId="51" borderId="87" applyNumberFormat="0" applyAlignment="0" applyProtection="0"/>
    <xf numFmtId="0" fontId="31" fillId="0" borderId="92" applyNumberFormat="0" applyFill="0" applyAlignment="0" applyProtection="0"/>
    <xf numFmtId="0" fontId="94" fillId="53" borderId="126" applyNumberFormat="0" applyAlignment="0" applyProtection="0"/>
    <xf numFmtId="0" fontId="94" fillId="53" borderId="91" applyNumberFormat="0" applyAlignment="0" applyProtection="0"/>
    <xf numFmtId="3" fontId="70" fillId="0" borderId="92" applyProtection="0"/>
    <xf numFmtId="0" fontId="86" fillId="49" borderId="86" applyNumberFormat="0" applyAlignment="0" applyProtection="0"/>
    <xf numFmtId="0" fontId="41" fillId="0" borderId="98">
      <alignment horizontal="left" vertical="center"/>
    </xf>
    <xf numFmtId="0" fontId="77" fillId="50" borderId="105" applyNumberFormat="0" applyAlignment="0" applyProtection="0"/>
    <xf numFmtId="0" fontId="77" fillId="50" borderId="88" applyNumberFormat="0" applyAlignment="0" applyProtection="0"/>
    <xf numFmtId="0" fontId="125" fillId="0" borderId="59" applyNumberFormat="0" applyFont="0" applyFill="0" applyAlignment="0" applyProtection="0"/>
    <xf numFmtId="0" fontId="31" fillId="0" borderId="66" applyNumberFormat="0" applyFill="0" applyAlignment="0" applyProtection="0"/>
    <xf numFmtId="0" fontId="77" fillId="50" borderId="62" applyNumberFormat="0" applyAlignment="0" applyProtection="0"/>
    <xf numFmtId="3" fontId="70" fillId="0" borderId="66" applyProtection="0"/>
    <xf numFmtId="0" fontId="9" fillId="52" borderId="76" applyNumberFormat="0" applyFont="0" applyAlignment="0" applyProtection="0"/>
    <xf numFmtId="0" fontId="87" fillId="0" borderId="90" applyNumberFormat="0" applyFill="0" applyAlignment="0" applyProtection="0"/>
    <xf numFmtId="3" fontId="70" fillId="0" borderId="92" applyProtection="0"/>
    <xf numFmtId="10" fontId="29" fillId="57" borderId="94" applyNumberFormat="0" applyBorder="0" applyAlignment="0" applyProtection="0"/>
    <xf numFmtId="0" fontId="76" fillId="65" borderId="122" applyNumberFormat="0" applyAlignment="0" applyProtection="0"/>
    <xf numFmtId="3" fontId="44" fillId="0" borderId="84" applyBorder="0"/>
    <xf numFmtId="0" fontId="9" fillId="51" borderId="106" applyNumberFormat="0" applyFont="0" applyAlignment="0" applyProtection="0"/>
    <xf numFmtId="0" fontId="125" fillId="0" borderId="59" applyNumberFormat="0" applyFont="0" applyFill="0" applyAlignment="0" applyProtection="0"/>
    <xf numFmtId="0" fontId="77" fillId="50" borderId="62" applyNumberFormat="0" applyAlignment="0" applyProtection="0"/>
    <xf numFmtId="0" fontId="83" fillId="51" borderId="104" applyNumberFormat="0" applyAlignment="0" applyProtection="0"/>
    <xf numFmtId="0" fontId="9" fillId="51" borderId="89" applyNumberFormat="0" applyFont="0" applyAlignment="0" applyProtection="0"/>
    <xf numFmtId="0" fontId="87" fillId="0" borderId="90" applyNumberFormat="0" applyFill="0" applyAlignment="0" applyProtection="0"/>
    <xf numFmtId="0" fontId="31" fillId="0" borderId="127" applyNumberFormat="0" applyFill="0" applyAlignment="0" applyProtection="0"/>
    <xf numFmtId="0" fontId="76" fillId="65" borderId="104" applyNumberFormat="0" applyAlignment="0" applyProtection="0"/>
    <xf numFmtId="3" fontId="70" fillId="0" borderId="127" applyProtection="0"/>
    <xf numFmtId="0" fontId="31" fillId="0" borderId="127" applyNumberFormat="0" applyFill="0" applyAlignment="0" applyProtection="0"/>
    <xf numFmtId="0" fontId="97" fillId="53" borderId="108" applyNumberFormat="0" applyProtection="0">
      <alignment horizontal="left"/>
    </xf>
    <xf numFmtId="0" fontId="9" fillId="51" borderId="89" applyNumberFormat="0" applyFont="0" applyAlignment="0" applyProtection="0"/>
    <xf numFmtId="0" fontId="125" fillId="0" borderId="59" applyNumberFormat="0" applyFont="0" applyFill="0" applyAlignment="0" applyProtection="0"/>
    <xf numFmtId="0" fontId="31" fillId="0" borderId="66" applyNumberFormat="0" applyFill="0" applyAlignment="0" applyProtection="0"/>
    <xf numFmtId="3" fontId="70" fillId="0" borderId="66" applyProtection="0"/>
    <xf numFmtId="0" fontId="76" fillId="49" borderId="87" applyNumberFormat="0" applyAlignment="0" applyProtection="0"/>
    <xf numFmtId="0" fontId="83" fillId="51" borderId="87" applyNumberFormat="0" applyAlignment="0" applyProtection="0"/>
    <xf numFmtId="0" fontId="97" fillId="53" borderId="91" applyNumberFormat="0" applyProtection="0">
      <alignment horizontal="left"/>
    </xf>
    <xf numFmtId="0" fontId="77" fillId="50" borderId="62" applyNumberFormat="0" applyAlignment="0" applyProtection="0"/>
    <xf numFmtId="0" fontId="125" fillId="0" borderId="59" applyNumberFormat="0" applyFont="0" applyFill="0" applyAlignment="0" applyProtection="0"/>
    <xf numFmtId="0" fontId="41" fillId="0" borderId="55">
      <alignment horizontal="left" vertical="center"/>
    </xf>
    <xf numFmtId="0" fontId="31" fillId="0" borderId="66" applyNumberFormat="0" applyFill="0" applyAlignment="0" applyProtection="0"/>
    <xf numFmtId="3" fontId="70" fillId="0" borderId="66" applyProtection="0"/>
    <xf numFmtId="0" fontId="71" fillId="0" borderId="55">
      <alignment horizontal="center" wrapText="1"/>
    </xf>
    <xf numFmtId="0" fontId="77" fillId="50" borderId="88" applyNumberFormat="0" applyAlignment="0" applyProtection="0"/>
    <xf numFmtId="3" fontId="44" fillId="0" borderId="101" applyBorder="0"/>
    <xf numFmtId="3" fontId="44" fillId="0" borderId="120" applyBorder="0"/>
    <xf numFmtId="0" fontId="86" fillId="65" borderId="103" applyNumberFormat="0" applyAlignment="0" applyProtection="0"/>
    <xf numFmtId="0" fontId="69" fillId="0" borderId="0"/>
    <xf numFmtId="0" fontId="77" fillId="50" borderId="75" applyNumberFormat="0" applyAlignment="0" applyProtection="0"/>
    <xf numFmtId="0" fontId="125" fillId="0" borderId="72" applyNumberFormat="0" applyFont="0" applyFill="0" applyAlignment="0" applyProtection="0"/>
    <xf numFmtId="0" fontId="31" fillId="0" borderId="79" applyNumberFormat="0" applyFill="0" applyAlignment="0" applyProtection="0"/>
    <xf numFmtId="3" fontId="70" fillId="0" borderId="79" applyProtection="0"/>
    <xf numFmtId="0" fontId="41" fillId="0" borderId="117">
      <alignment horizontal="left" vertical="center"/>
    </xf>
    <xf numFmtId="10" fontId="29" fillId="57" borderId="113" applyNumberFormat="0" applyBorder="0" applyAlignment="0" applyProtection="0"/>
    <xf numFmtId="0" fontId="9" fillId="51" borderId="124" applyNumberFormat="0" applyFont="0" applyAlignment="0" applyProtection="0"/>
    <xf numFmtId="0" fontId="125" fillId="0" borderId="110" applyNumberFormat="0" applyFont="0" applyFill="0" applyAlignment="0" applyProtection="0"/>
    <xf numFmtId="0" fontId="87" fillId="0" borderId="114" applyNumberFormat="0" applyFill="0" applyAlignment="0" applyProtection="0"/>
    <xf numFmtId="2" fontId="95" fillId="29" borderId="126" applyProtection="0">
      <alignment horizontal="right"/>
    </xf>
    <xf numFmtId="0" fontId="31" fillId="0" borderId="109" applyNumberFormat="0" applyFill="0" applyAlignment="0" applyProtection="0"/>
    <xf numFmtId="0" fontId="125" fillId="0" borderId="85" applyNumberFormat="0" applyFont="0" applyFill="0" applyAlignment="0" applyProtection="0"/>
    <xf numFmtId="0" fontId="9" fillId="51" borderId="89" applyNumberFormat="0" applyFont="0" applyAlignment="0" applyProtection="0"/>
    <xf numFmtId="0" fontId="9" fillId="51" borderId="106" applyNumberFormat="0" applyFont="0" applyAlignment="0" applyProtection="0"/>
    <xf numFmtId="0" fontId="9" fillId="51" borderId="106" applyNumberFormat="0" applyFont="0" applyAlignment="0" applyProtection="0"/>
    <xf numFmtId="0" fontId="87" fillId="0" borderId="107" applyNumberFormat="0" applyFill="0" applyAlignment="0" applyProtection="0"/>
    <xf numFmtId="0" fontId="9" fillId="52" borderId="106" applyNumberFormat="0" applyFont="0" applyAlignment="0" applyProtection="0"/>
    <xf numFmtId="0" fontId="83" fillId="51" borderId="122" applyNumberFormat="0" applyAlignment="0" applyProtection="0"/>
    <xf numFmtId="0" fontId="69" fillId="0" borderId="0"/>
    <xf numFmtId="3" fontId="44" fillId="0" borderId="96" applyBorder="0"/>
    <xf numFmtId="3" fontId="44" fillId="0" borderId="101" applyBorder="0"/>
    <xf numFmtId="2" fontId="95" fillId="29" borderId="91" applyProtection="0">
      <alignment horizontal="right"/>
    </xf>
    <xf numFmtId="0" fontId="76" fillId="49" borderId="122" applyNumberFormat="0" applyAlignment="0" applyProtection="0"/>
    <xf numFmtId="0" fontId="83" fillId="51" borderId="87" applyNumberFormat="0" applyAlignment="0" applyProtection="0"/>
    <xf numFmtId="10" fontId="29" fillId="57" borderId="99" applyNumberFormat="0" applyBorder="0" applyAlignment="0" applyProtection="0"/>
    <xf numFmtId="0" fontId="94" fillId="53" borderId="108" applyNumberFormat="0" applyAlignment="0" applyProtection="0"/>
    <xf numFmtId="3" fontId="44" fillId="0" borderId="71" applyBorder="0"/>
    <xf numFmtId="3" fontId="44" fillId="0" borderId="71" applyBorder="0"/>
    <xf numFmtId="0" fontId="87" fillId="0" borderId="119" applyNumberFormat="0" applyFill="0" applyAlignment="0" applyProtection="0"/>
    <xf numFmtId="0" fontId="76" fillId="49" borderId="104" applyNumberFormat="0" applyAlignment="0" applyProtection="0"/>
    <xf numFmtId="0" fontId="83" fillId="51" borderId="104" applyNumberFormat="0" applyAlignment="0" applyProtection="0"/>
    <xf numFmtId="0" fontId="31" fillId="0" borderId="109" applyNumberFormat="0" applyFill="0" applyAlignment="0" applyProtection="0"/>
    <xf numFmtId="192" fontId="96" fillId="55" borderId="108" applyProtection="0">
      <alignment horizontal="right"/>
    </xf>
    <xf numFmtId="0" fontId="125" fillId="0" borderId="102" applyNumberFormat="0" applyFont="0" applyFill="0" applyAlignment="0" applyProtection="0"/>
    <xf numFmtId="0" fontId="97" fillId="53" borderId="126" applyNumberFormat="0" applyProtection="0">
      <alignment horizontal="left"/>
    </xf>
    <xf numFmtId="10" fontId="29" fillId="57" borderId="118" applyNumberFormat="0" applyBorder="0" applyAlignment="0" applyProtection="0"/>
    <xf numFmtId="3" fontId="44" fillId="0" borderId="84" applyBorder="0"/>
    <xf numFmtId="0" fontId="83" fillId="51" borderId="104" applyNumberFormat="0" applyAlignment="0" applyProtection="0"/>
    <xf numFmtId="192" fontId="96" fillId="55" borderId="91" applyProtection="0">
      <alignment horizontal="left"/>
    </xf>
    <xf numFmtId="0" fontId="31" fillId="0" borderId="79" applyNumberFormat="0" applyFill="0" applyAlignment="0" applyProtection="0"/>
    <xf numFmtId="0" fontId="77" fillId="50" borderId="75" applyNumberFormat="0" applyAlignment="0" applyProtection="0"/>
    <xf numFmtId="3" fontId="70" fillId="0" borderId="79" applyProtection="0"/>
    <xf numFmtId="0" fontId="87" fillId="0" borderId="107" applyNumberFormat="0" applyFill="0" applyAlignment="0" applyProtection="0"/>
    <xf numFmtId="0" fontId="9" fillId="52" borderId="106" applyNumberFormat="0" applyFont="0" applyAlignment="0" applyProtection="0"/>
    <xf numFmtId="0" fontId="77" fillId="50" borderId="88" applyNumberFormat="0" applyAlignment="0" applyProtection="0"/>
    <xf numFmtId="0" fontId="76" fillId="65" borderId="87" applyNumberFormat="0" applyAlignment="0" applyProtection="0"/>
    <xf numFmtId="192" fontId="96" fillId="55" borderId="108" applyProtection="0">
      <alignment horizontal="left"/>
    </xf>
    <xf numFmtId="0" fontId="83" fillId="36" borderId="104" applyNumberFormat="0" applyAlignment="0" applyProtection="0"/>
    <xf numFmtId="0" fontId="125" fillId="0" borderId="72" applyNumberFormat="0" applyFont="0" applyFill="0" applyAlignment="0" applyProtection="0"/>
    <xf numFmtId="0" fontId="31" fillId="0" borderId="79" applyNumberFormat="0" applyFill="0" applyAlignment="0" applyProtection="0"/>
    <xf numFmtId="0" fontId="77" fillId="50" borderId="75" applyNumberFormat="0" applyAlignment="0" applyProtection="0"/>
    <xf numFmtId="3" fontId="70" fillId="0" borderId="79" applyProtection="0"/>
    <xf numFmtId="3" fontId="44" fillId="0" borderId="101" applyBorder="0"/>
    <xf numFmtId="44" fontId="69" fillId="0" borderId="0" applyFont="0" applyFill="0" applyBorder="0" applyAlignment="0" applyProtection="0"/>
    <xf numFmtId="3" fontId="44" fillId="0" borderId="120" applyBorder="0"/>
    <xf numFmtId="0" fontId="86" fillId="49" borderId="86" applyNumberFormat="0" applyAlignment="0" applyProtection="0"/>
    <xf numFmtId="0" fontId="31" fillId="0" borderId="109" applyNumberFormat="0" applyFill="0" applyAlignment="0" applyProtection="0"/>
    <xf numFmtId="2" fontId="94" fillId="54" borderId="91" applyProtection="0">
      <alignment horizontal="right"/>
    </xf>
    <xf numFmtId="0" fontId="83" fillId="51" borderId="122" applyNumberFormat="0" applyAlignment="0" applyProtection="0"/>
    <xf numFmtId="0" fontId="125" fillId="0" borderId="102" applyNumberFormat="0" applyFont="0" applyFill="0" applyAlignment="0" applyProtection="0"/>
    <xf numFmtId="0" fontId="125" fillId="0" borderId="72" applyNumberFormat="0" applyFont="0" applyFill="0" applyAlignment="0" applyProtection="0"/>
    <xf numFmtId="0" fontId="77" fillId="50" borderId="75" applyNumberFormat="0" applyAlignment="0" applyProtection="0"/>
    <xf numFmtId="10" fontId="29" fillId="57" borderId="99" applyNumberFormat="0" applyBorder="0" applyAlignment="0" applyProtection="0"/>
    <xf numFmtId="3" fontId="70" fillId="0" borderId="127" applyProtection="0"/>
    <xf numFmtId="0" fontId="83" fillId="36" borderId="104" applyNumberFormat="0" applyAlignment="0" applyProtection="0"/>
    <xf numFmtId="0" fontId="83" fillId="51" borderId="104" applyNumberFormat="0" applyAlignment="0" applyProtection="0"/>
    <xf numFmtId="3" fontId="44" fillId="0" borderId="101" applyBorder="0"/>
    <xf numFmtId="0" fontId="125" fillId="0" borderId="110" applyNumberFormat="0" applyFont="0" applyFill="0" applyAlignment="0" applyProtection="0"/>
    <xf numFmtId="9" fontId="69" fillId="0" borderId="0" applyFont="0" applyFill="0" applyBorder="0" applyAlignment="0" applyProtection="0"/>
    <xf numFmtId="3" fontId="70" fillId="0" borderId="109" applyProtection="0"/>
    <xf numFmtId="0" fontId="31" fillId="0" borderId="127" applyNumberFormat="0" applyFill="0" applyAlignment="0" applyProtection="0"/>
    <xf numFmtId="0" fontId="125" fillId="0" borderId="72" applyNumberFormat="0" applyFont="0" applyFill="0" applyAlignment="0" applyProtection="0"/>
    <xf numFmtId="0" fontId="31" fillId="0" borderId="79" applyNumberFormat="0" applyFill="0" applyAlignment="0" applyProtection="0"/>
    <xf numFmtId="3" fontId="70" fillId="0" borderId="79" applyProtection="0"/>
    <xf numFmtId="0" fontId="86" fillId="49" borderId="103" applyNumberFormat="0" applyAlignment="0" applyProtection="0"/>
    <xf numFmtId="0" fontId="9" fillId="51" borderId="89" applyNumberFormat="0" applyFont="0" applyAlignment="0" applyProtection="0"/>
    <xf numFmtId="0" fontId="125" fillId="0" borderId="85" applyNumberFormat="0" applyFont="0" applyFill="0" applyAlignment="0" applyProtection="0"/>
    <xf numFmtId="2" fontId="95" fillId="29" borderId="108" applyProtection="0">
      <alignment horizontal="right"/>
    </xf>
    <xf numFmtId="0" fontId="31" fillId="0" borderId="109" applyNumberFormat="0" applyFill="0" applyAlignment="0" applyProtection="0"/>
    <xf numFmtId="0" fontId="77" fillId="50" borderId="75" applyNumberFormat="0" applyAlignment="0" applyProtection="0"/>
    <xf numFmtId="0" fontId="125" fillId="0" borderId="72" applyNumberFormat="0" applyFont="0" applyFill="0" applyAlignment="0" applyProtection="0"/>
    <xf numFmtId="0" fontId="31" fillId="0" borderId="79" applyNumberFormat="0" applyFill="0" applyAlignment="0" applyProtection="0"/>
    <xf numFmtId="3" fontId="70" fillId="0" borderId="79" applyProtection="0"/>
    <xf numFmtId="0" fontId="86" fillId="49" borderId="103" applyNumberFormat="0" applyAlignment="0" applyProtection="0"/>
    <xf numFmtId="0" fontId="83" fillId="51" borderId="104" applyNumberFormat="0" applyAlignment="0" applyProtection="0"/>
    <xf numFmtId="0" fontId="76" fillId="65" borderId="122" applyNumberFormat="0" applyAlignment="0" applyProtection="0"/>
    <xf numFmtId="3" fontId="70" fillId="0" borderId="127" applyProtection="0"/>
    <xf numFmtId="3" fontId="44" fillId="0" borderId="120" applyBorder="0"/>
    <xf numFmtId="0" fontId="97" fillId="53" borderId="126" applyNumberFormat="0" applyProtection="0">
      <alignment horizontal="left"/>
    </xf>
    <xf numFmtId="0" fontId="83" fillId="51" borderId="122" applyNumberFormat="0" applyAlignment="0" applyProtection="0"/>
    <xf numFmtId="0" fontId="87" fillId="0" borderId="119" applyNumberFormat="0" applyFill="0" applyAlignment="0" applyProtection="0"/>
    <xf numFmtId="0" fontId="125" fillId="0" borderId="85" applyNumberFormat="0" applyFont="0" applyFill="0" applyAlignment="0" applyProtection="0"/>
    <xf numFmtId="0" fontId="31" fillId="0" borderId="92" applyNumberFormat="0" applyFill="0" applyAlignment="0" applyProtection="0"/>
    <xf numFmtId="0" fontId="77" fillId="50" borderId="88" applyNumberFormat="0" applyAlignment="0" applyProtection="0"/>
    <xf numFmtId="3" fontId="70" fillId="0" borderId="92" applyProtection="0"/>
    <xf numFmtId="3" fontId="70" fillId="0" borderId="109" applyProtection="0"/>
    <xf numFmtId="3" fontId="44" fillId="0" borderId="120" applyBorder="0"/>
    <xf numFmtId="0" fontId="125" fillId="0" borderId="85" applyNumberFormat="0" applyFont="0" applyFill="0" applyAlignment="0" applyProtection="0"/>
    <xf numFmtId="0" fontId="77" fillId="50" borderId="88" applyNumberFormat="0" applyAlignment="0" applyProtection="0"/>
    <xf numFmtId="2" fontId="95" fillId="29" borderId="126" applyProtection="0">
      <alignment horizontal="right"/>
    </xf>
    <xf numFmtId="0" fontId="87" fillId="0" borderId="125" applyNumberFormat="0" applyFill="0" applyAlignment="0" applyProtection="0"/>
    <xf numFmtId="0" fontId="83" fillId="51" borderId="122" applyNumberFormat="0" applyAlignment="0" applyProtection="0"/>
    <xf numFmtId="3" fontId="44" fillId="0" borderId="115" applyBorder="0"/>
    <xf numFmtId="0" fontId="86" fillId="49" borderId="121" applyNumberFormat="0" applyAlignment="0" applyProtection="0"/>
    <xf numFmtId="0" fontId="76" fillId="49" borderId="122" applyNumberFormat="0" applyAlignment="0" applyProtection="0"/>
    <xf numFmtId="0" fontId="77" fillId="50" borderId="123" applyNumberFormat="0" applyAlignment="0" applyProtection="0"/>
    <xf numFmtId="0" fontId="125" fillId="0" borderId="85" applyNumberFormat="0" applyFont="0" applyFill="0" applyAlignment="0" applyProtection="0"/>
    <xf numFmtId="0" fontId="31" fillId="0" borderId="92" applyNumberFormat="0" applyFill="0" applyAlignment="0" applyProtection="0"/>
    <xf numFmtId="3" fontId="70" fillId="0" borderId="92" applyProtection="0"/>
    <xf numFmtId="192" fontId="96" fillId="55" borderId="108" applyProtection="0">
      <alignment horizontal="left"/>
    </xf>
    <xf numFmtId="0" fontId="83" fillId="36" borderId="104" applyNumberFormat="0" applyAlignment="0" applyProtection="0"/>
    <xf numFmtId="0" fontId="77" fillId="50" borderId="88" applyNumberFormat="0" applyAlignment="0" applyProtection="0"/>
    <xf numFmtId="0" fontId="125" fillId="0" borderId="85" applyNumberFormat="0" applyFont="0" applyFill="0" applyAlignment="0" applyProtection="0"/>
    <xf numFmtId="0" fontId="41" fillId="0" borderId="81">
      <alignment horizontal="left" vertical="center"/>
    </xf>
    <xf numFmtId="0" fontId="31" fillId="0" borderId="92" applyNumberFormat="0" applyFill="0" applyAlignment="0" applyProtection="0"/>
    <xf numFmtId="3" fontId="70" fillId="0" borderId="92" applyProtection="0"/>
    <xf numFmtId="0" fontId="71" fillId="0" borderId="81">
      <alignment horizontal="center" wrapText="1"/>
    </xf>
    <xf numFmtId="0" fontId="71" fillId="0" borderId="98">
      <alignment horizontal="center" wrapText="1"/>
    </xf>
    <xf numFmtId="0" fontId="87" fillId="0" borderId="100" applyNumberFormat="0" applyFill="0" applyAlignment="0" applyProtection="0"/>
    <xf numFmtId="0" fontId="9" fillId="51" borderId="106" applyNumberFormat="0" applyFont="0" applyAlignment="0" applyProtection="0"/>
    <xf numFmtId="0" fontId="83" fillId="51" borderId="104" applyNumberFormat="0" applyAlignment="0" applyProtection="0"/>
    <xf numFmtId="0" fontId="76" fillId="65" borderId="104" applyNumberFormat="0" applyAlignment="0" applyProtection="0"/>
    <xf numFmtId="2" fontId="94" fillId="54" borderId="126" applyProtection="0">
      <alignment horizontal="right"/>
    </xf>
    <xf numFmtId="0" fontId="31" fillId="0" borderId="127" applyNumberFormat="0" applyFill="0" applyAlignment="0" applyProtection="0"/>
    <xf numFmtId="0" fontId="83" fillId="51" borderId="104" applyNumberFormat="0" applyAlignment="0" applyProtection="0"/>
    <xf numFmtId="0" fontId="83" fillId="51" borderId="104" applyNumberFormat="0" applyAlignment="0" applyProtection="0"/>
    <xf numFmtId="0" fontId="86" fillId="49" borderId="103" applyNumberFormat="0" applyAlignment="0" applyProtection="0"/>
    <xf numFmtId="3" fontId="44" fillId="0" borderId="101" applyBorder="0"/>
    <xf numFmtId="3" fontId="44" fillId="0" borderId="101" applyBorder="0"/>
    <xf numFmtId="0" fontId="71" fillId="0" borderId="112">
      <alignment horizontal="center" wrapText="1"/>
    </xf>
    <xf numFmtId="3" fontId="44" fillId="0" borderId="115" applyBorder="0"/>
    <xf numFmtId="0" fontId="9" fillId="51" borderId="106" applyNumberFormat="0" applyFont="0" applyAlignment="0" applyProtection="0"/>
    <xf numFmtId="0" fontId="9" fillId="52" borderId="124" applyNumberFormat="0" applyFont="0" applyAlignment="0" applyProtection="0"/>
    <xf numFmtId="0" fontId="31" fillId="0" borderId="109" applyNumberFormat="0" applyFill="0" applyAlignment="0" applyProtection="0"/>
    <xf numFmtId="0" fontId="77" fillId="50" borderId="105" applyNumberFormat="0" applyAlignment="0" applyProtection="0"/>
    <xf numFmtId="3" fontId="70" fillId="0" borderId="109" applyProtection="0"/>
    <xf numFmtId="0" fontId="41" fillId="0" borderId="117">
      <alignment horizontal="left" vertical="center"/>
    </xf>
    <xf numFmtId="0" fontId="9" fillId="51" borderId="124" applyNumberFormat="0" applyFont="0" applyAlignment="0" applyProtection="0"/>
    <xf numFmtId="0" fontId="125" fillId="0" borderId="110" applyNumberFormat="0" applyFont="0" applyFill="0" applyAlignment="0" applyProtection="0"/>
    <xf numFmtId="0" fontId="31" fillId="0" borderId="109" applyNumberFormat="0" applyFill="0" applyAlignment="0" applyProtection="0"/>
    <xf numFmtId="0" fontId="77" fillId="50" borderId="105" applyNumberFormat="0" applyAlignment="0" applyProtection="0"/>
    <xf numFmtId="3" fontId="70" fillId="0" borderId="109" applyProtection="0"/>
    <xf numFmtId="0" fontId="86" fillId="49" borderId="116" applyNumberFormat="0" applyAlignment="0" applyProtection="0"/>
    <xf numFmtId="192" fontId="96" fillId="55" borderId="126" applyProtection="0">
      <alignment horizontal="right"/>
    </xf>
    <xf numFmtId="0" fontId="83" fillId="51" borderId="122" applyNumberFormat="0" applyAlignment="0" applyProtection="0"/>
    <xf numFmtId="0" fontId="77" fillId="50" borderId="123" applyNumberFormat="0" applyAlignment="0" applyProtection="0"/>
    <xf numFmtId="0" fontId="125" fillId="0" borderId="110" applyNumberFormat="0" applyFont="0" applyFill="0" applyAlignment="0" applyProtection="0"/>
    <xf numFmtId="0" fontId="77" fillId="50" borderId="105" applyNumberFormat="0" applyAlignment="0" applyProtection="0"/>
    <xf numFmtId="0" fontId="71" fillId="0" borderId="117">
      <alignment horizontal="center" wrapText="1"/>
    </xf>
    <xf numFmtId="0" fontId="41" fillId="0" borderId="112">
      <alignment horizontal="left" vertical="center"/>
    </xf>
    <xf numFmtId="0" fontId="125" fillId="0" borderId="110" applyNumberFormat="0" applyFont="0" applyFill="0" applyAlignment="0" applyProtection="0"/>
    <xf numFmtId="0" fontId="31" fillId="0" borderId="109" applyNumberFormat="0" applyFill="0" applyAlignment="0" applyProtection="0"/>
    <xf numFmtId="3" fontId="70" fillId="0" borderId="109" applyProtection="0"/>
    <xf numFmtId="0" fontId="86" fillId="65" borderId="121" applyNumberFormat="0" applyAlignment="0" applyProtection="0"/>
    <xf numFmtId="0" fontId="31" fillId="0" borderId="127" applyNumberFormat="0" applyFill="0" applyAlignment="0" applyProtection="0"/>
    <xf numFmtId="0" fontId="87" fillId="0" borderId="125" applyNumberFormat="0" applyFill="0" applyAlignment="0" applyProtection="0"/>
    <xf numFmtId="0" fontId="77" fillId="50" borderId="105" applyNumberFormat="0" applyAlignment="0" applyProtection="0"/>
    <xf numFmtId="0" fontId="125" fillId="0" borderId="110" applyNumberFormat="0" applyFont="0" applyFill="0" applyAlignment="0" applyProtection="0"/>
    <xf numFmtId="0" fontId="41" fillId="0" borderId="98">
      <alignment horizontal="left" vertical="center"/>
    </xf>
    <xf numFmtId="0" fontId="31" fillId="0" borderId="109" applyNumberFormat="0" applyFill="0" applyAlignment="0" applyProtection="0"/>
    <xf numFmtId="3" fontId="70" fillId="0" borderId="109" applyProtection="0"/>
    <xf numFmtId="0" fontId="71" fillId="0" borderId="98">
      <alignment horizontal="center" wrapText="1"/>
    </xf>
    <xf numFmtId="0" fontId="87" fillId="0" borderId="119" applyNumberFormat="0" applyFill="0" applyAlignment="0" applyProtection="0"/>
    <xf numFmtId="0" fontId="9" fillId="51" borderId="124" applyNumberFormat="0" applyFont="0" applyAlignment="0" applyProtection="0"/>
    <xf numFmtId="0" fontId="83" fillId="51" borderId="122" applyNumberFormat="0" applyAlignment="0" applyProtection="0"/>
    <xf numFmtId="0" fontId="76" fillId="65" borderId="122" applyNumberFormat="0" applyAlignment="0" applyProtection="0"/>
    <xf numFmtId="0" fontId="83" fillId="51" borderId="122" applyNumberFormat="0" applyAlignment="0" applyProtection="0"/>
    <xf numFmtId="0" fontId="83" fillId="51" borderId="122" applyNumberFormat="0" applyAlignment="0" applyProtection="0"/>
    <xf numFmtId="0" fontId="86" fillId="49" borderId="121" applyNumberFormat="0" applyAlignment="0" applyProtection="0"/>
    <xf numFmtId="3" fontId="44" fillId="0" borderId="120" applyBorder="0"/>
    <xf numFmtId="3" fontId="44" fillId="0" borderId="120" applyBorder="0"/>
    <xf numFmtId="0" fontId="9" fillId="51" borderId="124" applyNumberFormat="0" applyFont="0" applyAlignment="0" applyProtection="0"/>
    <xf numFmtId="0" fontId="31" fillId="0" borderId="127" applyNumberFormat="0" applyFill="0" applyAlignment="0" applyProtection="0"/>
    <xf numFmtId="0" fontId="77" fillId="50" borderId="123" applyNumberFormat="0" applyAlignment="0" applyProtection="0"/>
    <xf numFmtId="3" fontId="70" fillId="0" borderId="127" applyProtection="0"/>
    <xf numFmtId="0" fontId="31" fillId="0" borderId="127" applyNumberFormat="0" applyFill="0" applyAlignment="0" applyProtection="0"/>
    <xf numFmtId="0" fontId="77" fillId="50" borderId="123" applyNumberFormat="0" applyAlignment="0" applyProtection="0"/>
    <xf numFmtId="3" fontId="70" fillId="0" borderId="127" applyProtection="0"/>
    <xf numFmtId="0" fontId="77" fillId="50" borderId="123" applyNumberFormat="0" applyAlignment="0" applyProtection="0"/>
    <xf numFmtId="0" fontId="31" fillId="0" borderId="127" applyNumberFormat="0" applyFill="0" applyAlignment="0" applyProtection="0"/>
    <xf numFmtId="3" fontId="70" fillId="0" borderId="127" applyProtection="0"/>
    <xf numFmtId="0" fontId="77" fillId="50" borderId="123" applyNumberFormat="0" applyAlignment="0" applyProtection="0"/>
    <xf numFmtId="0" fontId="41" fillId="0" borderId="117">
      <alignment horizontal="left" vertical="center"/>
    </xf>
    <xf numFmtId="0" fontId="31" fillId="0" borderId="127" applyNumberFormat="0" applyFill="0" applyAlignment="0" applyProtection="0"/>
    <xf numFmtId="3" fontId="70" fillId="0" borderId="127" applyProtection="0"/>
    <xf numFmtId="0" fontId="71" fillId="0" borderId="117">
      <alignment horizontal="center" wrapText="1"/>
    </xf>
    <xf numFmtId="0" fontId="29" fillId="0" borderId="130" applyNumberFormat="0" applyFill="0" applyAlignment="0" applyProtection="0"/>
    <xf numFmtId="0" fontId="14" fillId="20" borderId="131" applyNumberFormat="0" applyAlignment="0" applyProtection="0"/>
    <xf numFmtId="0" fontId="15" fillId="21" borderId="123" applyNumberFormat="0" applyAlignment="0" applyProtection="0"/>
    <xf numFmtId="0" fontId="21" fillId="7" borderId="131" applyNumberFormat="0" applyAlignment="0" applyProtection="0"/>
    <xf numFmtId="0" fontId="9" fillId="23" borderId="132" applyNumberFormat="0" applyAlignment="0" applyProtection="0"/>
    <xf numFmtId="0" fontId="23" fillId="20" borderId="133" applyNumberFormat="0" applyAlignment="0" applyProtection="0"/>
    <xf numFmtId="0" fontId="26" fillId="0" borderId="134" applyNumberFormat="0" applyFill="0" applyAlignment="0" applyProtection="0"/>
    <xf numFmtId="0" fontId="9"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76" fillId="49" borderId="131" applyNumberFormat="0" applyAlignment="0" applyProtection="0"/>
    <xf numFmtId="0" fontId="83" fillId="36" borderId="131" applyNumberFormat="0" applyAlignment="0" applyProtection="0"/>
    <xf numFmtId="0" fontId="84" fillId="0" borderId="138" applyNumberFormat="0" applyFill="0" applyAlignment="0" applyProtection="0"/>
    <xf numFmtId="0" fontId="9" fillId="52" borderId="132" applyNumberFormat="0" applyFont="0" applyAlignment="0" applyProtection="0"/>
    <xf numFmtId="0" fontId="86" fillId="49" borderId="133" applyNumberFormat="0" applyAlignment="0" applyProtection="0"/>
    <xf numFmtId="0" fontId="87" fillId="0" borderId="134" applyNumberFormat="0" applyFill="0" applyAlignment="0" applyProtection="0"/>
    <xf numFmtId="0" fontId="5" fillId="0" borderId="0"/>
    <xf numFmtId="0" fontId="5" fillId="0" borderId="0"/>
    <xf numFmtId="0" fontId="9" fillId="52" borderId="132" applyNumberFormat="0" applyFont="0" applyAlignment="0" applyProtection="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94" fillId="53" borderId="130" applyNumberFormat="0" applyAlignment="0" applyProtection="0"/>
    <xf numFmtId="2" fontId="94" fillId="54" borderId="130" applyProtection="0">
      <alignment horizontal="right"/>
    </xf>
    <xf numFmtId="2" fontId="95" fillId="29" borderId="130" applyProtection="0">
      <alignment horizontal="right"/>
    </xf>
    <xf numFmtId="192" fontId="96" fillId="55" borderId="130" applyProtection="0">
      <alignment horizontal="right"/>
    </xf>
    <xf numFmtId="192" fontId="96" fillId="55" borderId="130" applyProtection="0">
      <alignment horizontal="left"/>
    </xf>
    <xf numFmtId="0" fontId="97" fillId="53" borderId="130" applyNumberFormat="0" applyProtection="0">
      <alignment horizontal="left"/>
    </xf>
    <xf numFmtId="0" fontId="71" fillId="0" borderId="117">
      <alignment horizontal="right" wrapText="1"/>
    </xf>
    <xf numFmtId="0" fontId="71" fillId="0" borderId="117">
      <alignment horizontal="right" wrapText="1"/>
    </xf>
    <xf numFmtId="0" fontId="71" fillId="0" borderId="117">
      <alignment horizontal="right" wrapText="1"/>
    </xf>
    <xf numFmtId="3" fontId="71" fillId="0" borderId="137" applyNumberFormat="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9" fillId="0" borderId="128" applyNumberFormat="0" applyFont="0" applyFill="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8" fillId="0" borderId="137" applyNumberFormat="0" applyFill="0" applyAlignment="0" applyProtection="0"/>
    <xf numFmtId="0" fontId="125" fillId="0" borderId="137" applyNumberFormat="0" applyFont="0" applyFill="0" applyAlignment="0" applyProtection="0"/>
    <xf numFmtId="0" fontId="125" fillId="0" borderId="129" applyNumberFormat="0" applyFont="0" applyFill="0" applyAlignment="0" applyProtection="0"/>
    <xf numFmtId="37" fontId="137" fillId="0" borderId="137" applyNumberFormat="0" applyFill="0" applyBorder="0" applyAlignment="0" applyProtection="0"/>
    <xf numFmtId="6" fontId="142" fillId="0" borderId="139" applyNumberFormat="0" applyFill="0" applyBorder="0" applyAlignment="0" applyProtection="0">
      <alignment horizontal="right"/>
    </xf>
    <xf numFmtId="1" fontId="140" fillId="0" borderId="137">
      <alignment horizontal="center"/>
    </xf>
    <xf numFmtId="0" fontId="5" fillId="0" borderId="0"/>
    <xf numFmtId="0" fontId="5" fillId="0" borderId="0"/>
    <xf numFmtId="200" fontId="73" fillId="0" borderId="137"/>
    <xf numFmtId="208" fontId="146" fillId="0" borderId="137" applyFill="0" applyBorder="0">
      <alignment horizontal="right"/>
    </xf>
    <xf numFmtId="10" fontId="29" fillId="57" borderId="141" applyNumberFormat="0" applyBorder="0" applyAlignment="0" applyProtection="0"/>
    <xf numFmtId="0" fontId="5" fillId="0" borderId="0"/>
    <xf numFmtId="0" fontId="5" fillId="0" borderId="0"/>
    <xf numFmtId="0" fontId="5" fillId="0" borderId="0"/>
    <xf numFmtId="0" fontId="5" fillId="0" borderId="0"/>
    <xf numFmtId="0" fontId="145" fillId="0" borderId="137">
      <alignment horizontal="centerContinuous"/>
    </xf>
    <xf numFmtId="3" fontId="71" fillId="0" borderId="137" applyNumberFormat="0"/>
    <xf numFmtId="0" fontId="153" fillId="0" borderId="136"/>
    <xf numFmtId="0" fontId="24" fillId="0" borderId="136">
      <alignment horizontal="centerContinuous"/>
    </xf>
    <xf numFmtId="0" fontId="24" fillId="0" borderId="136">
      <alignment horizontal="centerContinuous"/>
    </xf>
    <xf numFmtId="0" fontId="86" fillId="65" borderId="133" applyNumberFormat="0" applyAlignment="0" applyProtection="0"/>
    <xf numFmtId="0" fontId="9" fillId="51" borderId="132" applyNumberFormat="0" applyFont="0" applyAlignment="0" applyProtection="0"/>
    <xf numFmtId="0" fontId="83" fillId="51" borderId="131" applyNumberFormat="0" applyAlignment="0" applyProtection="0"/>
    <xf numFmtId="0" fontId="76" fillId="65" borderId="131" applyNumberForma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83" fillId="51" borderId="131" applyNumberFormat="0" applyAlignment="0" applyProtection="0"/>
    <xf numFmtId="0" fontId="83" fillId="51" borderId="131" applyNumberFormat="0" applyAlignment="0" applyProtection="0"/>
    <xf numFmtId="0" fontId="86" fillId="49" borderId="133" applyNumberFormat="0" applyAlignment="0" applyProtection="0"/>
    <xf numFmtId="0" fontId="5" fillId="0" borderId="0"/>
    <xf numFmtId="0" fontId="5" fillId="0" borderId="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6" fontId="142" fillId="0" borderId="139" applyNumberFormat="0" applyFill="0" applyBorder="0" applyAlignment="0" applyProtection="0">
      <alignment horizontal="right"/>
    </xf>
    <xf numFmtId="0" fontId="5" fillId="0" borderId="0"/>
    <xf numFmtId="0" fontId="5" fillId="0" borderId="0"/>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76" fillId="49" borderId="131" applyNumberFormat="0" applyAlignment="0" applyProtection="0"/>
    <xf numFmtId="0" fontId="83" fillId="36" borderId="131" applyNumberFormat="0" applyAlignment="0" applyProtection="0"/>
    <xf numFmtId="0" fontId="84" fillId="0" borderId="138" applyNumberFormat="0" applyFill="0" applyAlignment="0" applyProtection="0"/>
    <xf numFmtId="0" fontId="9" fillId="52" borderId="132" applyNumberFormat="0" applyFont="0" applyAlignment="0" applyProtection="0"/>
    <xf numFmtId="0" fontId="86" fillId="49" borderId="133" applyNumberFormat="0" applyAlignment="0" applyProtection="0"/>
    <xf numFmtId="0" fontId="87" fillId="0" borderId="134" applyNumberFormat="0" applyFill="0" applyAlignment="0" applyProtection="0"/>
    <xf numFmtId="0" fontId="5" fillId="0" borderId="0"/>
    <xf numFmtId="0" fontId="5" fillId="0" borderId="0"/>
    <xf numFmtId="0" fontId="9" fillId="52" borderId="132" applyNumberFormat="0" applyFont="0" applyAlignment="0" applyProtection="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94" fillId="53" borderId="130" applyNumberFormat="0" applyAlignment="0" applyProtection="0"/>
    <xf numFmtId="2" fontId="94" fillId="54" borderId="130" applyProtection="0">
      <alignment horizontal="right"/>
    </xf>
    <xf numFmtId="2" fontId="95" fillId="29" borderId="130" applyProtection="0">
      <alignment horizontal="right"/>
    </xf>
    <xf numFmtId="192" fontId="96" fillId="55" borderId="130" applyProtection="0">
      <alignment horizontal="right"/>
    </xf>
    <xf numFmtId="192" fontId="96" fillId="55" borderId="130" applyProtection="0">
      <alignment horizontal="left"/>
    </xf>
    <xf numFmtId="0" fontId="97" fillId="53" borderId="130" applyNumberFormat="0" applyProtection="0">
      <alignment horizontal="left"/>
    </xf>
    <xf numFmtId="0" fontId="71" fillId="0" borderId="117">
      <alignment horizontal="right" wrapText="1"/>
    </xf>
    <xf numFmtId="0" fontId="71" fillId="0" borderId="117">
      <alignment horizontal="right" wrapText="1"/>
    </xf>
    <xf numFmtId="0" fontId="71" fillId="0" borderId="117">
      <alignment horizontal="right" wrapText="1"/>
    </xf>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41" fillId="0" borderId="117">
      <alignment horizontal="left" vertical="center"/>
    </xf>
    <xf numFmtId="6" fontId="142" fillId="0" borderId="139" applyNumberFormat="0" applyFill="0" applyBorder="0" applyAlignment="0" applyProtection="0">
      <alignment horizontal="right"/>
    </xf>
    <xf numFmtId="0" fontId="5" fillId="0" borderId="0"/>
    <xf numFmtId="0" fontId="5" fillId="0" borderId="0"/>
    <xf numFmtId="0" fontId="71" fillId="0" borderId="117">
      <alignment horizontal="center" wrapText="1"/>
    </xf>
    <xf numFmtId="0" fontId="5" fillId="0" borderId="0"/>
    <xf numFmtId="0" fontId="5" fillId="0" borderId="0"/>
    <xf numFmtId="0" fontId="5" fillId="0" borderId="0"/>
    <xf numFmtId="0" fontId="5" fillId="0" borderId="0"/>
    <xf numFmtId="0" fontId="86" fillId="65" borderId="133" applyNumberFormat="0" applyAlignment="0" applyProtection="0"/>
    <xf numFmtId="0" fontId="9" fillId="51" borderId="132" applyNumberFormat="0" applyFont="0" applyAlignment="0" applyProtection="0"/>
    <xf numFmtId="0" fontId="83" fillId="51" borderId="131" applyNumberFormat="0" applyAlignment="0" applyProtection="0"/>
    <xf numFmtId="0" fontId="76" fillId="65" borderId="131" applyNumberForma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125" fillId="0" borderId="129" applyNumberFormat="0" applyFont="0" applyFill="0" applyAlignment="0" applyProtection="0"/>
    <xf numFmtId="0" fontId="83" fillId="51" borderId="131" applyNumberFormat="0" applyAlignment="0" applyProtection="0"/>
    <xf numFmtId="0" fontId="83" fillId="51" borderId="131" applyNumberFormat="0" applyAlignment="0" applyProtection="0"/>
    <xf numFmtId="0" fontId="86" fillId="49" borderId="133" applyNumberFormat="0" applyAlignment="0" applyProtection="0"/>
    <xf numFmtId="0" fontId="5" fillId="0" borderId="0"/>
    <xf numFmtId="0" fontId="5" fillId="0" borderId="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41" fillId="0" borderId="117">
      <alignment horizontal="left" vertical="center"/>
    </xf>
    <xf numFmtId="6" fontId="142" fillId="0" borderId="139" applyNumberFormat="0" applyFill="0" applyBorder="0" applyAlignment="0" applyProtection="0">
      <alignment horizontal="right"/>
    </xf>
    <xf numFmtId="0" fontId="5" fillId="0" borderId="0"/>
    <xf numFmtId="0" fontId="5" fillId="0" borderId="0"/>
    <xf numFmtId="0" fontId="71" fillId="0" borderId="117">
      <alignment horizontal="center" wrapText="1"/>
    </xf>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125" fillId="0" borderId="129" applyNumberFormat="0" applyFont="0" applyFill="0" applyAlignment="0" applyProtection="0"/>
    <xf numFmtId="0" fontId="41" fillId="0" borderId="140">
      <alignment horizontal="left" vertical="center"/>
    </xf>
    <xf numFmtId="10" fontId="29" fillId="57" borderId="141" applyNumberFormat="0" applyBorder="0" applyAlignment="0" applyProtection="0"/>
    <xf numFmtId="0" fontId="71" fillId="0" borderId="140">
      <alignment horizontal="center" wrapText="1"/>
    </xf>
    <xf numFmtId="0" fontId="5" fillId="0" borderId="0"/>
    <xf numFmtId="9" fontId="5" fillId="0" borderId="0" applyFont="0" applyFill="0" applyBorder="0" applyAlignment="0" applyProtection="0"/>
    <xf numFmtId="0" fontId="76" fillId="49" borderId="131" applyNumberFormat="0" applyAlignment="0" applyProtection="0"/>
    <xf numFmtId="0" fontId="83" fillId="36" borderId="131" applyNumberFormat="0" applyAlignment="0" applyProtection="0"/>
    <xf numFmtId="0" fontId="9" fillId="52" borderId="132" applyNumberFormat="0" applyFont="0" applyAlignment="0" applyProtection="0"/>
    <xf numFmtId="0" fontId="87" fillId="0" borderId="134" applyNumberFormat="0" applyFill="0" applyAlignment="0" applyProtection="0"/>
    <xf numFmtId="0" fontId="5" fillId="0" borderId="0"/>
    <xf numFmtId="0" fontId="5" fillId="0" borderId="0"/>
    <xf numFmtId="0" fontId="9" fillId="52" borderId="13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0" fontId="94" fillId="53" borderId="130" applyNumberFormat="0" applyAlignment="0" applyProtection="0"/>
    <xf numFmtId="2" fontId="94" fillId="54" borderId="130" applyProtection="0">
      <alignment horizontal="right"/>
    </xf>
    <xf numFmtId="2" fontId="95" fillId="29" borderId="130" applyProtection="0">
      <alignment horizontal="right"/>
    </xf>
    <xf numFmtId="192" fontId="96" fillId="55" borderId="130" applyProtection="0">
      <alignment horizontal="right"/>
    </xf>
    <xf numFmtId="192" fontId="96" fillId="55" borderId="130" applyProtection="0">
      <alignment horizontal="left"/>
    </xf>
    <xf numFmtId="0" fontId="97" fillId="53" borderId="130" applyNumberFormat="0" applyProtection="0">
      <alignment horizontal="left"/>
    </xf>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6" fontId="142" fillId="0" borderId="139" applyNumberFormat="0" applyFill="0" applyBorder="0" applyAlignment="0" applyProtection="0">
      <alignment horizontal="right"/>
    </xf>
    <xf numFmtId="0" fontId="5" fillId="0" borderId="0"/>
    <xf numFmtId="0" fontId="5" fillId="0" borderId="0"/>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83" fillId="51" borderId="131" applyNumberFormat="0" applyAlignment="0" applyProtection="0"/>
    <xf numFmtId="0" fontId="76" fillId="65" borderId="131" applyNumberForma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83" fillId="51" borderId="131" applyNumberFormat="0" applyAlignment="0" applyProtection="0"/>
    <xf numFmtId="0" fontId="83" fillId="51" borderId="131" applyNumberFormat="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41" fillId="0" borderId="140">
      <alignment horizontal="left" vertical="center"/>
    </xf>
    <xf numFmtId="10" fontId="29" fillId="57" borderId="141" applyNumberFormat="0" applyBorder="0" applyAlignment="0" applyProtection="0"/>
    <xf numFmtId="6" fontId="142" fillId="0" borderId="139" applyNumberFormat="0" applyFill="0" applyBorder="0" applyAlignment="0" applyProtection="0">
      <alignment horizontal="right"/>
    </xf>
    <xf numFmtId="0" fontId="5" fillId="0" borderId="0"/>
    <xf numFmtId="0" fontId="5" fillId="0" borderId="0"/>
    <xf numFmtId="0" fontId="71" fillId="0" borderId="140">
      <alignment horizontal="center" wrapText="1"/>
    </xf>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76" fillId="49" borderId="131" applyNumberFormat="0" applyAlignment="0" applyProtection="0"/>
    <xf numFmtId="0" fontId="83" fillId="36" borderId="131" applyNumberFormat="0" applyAlignment="0" applyProtection="0"/>
    <xf numFmtId="0" fontId="84" fillId="0" borderId="138" applyNumberFormat="0" applyFill="0" applyAlignment="0" applyProtection="0"/>
    <xf numFmtId="0" fontId="9" fillId="52" borderId="132" applyNumberFormat="0" applyFont="0" applyAlignment="0" applyProtection="0"/>
    <xf numFmtId="0" fontId="86" fillId="49" borderId="133" applyNumberFormat="0" applyAlignment="0" applyProtection="0"/>
    <xf numFmtId="0" fontId="87" fillId="0" borderId="134" applyNumberFormat="0" applyFill="0" applyAlignment="0" applyProtection="0"/>
    <xf numFmtId="0" fontId="5" fillId="0" borderId="0"/>
    <xf numFmtId="0" fontId="5" fillId="0" borderId="0"/>
    <xf numFmtId="0" fontId="9" fillId="52" borderId="132" applyNumberFormat="0" applyFont="0" applyAlignment="0" applyProtection="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94" fillId="53" borderId="130" applyNumberFormat="0" applyAlignment="0" applyProtection="0"/>
    <xf numFmtId="2" fontId="94" fillId="54" borderId="130" applyProtection="0">
      <alignment horizontal="right"/>
    </xf>
    <xf numFmtId="2" fontId="95" fillId="29" borderId="130" applyProtection="0">
      <alignment horizontal="right"/>
    </xf>
    <xf numFmtId="192" fontId="96" fillId="55" borderId="130" applyProtection="0">
      <alignment horizontal="right"/>
    </xf>
    <xf numFmtId="192" fontId="96" fillId="55" borderId="130" applyProtection="0">
      <alignment horizontal="left"/>
    </xf>
    <xf numFmtId="0" fontId="97" fillId="53" borderId="130" applyNumberFormat="0" applyProtection="0">
      <alignment horizontal="left"/>
    </xf>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86" fillId="65" borderId="133" applyNumberFormat="0" applyAlignment="0" applyProtection="0"/>
    <xf numFmtId="0" fontId="9" fillId="51" borderId="132" applyNumberFormat="0" applyFont="0" applyAlignment="0" applyProtection="0"/>
    <xf numFmtId="0" fontId="83" fillId="51" borderId="131" applyNumberFormat="0" applyAlignment="0" applyProtection="0"/>
    <xf numFmtId="0" fontId="76" fillId="65" borderId="131" applyNumberForma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125" fillId="0" borderId="129" applyNumberFormat="0" applyFont="0" applyFill="0" applyAlignment="0" applyProtection="0"/>
    <xf numFmtId="0" fontId="83" fillId="51" borderId="131" applyNumberFormat="0" applyAlignment="0" applyProtection="0"/>
    <xf numFmtId="0" fontId="83" fillId="51" borderId="131" applyNumberFormat="0" applyAlignment="0" applyProtection="0"/>
    <xf numFmtId="0" fontId="86" fillId="49" borderId="133" applyNumberFormat="0" applyAlignment="0" applyProtection="0"/>
    <xf numFmtId="0" fontId="5" fillId="0" borderId="0"/>
    <xf numFmtId="0" fontId="5" fillId="0" borderId="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125" fillId="0" borderId="129" applyNumberFormat="0" applyFont="0" applyFill="0" applyAlignment="0" applyProtection="0"/>
    <xf numFmtId="10" fontId="29" fillId="57" borderId="141" applyNumberFormat="0" applyBorder="0" applyAlignment="0" applyProtection="0"/>
    <xf numFmtId="0" fontId="5" fillId="0" borderId="0"/>
    <xf numFmtId="9" fontId="5" fillId="0" borderId="0" applyFont="0" applyFill="0" applyBorder="0" applyAlignment="0" applyProtection="0"/>
    <xf numFmtId="0" fontId="76" fillId="49" borderId="131" applyNumberFormat="0" applyAlignment="0" applyProtection="0"/>
    <xf numFmtId="0" fontId="83" fillId="36" borderId="131" applyNumberFormat="0" applyAlignment="0" applyProtection="0"/>
    <xf numFmtId="0" fontId="9" fillId="52" borderId="132" applyNumberFormat="0" applyFont="0" applyAlignment="0" applyProtection="0"/>
    <xf numFmtId="0" fontId="87" fillId="0" borderId="134" applyNumberFormat="0" applyFill="0" applyAlignment="0" applyProtection="0"/>
    <xf numFmtId="0" fontId="5" fillId="0" borderId="0"/>
    <xf numFmtId="0" fontId="5" fillId="0" borderId="0"/>
    <xf numFmtId="0" fontId="9" fillId="52" borderId="13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0" fontId="94" fillId="53" borderId="130" applyNumberFormat="0" applyAlignment="0" applyProtection="0"/>
    <xf numFmtId="2" fontId="94" fillId="54" borderId="130" applyProtection="0">
      <alignment horizontal="right"/>
    </xf>
    <xf numFmtId="2" fontId="95" fillId="29" borderId="130" applyProtection="0">
      <alignment horizontal="right"/>
    </xf>
    <xf numFmtId="192" fontId="96" fillId="55" borderId="130" applyProtection="0">
      <alignment horizontal="right"/>
    </xf>
    <xf numFmtId="192" fontId="96" fillId="55" borderId="130" applyProtection="0">
      <alignment horizontal="left"/>
    </xf>
    <xf numFmtId="0" fontId="97" fillId="53" borderId="130" applyNumberFormat="0" applyProtection="0">
      <alignment horizontal="left"/>
    </xf>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41" fillId="0" borderId="140">
      <alignment horizontal="left" vertical="center"/>
    </xf>
    <xf numFmtId="10" fontId="29" fillId="57" borderId="141" applyNumberFormat="0" applyBorder="0" applyAlignment="0" applyProtection="0"/>
    <xf numFmtId="6" fontId="142" fillId="0" borderId="139" applyNumberFormat="0" applyFill="0" applyBorder="0" applyAlignment="0" applyProtection="0">
      <alignment horizontal="right"/>
    </xf>
    <xf numFmtId="0" fontId="5" fillId="0" borderId="0"/>
    <xf numFmtId="0" fontId="5" fillId="0" borderId="0"/>
    <xf numFmtId="0" fontId="71" fillId="0" borderId="140">
      <alignment horizontal="center" wrapText="1"/>
    </xf>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83" fillId="51" borderId="131" applyNumberFormat="0" applyAlignment="0" applyProtection="0"/>
    <xf numFmtId="0" fontId="76" fillId="65" borderId="131" applyNumberForma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83" fillId="51" borderId="131" applyNumberFormat="0" applyAlignment="0" applyProtection="0"/>
    <xf numFmtId="0" fontId="83" fillId="51" borderId="131" applyNumberFormat="0" applyAlignment="0" applyProtection="0"/>
    <xf numFmtId="0" fontId="86" fillId="49" borderId="133" applyNumberFormat="0" applyAlignment="0" applyProtection="0"/>
    <xf numFmtId="0" fontId="5" fillId="0" borderId="0"/>
    <xf numFmtId="0" fontId="5" fillId="0" borderId="0"/>
    <xf numFmtId="3" fontId="44" fillId="0" borderId="135" applyBorder="0"/>
    <xf numFmtId="3" fontId="44" fillId="0" borderId="135" applyBorder="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6" fontId="142" fillId="0" borderId="139" applyNumberFormat="0" applyFill="0" applyBorder="0" applyAlignment="0" applyProtection="0">
      <alignment horizontal="right"/>
    </xf>
    <xf numFmtId="0" fontId="5" fillId="0" borderId="0"/>
    <xf numFmtId="0" fontId="5" fillId="0" borderId="0"/>
    <xf numFmtId="0" fontId="5" fillId="0" borderId="0"/>
    <xf numFmtId="0" fontId="5" fillId="0" borderId="0"/>
    <xf numFmtId="0" fontId="5" fillId="0" borderId="0"/>
    <xf numFmtId="0" fontId="5" fillId="0" borderId="0"/>
    <xf numFmtId="0" fontId="9" fillId="51" borderId="132" applyNumberFormat="0" applyFont="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125" fillId="0" borderId="129" applyNumberFormat="0" applyFont="0" applyFill="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6" borderId="36" applyNumberFormat="0" applyFont="0" applyAlignment="0" applyProtection="0"/>
    <xf numFmtId="0" fontId="5" fillId="56" borderId="36"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25" fillId="0" borderId="129" applyNumberFormat="0" applyFon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125" fillId="0" borderId="129" applyNumberFormat="0" applyFont="0" applyFill="0" applyAlignment="0" applyProtection="0"/>
    <xf numFmtId="0" fontId="41" fillId="0" borderId="140">
      <alignment horizontal="left" vertical="center"/>
    </xf>
    <xf numFmtId="0" fontId="71" fillId="0" borderId="140">
      <alignment horizontal="center" wrapText="1"/>
    </xf>
    <xf numFmtId="0" fontId="5" fillId="0" borderId="0"/>
    <xf numFmtId="9" fontId="5" fillId="0" borderId="0" applyFont="0" applyFill="0" applyBorder="0" applyAlignment="0" applyProtection="0"/>
    <xf numFmtId="0" fontId="87" fillId="0" borderId="119" applyNumberFormat="0" applyFill="0" applyAlignment="0" applyProtection="0"/>
    <xf numFmtId="192" fontId="96" fillId="55" borderId="126" applyProtection="0">
      <alignment horizontal="right"/>
    </xf>
    <xf numFmtId="0" fontId="87" fillId="0" borderId="119" applyNumberFormat="0" applyFill="0" applyAlignment="0" applyProtection="0"/>
    <xf numFmtId="0" fontId="41" fillId="0" borderId="140">
      <alignment horizontal="left" vertical="center"/>
    </xf>
    <xf numFmtId="0" fontId="77" fillId="50" borderId="144" applyNumberFormat="0" applyAlignment="0" applyProtection="0"/>
    <xf numFmtId="0" fontId="9" fillId="51" borderId="124" applyNumberFormat="0" applyFont="0" applyAlignment="0" applyProtection="0"/>
    <xf numFmtId="0" fontId="86" fillId="49" borderId="121" applyNumberFormat="0" applyAlignment="0" applyProtection="0"/>
    <xf numFmtId="3" fontId="44" fillId="0" borderId="120" applyBorder="0"/>
    <xf numFmtId="0" fontId="31" fillId="0" borderId="145" applyNumberFormat="0" applyFill="0" applyAlignment="0" applyProtection="0"/>
    <xf numFmtId="0" fontId="83" fillId="36" borderId="122" applyNumberFormat="0" applyAlignment="0" applyProtection="0"/>
    <xf numFmtId="0" fontId="77" fillId="50" borderId="142" applyNumberFormat="0" applyAlignment="0" applyProtection="0"/>
    <xf numFmtId="0" fontId="31" fillId="0" borderId="143" applyNumberFormat="0" applyFill="0" applyAlignment="0" applyProtection="0"/>
    <xf numFmtId="0" fontId="97" fillId="53" borderId="126" applyNumberFormat="0" applyProtection="0">
      <alignment horizontal="left"/>
    </xf>
    <xf numFmtId="3" fontId="44" fillId="0" borderId="120" applyBorder="0"/>
    <xf numFmtId="0" fontId="71" fillId="0" borderId="140">
      <alignment horizontal="center" wrapText="1"/>
    </xf>
    <xf numFmtId="3" fontId="44" fillId="0" borderId="120" applyBorder="0"/>
    <xf numFmtId="0" fontId="83" fillId="51" borderId="122" applyNumberFormat="0" applyAlignment="0" applyProtection="0"/>
    <xf numFmtId="3" fontId="70" fillId="0" borderId="145" applyProtection="0"/>
    <xf numFmtId="0" fontId="125" fillId="0" borderId="129" applyNumberFormat="0" applyFont="0" applyFill="0" applyAlignment="0" applyProtection="0"/>
    <xf numFmtId="0" fontId="77" fillId="50" borderId="144" applyNumberFormat="0" applyAlignment="0" applyProtection="0"/>
    <xf numFmtId="2" fontId="95" fillId="29" borderId="126" applyProtection="0">
      <alignment horizontal="right"/>
    </xf>
    <xf numFmtId="0" fontId="83" fillId="51" borderId="122" applyNumberFormat="0" applyAlignment="0" applyProtection="0"/>
    <xf numFmtId="0" fontId="125" fillId="0" borderId="129" applyNumberFormat="0" applyFont="0" applyFill="0" applyAlignment="0" applyProtection="0"/>
    <xf numFmtId="0" fontId="9" fillId="52" borderId="124" applyNumberFormat="0" applyFont="0" applyAlignment="0" applyProtection="0"/>
    <xf numFmtId="0" fontId="41" fillId="0" borderId="140">
      <alignment horizontal="left" vertical="center"/>
    </xf>
    <xf numFmtId="0" fontId="9" fillId="51" borderId="124" applyNumberFormat="0" applyFont="0" applyAlignment="0" applyProtection="0"/>
    <xf numFmtId="0" fontId="31" fillId="0" borderId="143" applyNumberFormat="0" applyFill="0" applyAlignment="0" applyProtection="0"/>
    <xf numFmtId="10" fontId="29" fillId="57" borderId="141" applyNumberFormat="0" applyBorder="0" applyAlignment="0" applyProtection="0"/>
    <xf numFmtId="0" fontId="77" fillId="50" borderId="144" applyNumberFormat="0" applyAlignment="0" applyProtection="0"/>
    <xf numFmtId="0" fontId="77" fillId="50" borderId="144" applyNumberFormat="0" applyAlignment="0" applyProtection="0"/>
    <xf numFmtId="0" fontId="9" fillId="52" borderId="124" applyNumberFormat="0" applyFont="0" applyAlignment="0" applyProtection="0"/>
    <xf numFmtId="0" fontId="87" fillId="0" borderId="119" applyNumberFormat="0" applyFill="0" applyAlignment="0" applyProtection="0"/>
    <xf numFmtId="3" fontId="70" fillId="0" borderId="145" applyProtection="0"/>
    <xf numFmtId="0" fontId="77" fillId="50" borderId="144" applyNumberFormat="0" applyAlignment="0" applyProtection="0"/>
    <xf numFmtId="3" fontId="44" fillId="0" borderId="120" applyBorder="0"/>
    <xf numFmtId="0" fontId="41" fillId="0" borderId="140">
      <alignment horizontal="left" vertical="center"/>
    </xf>
    <xf numFmtId="0" fontId="41" fillId="0" borderId="140">
      <alignment horizontal="left" vertical="center"/>
    </xf>
    <xf numFmtId="0" fontId="77" fillId="50" borderId="142" applyNumberFormat="0" applyAlignment="0" applyProtection="0"/>
    <xf numFmtId="0" fontId="94" fillId="53" borderId="126" applyNumberFormat="0" applyAlignment="0" applyProtection="0"/>
    <xf numFmtId="0" fontId="125" fillId="0" borderId="129" applyNumberFormat="0" applyFont="0" applyFill="0" applyAlignment="0" applyProtection="0"/>
    <xf numFmtId="0" fontId="77" fillId="50" borderId="144" applyNumberFormat="0" applyAlignment="0" applyProtection="0"/>
    <xf numFmtId="0" fontId="77" fillId="50" borderId="144" applyNumberFormat="0" applyAlignment="0" applyProtection="0"/>
    <xf numFmtId="2" fontId="95" fillId="29" borderId="126" applyProtection="0">
      <alignment horizontal="right"/>
    </xf>
    <xf numFmtId="192" fontId="96" fillId="55" borderId="126" applyProtection="0">
      <alignment horizontal="left"/>
    </xf>
    <xf numFmtId="0" fontId="71" fillId="0" borderId="140">
      <alignment horizontal="center" wrapText="1"/>
    </xf>
    <xf numFmtId="0" fontId="9" fillId="52" borderId="124" applyNumberFormat="0" applyFont="0" applyAlignment="0" applyProtection="0"/>
    <xf numFmtId="3" fontId="44" fillId="0" borderId="120" applyBorder="0"/>
    <xf numFmtId="10" fontId="29" fillId="57" borderId="141" applyNumberFormat="0" applyBorder="0" applyAlignment="0" applyProtection="0"/>
    <xf numFmtId="192" fontId="96" fillId="55" borderId="126" applyProtection="0">
      <alignment horizontal="left"/>
    </xf>
    <xf numFmtId="0" fontId="31" fillId="0" borderId="145" applyNumberFormat="0" applyFill="0" applyAlignment="0" applyProtection="0"/>
    <xf numFmtId="10" fontId="29" fillId="57" borderId="141" applyNumberFormat="0" applyBorder="0" applyAlignment="0" applyProtection="0"/>
    <xf numFmtId="0" fontId="87" fillId="0" borderId="119" applyNumberFormat="0" applyFill="0" applyAlignment="0" applyProtection="0"/>
    <xf numFmtId="192" fontId="96" fillId="55" borderId="126" applyProtection="0">
      <alignment horizontal="right"/>
    </xf>
    <xf numFmtId="0" fontId="77" fillId="50" borderId="144" applyNumberFormat="0" applyAlignment="0" applyProtection="0"/>
    <xf numFmtId="0" fontId="125" fillId="0" borderId="129" applyNumberFormat="0" applyFont="0" applyFill="0" applyAlignment="0" applyProtection="0"/>
    <xf numFmtId="0" fontId="77" fillId="50" borderId="142" applyNumberFormat="0" applyAlignment="0" applyProtection="0"/>
    <xf numFmtId="3" fontId="70" fillId="0" borderId="143" applyProtection="0"/>
    <xf numFmtId="0" fontId="76" fillId="65" borderId="122" applyNumberFormat="0" applyAlignment="0" applyProtection="0"/>
    <xf numFmtId="0" fontId="83" fillId="51" borderId="122" applyNumberFormat="0" applyAlignment="0" applyProtection="0"/>
    <xf numFmtId="0" fontId="71" fillId="0" borderId="140">
      <alignment horizontal="center" wrapText="1"/>
    </xf>
    <xf numFmtId="0" fontId="31" fillId="0" borderId="145" applyNumberFormat="0" applyFill="0" applyAlignment="0" applyProtection="0"/>
    <xf numFmtId="3" fontId="44" fillId="0" borderId="120" applyBorder="0"/>
    <xf numFmtId="0" fontId="9" fillId="52" borderId="124" applyNumberFormat="0" applyFont="0" applyAlignment="0" applyProtection="0"/>
    <xf numFmtId="192" fontId="96" fillId="55" borderId="126" applyProtection="0">
      <alignment horizontal="right"/>
    </xf>
    <xf numFmtId="0" fontId="86" fillId="65" borderId="121" applyNumberFormat="0" applyAlignment="0" applyProtection="0"/>
    <xf numFmtId="0" fontId="125" fillId="0" borderId="129" applyNumberFormat="0" applyFont="0" applyFill="0" applyAlignment="0" applyProtection="0"/>
    <xf numFmtId="0" fontId="83" fillId="51" borderId="122" applyNumberFormat="0" applyAlignment="0" applyProtection="0"/>
    <xf numFmtId="2" fontId="94" fillId="54" borderId="126" applyProtection="0">
      <alignment horizontal="right"/>
    </xf>
    <xf numFmtId="2" fontId="94" fillId="54" borderId="126" applyProtection="0">
      <alignment horizontal="right"/>
    </xf>
    <xf numFmtId="3" fontId="70" fillId="0" borderId="143" applyProtection="0"/>
    <xf numFmtId="3" fontId="44" fillId="0" borderId="120" applyBorder="0"/>
    <xf numFmtId="0" fontId="71" fillId="0" borderId="140">
      <alignment horizontal="center" wrapText="1"/>
    </xf>
    <xf numFmtId="3" fontId="70" fillId="0" borderId="145" applyProtection="0"/>
    <xf numFmtId="0" fontId="125" fillId="0" borderId="129" applyNumberFormat="0" applyFont="0" applyFill="0" applyAlignment="0" applyProtection="0"/>
    <xf numFmtId="0" fontId="86" fillId="49" borderId="121" applyNumberFormat="0" applyAlignment="0" applyProtection="0"/>
    <xf numFmtId="0" fontId="87" fillId="0" borderId="119" applyNumberFormat="0" applyFill="0" applyAlignment="0" applyProtection="0"/>
    <xf numFmtId="10" fontId="29" fillId="57" borderId="141" applyNumberFormat="0" applyBorder="0" applyAlignment="0" applyProtection="0"/>
    <xf numFmtId="0" fontId="31" fillId="0" borderId="145" applyNumberFormat="0" applyFill="0" applyAlignment="0" applyProtection="0"/>
    <xf numFmtId="0" fontId="9" fillId="52" borderId="124" applyNumberFormat="0" applyFont="0" applyAlignment="0" applyProtection="0"/>
    <xf numFmtId="3" fontId="44" fillId="0" borderId="120" applyBorder="0"/>
    <xf numFmtId="0" fontId="41" fillId="0" borderId="140">
      <alignment horizontal="left" vertical="center"/>
    </xf>
    <xf numFmtId="3" fontId="44" fillId="0" borderId="120" applyBorder="0"/>
    <xf numFmtId="0" fontId="9" fillId="51" borderId="124" applyNumberFormat="0" applyFont="0" applyAlignment="0" applyProtection="0"/>
    <xf numFmtId="0" fontId="86" fillId="65" borderId="121" applyNumberFormat="0" applyAlignment="0" applyProtection="0"/>
    <xf numFmtId="3" fontId="70" fillId="0" borderId="145" applyProtection="0"/>
    <xf numFmtId="10" fontId="29" fillId="57" borderId="141" applyNumberFormat="0" applyBorder="0" applyAlignment="0" applyProtection="0"/>
    <xf numFmtId="0" fontId="83" fillId="36" borderId="122" applyNumberFormat="0" applyAlignment="0" applyProtection="0"/>
    <xf numFmtId="3" fontId="44" fillId="0" borderId="120" applyBorder="0"/>
    <xf numFmtId="192" fontId="96" fillId="55" borderId="126" applyProtection="0">
      <alignment horizontal="left"/>
    </xf>
    <xf numFmtId="192" fontId="96" fillId="55" borderId="126" applyProtection="0">
      <alignment horizontal="right"/>
    </xf>
    <xf numFmtId="0" fontId="125" fillId="0" borderId="129" applyNumberFormat="0" applyFont="0" applyFill="0" applyAlignment="0" applyProtection="0"/>
    <xf numFmtId="0" fontId="83" fillId="51" borderId="122" applyNumberFormat="0" applyAlignment="0" applyProtection="0"/>
    <xf numFmtId="0" fontId="31" fillId="0" borderId="145" applyNumberFormat="0" applyFill="0" applyAlignment="0" applyProtection="0"/>
    <xf numFmtId="3" fontId="70" fillId="0" borderId="143" applyProtection="0"/>
    <xf numFmtId="0" fontId="83" fillId="51" borderId="122" applyNumberFormat="0" applyAlignment="0" applyProtection="0"/>
    <xf numFmtId="0" fontId="94" fillId="53" borderId="126" applyNumberFormat="0" applyAlignment="0" applyProtection="0"/>
    <xf numFmtId="3" fontId="70" fillId="0" borderId="145" applyProtection="0"/>
    <xf numFmtId="0" fontId="9" fillId="52" borderId="124" applyNumberFormat="0" applyFont="0" applyAlignment="0" applyProtection="0"/>
    <xf numFmtId="0" fontId="83" fillId="51" borderId="122" applyNumberFormat="0" applyAlignment="0" applyProtection="0"/>
    <xf numFmtId="0" fontId="83" fillId="36" borderId="122" applyNumberFormat="0" applyAlignment="0" applyProtection="0"/>
    <xf numFmtId="0" fontId="31" fillId="0" borderId="145" applyNumberFormat="0" applyFill="0" applyAlignment="0" applyProtection="0"/>
    <xf numFmtId="192" fontId="96" fillId="55" borderId="126" applyProtection="0">
      <alignment horizontal="left"/>
    </xf>
    <xf numFmtId="0" fontId="77" fillId="50" borderId="144" applyNumberFormat="0" applyAlignment="0" applyProtection="0"/>
    <xf numFmtId="0" fontId="125" fillId="0" borderId="129" applyNumberFormat="0" applyFont="0" applyFill="0" applyAlignment="0" applyProtection="0"/>
    <xf numFmtId="0" fontId="83" fillId="51" borderId="122" applyNumberFormat="0" applyAlignment="0" applyProtection="0"/>
    <xf numFmtId="0" fontId="71" fillId="0" borderId="140">
      <alignment horizontal="center" wrapText="1"/>
    </xf>
    <xf numFmtId="3" fontId="70" fillId="0" borderId="145" applyProtection="0"/>
    <xf numFmtId="0" fontId="125" fillId="0" borderId="129" applyNumberFormat="0" applyFont="0" applyFill="0" applyAlignment="0" applyProtection="0"/>
    <xf numFmtId="3" fontId="70" fillId="0" borderId="145" applyProtection="0"/>
    <xf numFmtId="0" fontId="76" fillId="49" borderId="122" applyNumberFormat="0" applyAlignment="0" applyProtection="0"/>
    <xf numFmtId="0" fontId="97" fillId="53" borderId="126" applyNumberFormat="0" applyProtection="0">
      <alignment horizontal="left"/>
    </xf>
    <xf numFmtId="2" fontId="95" fillId="29" borderId="126" applyProtection="0">
      <alignment horizontal="right"/>
    </xf>
    <xf numFmtId="0" fontId="77" fillId="50" borderId="142" applyNumberFormat="0" applyAlignment="0" applyProtection="0"/>
    <xf numFmtId="0" fontId="125" fillId="0" borderId="129" applyNumberFormat="0" applyFont="0" applyFill="0" applyAlignment="0" applyProtection="0"/>
    <xf numFmtId="0" fontId="9" fillId="51" borderId="124" applyNumberFormat="0" applyFont="0" applyAlignment="0" applyProtection="0"/>
    <xf numFmtId="0" fontId="87" fillId="0" borderId="119" applyNumberFormat="0" applyFill="0" applyAlignment="0" applyProtection="0"/>
    <xf numFmtId="0" fontId="77" fillId="50" borderId="144" applyNumberFormat="0" applyAlignment="0" applyProtection="0"/>
    <xf numFmtId="0" fontId="31" fillId="0" borderId="145" applyNumberFormat="0" applyFill="0" applyAlignment="0" applyProtection="0"/>
    <xf numFmtId="3" fontId="44" fillId="0" borderId="120" applyBorder="0"/>
    <xf numFmtId="0" fontId="125" fillId="0" borderId="129" applyNumberFormat="0" applyFont="0" applyFill="0" applyAlignment="0" applyProtection="0"/>
    <xf numFmtId="0" fontId="125" fillId="0" borderId="129" applyNumberFormat="0" applyFont="0" applyFill="0" applyAlignment="0" applyProtection="0"/>
    <xf numFmtId="0" fontId="94" fillId="53" borderId="126" applyNumberFormat="0" applyAlignment="0" applyProtection="0"/>
    <xf numFmtId="0" fontId="71" fillId="0" borderId="140">
      <alignment horizontal="center" wrapText="1"/>
    </xf>
    <xf numFmtId="0" fontId="77" fillId="50" borderId="144" applyNumberFormat="0" applyAlignment="0" applyProtection="0"/>
    <xf numFmtId="0" fontId="71" fillId="0" borderId="140">
      <alignment horizontal="center" wrapText="1"/>
    </xf>
    <xf numFmtId="3" fontId="44" fillId="0" borderId="120" applyBorder="0"/>
    <xf numFmtId="0" fontId="125" fillId="0" borderId="129" applyNumberFormat="0" applyFont="0" applyFill="0" applyAlignment="0" applyProtection="0"/>
    <xf numFmtId="0" fontId="77" fillId="50" borderId="142" applyNumberFormat="0" applyAlignment="0" applyProtection="0"/>
    <xf numFmtId="3" fontId="44" fillId="0" borderId="120" applyBorder="0"/>
    <xf numFmtId="0" fontId="31" fillId="0" borderId="143" applyNumberFormat="0" applyFill="0" applyAlignment="0" applyProtection="0"/>
    <xf numFmtId="0" fontId="41" fillId="0" borderId="140">
      <alignment horizontal="left" vertical="center"/>
    </xf>
    <xf numFmtId="3" fontId="70" fillId="0" borderId="145" applyProtection="0"/>
    <xf numFmtId="3" fontId="70" fillId="0" borderId="143" applyProtection="0"/>
    <xf numFmtId="3" fontId="44" fillId="0" borderId="120" applyBorder="0"/>
    <xf numFmtId="0" fontId="87" fillId="0" borderId="119" applyNumberFormat="0" applyFill="0" applyAlignment="0" applyProtection="0"/>
    <xf numFmtId="0" fontId="83" fillId="51" borderId="122" applyNumberFormat="0" applyAlignment="0" applyProtection="0"/>
    <xf numFmtId="0" fontId="41" fillId="0" borderId="140">
      <alignment horizontal="left" vertical="center"/>
    </xf>
    <xf numFmtId="0" fontId="94" fillId="53" borderId="126" applyNumberFormat="0" applyAlignment="0" applyProtection="0"/>
    <xf numFmtId="0" fontId="31" fillId="0" borderId="145" applyNumberFormat="0" applyFill="0" applyAlignment="0" applyProtection="0"/>
    <xf numFmtId="0" fontId="9" fillId="51" borderId="124" applyNumberFormat="0" applyFont="0" applyAlignment="0" applyProtection="0"/>
    <xf numFmtId="2" fontId="94" fillId="54" borderId="126" applyProtection="0">
      <alignment horizontal="right"/>
    </xf>
    <xf numFmtId="192" fontId="96" fillId="55" borderId="126" applyProtection="0">
      <alignment horizontal="left"/>
    </xf>
    <xf numFmtId="0" fontId="76" fillId="65" borderId="122" applyNumberFormat="0" applyAlignment="0" applyProtection="0"/>
    <xf numFmtId="0" fontId="86" fillId="49" borderId="121" applyNumberFormat="0" applyAlignment="0" applyProtection="0"/>
    <xf numFmtId="3" fontId="44" fillId="0" borderId="120" applyBorder="0"/>
    <xf numFmtId="3" fontId="44" fillId="0" borderId="120" applyBorder="0"/>
    <xf numFmtId="0" fontId="125" fillId="0" borderId="129" applyNumberFormat="0" applyFont="0" applyFill="0" applyAlignment="0" applyProtection="0"/>
    <xf numFmtId="10" fontId="29" fillId="57" borderId="141" applyNumberFormat="0" applyBorder="0" applyAlignment="0" applyProtection="0"/>
    <xf numFmtId="192" fontId="96" fillId="55" borderId="126" applyProtection="0">
      <alignment horizontal="right"/>
    </xf>
    <xf numFmtId="0" fontId="76" fillId="49" borderId="122" applyNumberFormat="0" applyAlignment="0" applyProtection="0"/>
    <xf numFmtId="0" fontId="125" fillId="0" borderId="129" applyNumberFormat="0" applyFont="0" applyFill="0" applyAlignment="0" applyProtection="0"/>
    <xf numFmtId="0" fontId="41" fillId="0" borderId="140">
      <alignment horizontal="left" vertical="center"/>
    </xf>
    <xf numFmtId="10" fontId="29" fillId="57" borderId="141" applyNumberFormat="0" applyBorder="0" applyAlignment="0" applyProtection="0"/>
    <xf numFmtId="0" fontId="71" fillId="0" borderId="140">
      <alignment horizontal="center" wrapText="1"/>
    </xf>
    <xf numFmtId="3" fontId="44" fillId="0" borderId="120" applyBorder="0"/>
    <xf numFmtId="0" fontId="31" fillId="0" borderId="143" applyNumberFormat="0" applyFill="0" applyAlignment="0" applyProtection="0"/>
    <xf numFmtId="0" fontId="87" fillId="0" borderId="119" applyNumberFormat="0" applyFill="0" applyAlignment="0" applyProtection="0"/>
    <xf numFmtId="0" fontId="76" fillId="65" borderId="122" applyNumberFormat="0" applyAlignment="0" applyProtection="0"/>
    <xf numFmtId="3" fontId="44" fillId="0" borderId="120" applyBorder="0"/>
    <xf numFmtId="192" fontId="96" fillId="55" borderId="126" applyProtection="0">
      <alignment horizontal="right"/>
    </xf>
    <xf numFmtId="0" fontId="31" fillId="0" borderId="143" applyNumberFormat="0" applyFill="0" applyAlignment="0" applyProtection="0"/>
    <xf numFmtId="3" fontId="70" fillId="0" borderId="143" applyProtection="0"/>
    <xf numFmtId="0" fontId="125" fillId="0" borderId="129" applyNumberFormat="0" applyFont="0" applyFill="0" applyAlignment="0" applyProtection="0"/>
    <xf numFmtId="0" fontId="87" fillId="0" borderId="119" applyNumberFormat="0" applyFill="0" applyAlignment="0" applyProtection="0"/>
    <xf numFmtId="0" fontId="76" fillId="65" borderId="122" applyNumberFormat="0" applyAlignment="0" applyProtection="0"/>
    <xf numFmtId="0" fontId="83" fillId="51" borderId="122" applyNumberFormat="0" applyAlignment="0" applyProtection="0"/>
    <xf numFmtId="0" fontId="31" fillId="0" borderId="145" applyNumberFormat="0" applyFill="0" applyAlignment="0" applyProtection="0"/>
    <xf numFmtId="0" fontId="94" fillId="53" borderId="126" applyNumberFormat="0" applyAlignment="0" applyProtection="0"/>
    <xf numFmtId="0" fontId="83" fillId="51" borderId="122" applyNumberFormat="0" applyAlignment="0" applyProtection="0"/>
    <xf numFmtId="0" fontId="71" fillId="0" borderId="140">
      <alignment horizontal="center" wrapText="1"/>
    </xf>
    <xf numFmtId="0" fontId="31" fillId="0" borderId="127" applyNumberFormat="0" applyFill="0" applyAlignment="0" applyProtection="0"/>
    <xf numFmtId="0" fontId="76" fillId="49" borderId="122" applyNumberFormat="0" applyAlignment="0" applyProtection="0"/>
    <xf numFmtId="0" fontId="77" fillId="50" borderId="123" applyNumberFormat="0" applyAlignment="0" applyProtection="0"/>
    <xf numFmtId="0" fontId="83" fillId="36" borderId="122" applyNumberFormat="0" applyAlignment="0" applyProtection="0"/>
    <xf numFmtId="0" fontId="9" fillId="52" borderId="124" applyNumberFormat="0" applyFont="0" applyAlignment="0" applyProtection="0"/>
    <xf numFmtId="0" fontId="86" fillId="49" borderId="121" applyNumberFormat="0" applyAlignment="0" applyProtection="0"/>
    <xf numFmtId="0" fontId="87" fillId="0" borderId="125" applyNumberFormat="0" applyFill="0" applyAlignment="0" applyProtection="0"/>
    <xf numFmtId="3" fontId="70" fillId="0" borderId="127" applyProtection="0"/>
    <xf numFmtId="0" fontId="9" fillId="52" borderId="124" applyNumberFormat="0" applyFont="0" applyAlignment="0" applyProtection="0"/>
    <xf numFmtId="3" fontId="44" fillId="0" borderId="120" applyBorder="0"/>
    <xf numFmtId="3" fontId="44" fillId="0" borderId="120" applyBorder="0"/>
    <xf numFmtId="0" fontId="9" fillId="52" borderId="124" applyNumberFormat="0" applyFont="0" applyAlignment="0" applyProtection="0"/>
    <xf numFmtId="0" fontId="94" fillId="53" borderId="126" applyNumberFormat="0" applyAlignment="0" applyProtection="0"/>
    <xf numFmtId="2" fontId="94" fillId="54" borderId="126" applyProtection="0">
      <alignment horizontal="right"/>
    </xf>
    <xf numFmtId="2" fontId="95" fillId="29" borderId="126" applyProtection="0">
      <alignment horizontal="right"/>
    </xf>
    <xf numFmtId="192" fontId="96" fillId="55" borderId="126" applyProtection="0">
      <alignment horizontal="right"/>
    </xf>
    <xf numFmtId="192" fontId="96" fillId="55" borderId="126" applyProtection="0">
      <alignment horizontal="left"/>
    </xf>
    <xf numFmtId="0" fontId="97" fillId="53" borderId="126" applyNumberFormat="0" applyProtection="0">
      <alignment horizontal="left"/>
    </xf>
    <xf numFmtId="3" fontId="70" fillId="0" borderId="145" applyProtection="0"/>
    <xf numFmtId="0" fontId="9" fillId="51" borderId="124" applyNumberFormat="0" applyFont="0" applyAlignment="0" applyProtection="0"/>
    <xf numFmtId="0" fontId="41" fillId="0" borderId="140">
      <alignment horizontal="left" vertical="center"/>
    </xf>
    <xf numFmtId="10" fontId="29" fillId="57" borderId="141" applyNumberFormat="0" applyBorder="0" applyAlignment="0" applyProtection="0"/>
    <xf numFmtId="2" fontId="94" fillId="54" borderId="126" applyProtection="0">
      <alignment horizontal="right"/>
    </xf>
    <xf numFmtId="0" fontId="77" fillId="50" borderId="144" applyNumberFormat="0" applyAlignment="0" applyProtection="0"/>
    <xf numFmtId="0" fontId="41" fillId="0" borderId="140">
      <alignment horizontal="left" vertical="center"/>
    </xf>
    <xf numFmtId="0" fontId="76" fillId="49" borderId="122" applyNumberFormat="0" applyAlignment="0" applyProtection="0"/>
    <xf numFmtId="3" fontId="70" fillId="0" borderId="145" applyProtection="0"/>
    <xf numFmtId="0" fontId="125" fillId="0" borderId="129" applyNumberFormat="0" applyFont="0" applyFill="0" applyAlignment="0" applyProtection="0"/>
    <xf numFmtId="0" fontId="77" fillId="50" borderId="142" applyNumberFormat="0" applyAlignment="0" applyProtection="0"/>
    <xf numFmtId="0" fontId="31" fillId="0" borderId="127" applyNumberFormat="0" applyFill="0" applyAlignment="0" applyProtection="0"/>
    <xf numFmtId="0" fontId="31" fillId="0" borderId="143" applyNumberFormat="0" applyFill="0" applyAlignment="0" applyProtection="0"/>
    <xf numFmtId="0" fontId="77" fillId="50" borderId="123" applyNumberFormat="0" applyAlignment="0" applyProtection="0"/>
    <xf numFmtId="3" fontId="70" fillId="0" borderId="127" applyProtection="0"/>
    <xf numFmtId="192" fontId="96" fillId="55" borderId="126" applyProtection="0">
      <alignment horizontal="right"/>
    </xf>
    <xf numFmtId="0" fontId="87" fillId="0" borderId="125" applyNumberFormat="0" applyFill="0" applyAlignment="0" applyProtection="0"/>
    <xf numFmtId="10" fontId="29" fillId="57" borderId="141" applyNumberFormat="0" applyBorder="0" applyAlignment="0" applyProtection="0"/>
    <xf numFmtId="0" fontId="86" fillId="65" borderId="121" applyNumberFormat="0" applyAlignment="0" applyProtection="0"/>
    <xf numFmtId="0" fontId="9" fillId="51" borderId="124" applyNumberFormat="0" applyFont="0" applyAlignment="0" applyProtection="0"/>
    <xf numFmtId="0" fontId="83" fillId="51" borderId="122" applyNumberFormat="0" applyAlignment="0" applyProtection="0"/>
    <xf numFmtId="0" fontId="76" fillId="65" borderId="122" applyNumberFormat="0" applyAlignment="0" applyProtection="0"/>
    <xf numFmtId="0" fontId="77" fillId="50" borderId="142" applyNumberFormat="0" applyAlignment="0" applyProtection="0"/>
    <xf numFmtId="0" fontId="125" fillId="0" borderId="129" applyNumberFormat="0" applyFont="0" applyFill="0" applyAlignment="0" applyProtection="0"/>
    <xf numFmtId="2" fontId="94" fillId="54" borderId="126" applyProtection="0">
      <alignment horizontal="right"/>
    </xf>
    <xf numFmtId="0" fontId="125" fillId="0" borderId="129" applyNumberFormat="0" applyFont="0" applyFill="0" applyAlignment="0" applyProtection="0"/>
    <xf numFmtId="0" fontId="83" fillId="51" borderId="122" applyNumberFormat="0" applyAlignment="0" applyProtection="0"/>
    <xf numFmtId="0" fontId="83" fillId="51" borderId="122" applyNumberFormat="0" applyAlignment="0" applyProtection="0"/>
    <xf numFmtId="0" fontId="77" fillId="50" borderId="123" applyNumberFormat="0" applyAlignment="0" applyProtection="0"/>
    <xf numFmtId="0" fontId="86" fillId="49" borderId="121" applyNumberFormat="0" applyAlignment="0" applyProtection="0"/>
    <xf numFmtId="3" fontId="44" fillId="0" borderId="120" applyBorder="0"/>
    <xf numFmtId="3" fontId="44" fillId="0" borderId="120" applyBorder="0"/>
    <xf numFmtId="0" fontId="76" fillId="49" borderId="122" applyNumberFormat="0" applyAlignment="0" applyProtection="0"/>
    <xf numFmtId="0" fontId="77" fillId="50" borderId="144" applyNumberFormat="0" applyAlignment="0" applyProtection="0"/>
    <xf numFmtId="0" fontId="86" fillId="65" borderId="121" applyNumberFormat="0" applyAlignment="0" applyProtection="0"/>
    <xf numFmtId="0" fontId="41" fillId="0" borderId="140">
      <alignment horizontal="left" vertical="center"/>
    </xf>
    <xf numFmtId="0" fontId="76" fillId="65" borderId="122" applyNumberFormat="0" applyAlignment="0" applyProtection="0"/>
    <xf numFmtId="0" fontId="97" fillId="53" borderId="126" applyNumberFormat="0" applyProtection="0">
      <alignment horizontal="left"/>
    </xf>
    <xf numFmtId="0" fontId="9" fillId="51" borderId="124" applyNumberFormat="0" applyFont="0" applyAlignment="0" applyProtection="0"/>
    <xf numFmtId="0" fontId="125" fillId="0" borderId="129" applyNumberFormat="0" applyFont="0" applyFill="0" applyAlignment="0" applyProtection="0"/>
    <xf numFmtId="0" fontId="125" fillId="0" borderId="129" applyNumberFormat="0" applyFont="0" applyFill="0" applyAlignment="0" applyProtection="0"/>
    <xf numFmtId="0" fontId="86" fillId="49" borderId="121" applyNumberFormat="0" applyAlignment="0" applyProtection="0"/>
    <xf numFmtId="0" fontId="31" fillId="0" borderId="127" applyNumberFormat="0" applyFill="0" applyAlignment="0" applyProtection="0"/>
    <xf numFmtId="3" fontId="70" fillId="0" borderId="127" applyProtection="0"/>
    <xf numFmtId="3" fontId="44" fillId="0" borderId="120" applyBorder="0"/>
    <xf numFmtId="0" fontId="86" fillId="49" borderId="121" applyNumberFormat="0" applyAlignment="0" applyProtection="0"/>
    <xf numFmtId="0" fontId="9" fillId="51" borderId="124" applyNumberFormat="0" applyFont="0" applyAlignment="0" applyProtection="0"/>
    <xf numFmtId="10" fontId="29" fillId="57" borderId="141" applyNumberFormat="0" applyBorder="0" applyAlignment="0" applyProtection="0"/>
    <xf numFmtId="0" fontId="41" fillId="0" borderId="140">
      <alignment horizontal="left" vertical="center"/>
    </xf>
    <xf numFmtId="0" fontId="71" fillId="0" borderId="140">
      <alignment horizontal="center" wrapText="1"/>
    </xf>
    <xf numFmtId="0" fontId="77" fillId="50" borderId="123" applyNumberFormat="0" applyAlignment="0" applyProtection="0"/>
    <xf numFmtId="0" fontId="125" fillId="0" borderId="129" applyNumberFormat="0" applyFont="0" applyFill="0" applyAlignment="0" applyProtection="0"/>
    <xf numFmtId="0" fontId="41" fillId="0" borderId="140">
      <alignment horizontal="left" vertical="center"/>
    </xf>
    <xf numFmtId="0" fontId="31" fillId="0" borderId="127" applyNumberFormat="0" applyFill="0" applyAlignment="0" applyProtection="0"/>
    <xf numFmtId="10" fontId="29" fillId="57" borderId="141" applyNumberFormat="0" applyBorder="0" applyAlignment="0" applyProtection="0"/>
    <xf numFmtId="3" fontId="70" fillId="0" borderId="127" applyProtection="0"/>
    <xf numFmtId="0" fontId="71" fillId="0" borderId="140">
      <alignment horizontal="center" wrapText="1"/>
    </xf>
    <xf numFmtId="0" fontId="87" fillId="0" borderId="119" applyNumberFormat="0" applyFill="0" applyAlignment="0" applyProtection="0"/>
    <xf numFmtId="0" fontId="87" fillId="0" borderId="119" applyNumberFormat="0" applyFill="0" applyAlignment="0" applyProtection="0"/>
    <xf numFmtId="0" fontId="76" fillId="49" borderId="122" applyNumberFormat="0" applyAlignment="0" applyProtection="0"/>
    <xf numFmtId="0" fontId="83" fillId="36" borderId="122" applyNumberFormat="0" applyAlignment="0" applyProtection="0"/>
    <xf numFmtId="0" fontId="9" fillId="52" borderId="124" applyNumberFormat="0" applyFont="0" applyAlignment="0" applyProtection="0"/>
    <xf numFmtId="0" fontId="87" fillId="0" borderId="125" applyNumberFormat="0" applyFill="0" applyAlignment="0" applyProtection="0"/>
    <xf numFmtId="0" fontId="9" fillId="52" borderId="124" applyNumberFormat="0" applyFont="0" applyAlignment="0" applyProtection="0"/>
    <xf numFmtId="192" fontId="96" fillId="55" borderId="126" applyProtection="0">
      <alignment horizontal="left"/>
    </xf>
    <xf numFmtId="0" fontId="94" fillId="53" borderId="126" applyNumberFormat="0" applyAlignment="0" applyProtection="0"/>
    <xf numFmtId="2" fontId="94" fillId="54" borderId="126" applyProtection="0">
      <alignment horizontal="right"/>
    </xf>
    <xf numFmtId="2" fontId="95" fillId="29" borderId="126" applyProtection="0">
      <alignment horizontal="right"/>
    </xf>
    <xf numFmtId="192" fontId="96" fillId="55" borderId="126" applyProtection="0">
      <alignment horizontal="right"/>
    </xf>
    <xf numFmtId="192" fontId="96" fillId="55" borderId="126" applyProtection="0">
      <alignment horizontal="left"/>
    </xf>
    <xf numFmtId="0" fontId="97" fillId="53" borderId="126" applyNumberFormat="0" applyProtection="0">
      <alignment horizontal="left"/>
    </xf>
    <xf numFmtId="0" fontId="94" fillId="53" borderId="126" applyNumberFormat="0" applyAlignment="0" applyProtection="0"/>
    <xf numFmtId="0" fontId="76" fillId="49" borderId="122" applyNumberFormat="0" applyAlignment="0" applyProtection="0"/>
    <xf numFmtId="0" fontId="31" fillId="0" borderId="145" applyNumberFormat="0" applyFill="0" applyAlignment="0" applyProtection="0"/>
    <xf numFmtId="2" fontId="94" fillId="54" borderId="126" applyProtection="0">
      <alignment horizontal="right"/>
    </xf>
    <xf numFmtId="6" fontId="142" fillId="0" borderId="139" applyNumberFormat="0" applyFill="0" applyBorder="0" applyAlignment="0" applyProtection="0">
      <alignment horizontal="right"/>
    </xf>
    <xf numFmtId="0" fontId="87" fillId="0" borderId="119" applyNumberFormat="0" applyFill="0" applyAlignment="0" applyProtection="0"/>
    <xf numFmtId="0" fontId="87" fillId="0" borderId="125" applyNumberFormat="0" applyFill="0" applyAlignment="0" applyProtection="0"/>
    <xf numFmtId="0" fontId="31" fillId="0" borderId="145" applyNumberFormat="0" applyFill="0" applyAlignment="0" applyProtection="0"/>
    <xf numFmtId="0" fontId="125" fillId="0" borderId="129" applyNumberFormat="0" applyFont="0" applyFill="0" applyAlignment="0" applyProtection="0"/>
    <xf numFmtId="0" fontId="86" fillId="49" borderId="121" applyNumberFormat="0" applyAlignment="0" applyProtection="0"/>
    <xf numFmtId="0" fontId="9" fillId="52" borderId="124" applyNumberFormat="0" applyFont="0" applyAlignment="0" applyProtection="0"/>
    <xf numFmtId="3" fontId="44" fillId="0" borderId="120" applyBorder="0"/>
    <xf numFmtId="0" fontId="31" fillId="0" borderId="145" applyNumberFormat="0" applyFill="0" applyAlignment="0" applyProtection="0"/>
    <xf numFmtId="0" fontId="9" fillId="51" borderId="124" applyNumberFormat="0" applyFont="0" applyAlignment="0" applyProtection="0"/>
    <xf numFmtId="0" fontId="83" fillId="51" borderId="122" applyNumberFormat="0" applyAlignment="0" applyProtection="0"/>
    <xf numFmtId="0" fontId="76" fillId="65" borderId="122" applyNumberFormat="0" applyAlignment="0" applyProtection="0"/>
    <xf numFmtId="0" fontId="125" fillId="0" borderId="129" applyNumberFormat="0" applyFont="0" applyFill="0" applyAlignment="0" applyProtection="0"/>
    <xf numFmtId="10" fontId="29" fillId="57" borderId="141" applyNumberFormat="0" applyBorder="0" applyAlignment="0" applyProtection="0"/>
    <xf numFmtId="0" fontId="31" fillId="0" borderId="143" applyNumberFormat="0" applyFill="0" applyAlignment="0" applyProtection="0"/>
    <xf numFmtId="3" fontId="70" fillId="0" borderId="145" applyProtection="0"/>
    <xf numFmtId="0" fontId="83" fillId="51" borderId="122" applyNumberFormat="0" applyAlignment="0" applyProtection="0"/>
    <xf numFmtId="0" fontId="83" fillId="51" borderId="122" applyNumberFormat="0" applyAlignment="0" applyProtection="0"/>
    <xf numFmtId="0" fontId="9" fillId="51" borderId="124" applyNumberFormat="0" applyFont="0" applyAlignment="0" applyProtection="0"/>
    <xf numFmtId="0" fontId="77" fillId="50" borderId="144" applyNumberFormat="0" applyAlignment="0" applyProtection="0"/>
    <xf numFmtId="0" fontId="77" fillId="50" borderId="144" applyNumberFormat="0" applyAlignment="0" applyProtection="0"/>
    <xf numFmtId="0" fontId="87" fillId="0" borderId="125" applyNumberFormat="0" applyFill="0" applyAlignment="0" applyProtection="0"/>
    <xf numFmtId="2" fontId="94" fillId="54" borderId="126" applyProtection="0">
      <alignment horizontal="right"/>
    </xf>
    <xf numFmtId="2" fontId="95" fillId="29" borderId="126" applyProtection="0">
      <alignment horizontal="right"/>
    </xf>
    <xf numFmtId="0" fontId="125" fillId="0" borderId="129" applyNumberFormat="0" applyFont="0" applyFill="0" applyAlignment="0" applyProtection="0"/>
    <xf numFmtId="0" fontId="41" fillId="0" borderId="140">
      <alignment horizontal="left" vertical="center"/>
    </xf>
    <xf numFmtId="10" fontId="29" fillId="57" borderId="141" applyNumberFormat="0" applyBorder="0" applyAlignment="0" applyProtection="0"/>
    <xf numFmtId="0" fontId="71" fillId="0" borderId="140">
      <alignment horizontal="center" wrapText="1"/>
    </xf>
    <xf numFmtId="0" fontId="77" fillId="50" borderId="144" applyNumberFormat="0" applyAlignment="0" applyProtection="0"/>
    <xf numFmtId="0" fontId="125" fillId="0" borderId="129" applyNumberFormat="0" applyFont="0" applyFill="0" applyAlignment="0" applyProtection="0"/>
    <xf numFmtId="0" fontId="87" fillId="0" borderId="119" applyNumberFormat="0" applyFill="0" applyAlignment="0" applyProtection="0"/>
    <xf numFmtId="0" fontId="9" fillId="51" borderId="124" applyNumberFormat="0" applyFont="0" applyAlignment="0" applyProtection="0"/>
    <xf numFmtId="0" fontId="76" fillId="49" borderId="122" applyNumberFormat="0" applyAlignment="0" applyProtection="0"/>
    <xf numFmtId="0" fontId="71" fillId="0" borderId="140">
      <alignment horizontal="center" wrapText="1"/>
    </xf>
    <xf numFmtId="0" fontId="86" fillId="49" borderId="121" applyNumberFormat="0" applyAlignment="0" applyProtection="0"/>
    <xf numFmtId="0" fontId="97" fillId="53" borderId="126" applyNumberFormat="0" applyProtection="0">
      <alignment horizontal="left"/>
    </xf>
    <xf numFmtId="0" fontId="9" fillId="52" borderId="124" applyNumberFormat="0" applyFont="0" applyAlignment="0" applyProtection="0"/>
    <xf numFmtId="0" fontId="31" fillId="0" borderId="127" applyNumberFormat="0" applyFill="0" applyAlignment="0" applyProtection="0"/>
    <xf numFmtId="0" fontId="76" fillId="49" borderId="122" applyNumberFormat="0" applyAlignment="0" applyProtection="0"/>
    <xf numFmtId="0" fontId="77" fillId="50" borderId="123" applyNumberFormat="0" applyAlignment="0" applyProtection="0"/>
    <xf numFmtId="0" fontId="83" fillId="36" borderId="122" applyNumberFormat="0" applyAlignment="0" applyProtection="0"/>
    <xf numFmtId="0" fontId="9" fillId="52" borderId="124" applyNumberFormat="0" applyFont="0" applyAlignment="0" applyProtection="0"/>
    <xf numFmtId="0" fontId="86" fillId="49" borderId="121" applyNumberFormat="0" applyAlignment="0" applyProtection="0"/>
    <xf numFmtId="0" fontId="87" fillId="0" borderId="125" applyNumberFormat="0" applyFill="0" applyAlignment="0" applyProtection="0"/>
    <xf numFmtId="3" fontId="70" fillId="0" borderId="127" applyProtection="0"/>
    <xf numFmtId="0" fontId="83" fillId="51" borderId="122" applyNumberFormat="0" applyAlignment="0" applyProtection="0"/>
    <xf numFmtId="0" fontId="83" fillId="51" borderId="122" applyNumberFormat="0" applyAlignment="0" applyProtection="0"/>
    <xf numFmtId="0" fontId="9" fillId="52" borderId="124" applyNumberFormat="0" applyFont="0" applyAlignment="0" applyProtection="0"/>
    <xf numFmtId="3" fontId="44" fillId="0" borderId="120" applyBorder="0"/>
    <xf numFmtId="3" fontId="44" fillId="0" borderId="120" applyBorder="0"/>
    <xf numFmtId="2" fontId="94" fillId="54" borderId="126" applyProtection="0">
      <alignment horizontal="right"/>
    </xf>
    <xf numFmtId="0" fontId="94" fillId="53" borderId="126" applyNumberFormat="0" applyAlignment="0" applyProtection="0"/>
    <xf numFmtId="2" fontId="94" fillId="54" borderId="126" applyProtection="0">
      <alignment horizontal="right"/>
    </xf>
    <xf numFmtId="2" fontId="95" fillId="29" borderId="126" applyProtection="0">
      <alignment horizontal="right"/>
    </xf>
    <xf numFmtId="192" fontId="96" fillId="55" borderId="126" applyProtection="0">
      <alignment horizontal="right"/>
    </xf>
    <xf numFmtId="192" fontId="96" fillId="55" borderId="126" applyProtection="0">
      <alignment horizontal="left"/>
    </xf>
    <xf numFmtId="0" fontId="97" fillId="53" borderId="126" applyNumberFormat="0" applyProtection="0">
      <alignment horizontal="left"/>
    </xf>
    <xf numFmtId="0" fontId="83" fillId="51" borderId="122" applyNumberFormat="0" applyAlignment="0" applyProtection="0"/>
    <xf numFmtId="0" fontId="87" fillId="0" borderId="125" applyNumberFormat="0" applyFill="0" applyAlignment="0" applyProtection="0"/>
    <xf numFmtId="0" fontId="31" fillId="0" borderId="145" applyNumberFormat="0" applyFill="0" applyAlignment="0" applyProtection="0"/>
    <xf numFmtId="0" fontId="71" fillId="0" borderId="140">
      <alignment horizontal="center" wrapText="1"/>
    </xf>
    <xf numFmtId="0" fontId="125" fillId="0" borderId="129" applyNumberFormat="0" applyFont="0" applyFill="0" applyAlignment="0" applyProtection="0"/>
    <xf numFmtId="0" fontId="9" fillId="52" borderId="124" applyNumberFormat="0" applyFont="0" applyAlignment="0" applyProtection="0"/>
    <xf numFmtId="0" fontId="41" fillId="0" borderId="140">
      <alignment horizontal="left" vertical="center"/>
    </xf>
    <xf numFmtId="0" fontId="76" fillId="49" borderId="122" applyNumberFormat="0" applyAlignment="0" applyProtection="0"/>
    <xf numFmtId="0" fontId="97" fillId="53" borderId="126" applyNumberFormat="0" applyProtection="0">
      <alignment horizontal="left"/>
    </xf>
    <xf numFmtId="0" fontId="125" fillId="0" borderId="129" applyNumberFormat="0" applyFont="0" applyFill="0" applyAlignment="0" applyProtection="0"/>
    <xf numFmtId="0" fontId="31" fillId="0" borderId="127" applyNumberFormat="0" applyFill="0" applyAlignment="0" applyProtection="0"/>
    <xf numFmtId="0" fontId="77" fillId="50" borderId="123" applyNumberFormat="0" applyAlignment="0" applyProtection="0"/>
    <xf numFmtId="3" fontId="70" fillId="0" borderId="127" applyProtection="0"/>
    <xf numFmtId="0" fontId="94" fillId="53" borderId="126" applyNumberFormat="0" applyAlignment="0" applyProtection="0"/>
    <xf numFmtId="10" fontId="29" fillId="57" borderId="141" applyNumberFormat="0" applyBorder="0" applyAlignment="0" applyProtection="0"/>
    <xf numFmtId="0" fontId="86" fillId="49" borderId="121" applyNumberFormat="0" applyAlignment="0" applyProtection="0"/>
    <xf numFmtId="0" fontId="31" fillId="0" borderId="145" applyNumberFormat="0" applyFill="0" applyAlignment="0" applyProtection="0"/>
    <xf numFmtId="0" fontId="86" fillId="65" borderId="121" applyNumberFormat="0" applyAlignment="0" applyProtection="0"/>
    <xf numFmtId="0" fontId="9" fillId="51" borderId="124" applyNumberFormat="0" applyFont="0" applyAlignment="0" applyProtection="0"/>
    <xf numFmtId="0" fontId="83" fillId="51" borderId="122" applyNumberFormat="0" applyAlignment="0" applyProtection="0"/>
    <xf numFmtId="0" fontId="76" fillId="65" borderId="122" applyNumberFormat="0" applyAlignment="0" applyProtection="0"/>
    <xf numFmtId="0" fontId="125" fillId="0" borderId="129" applyNumberFormat="0" applyFont="0" applyFill="0" applyAlignment="0" applyProtection="0"/>
    <xf numFmtId="6" fontId="142" fillId="0" borderId="139" applyNumberFormat="0" applyFill="0" applyBorder="0" applyAlignment="0" applyProtection="0">
      <alignment horizontal="right"/>
    </xf>
    <xf numFmtId="3" fontId="70" fillId="0" borderId="143" applyProtection="0"/>
    <xf numFmtId="3" fontId="44" fillId="0" borderId="120" applyBorder="0"/>
    <xf numFmtId="0" fontId="83" fillId="51" borderId="122" applyNumberFormat="0" applyAlignment="0" applyProtection="0"/>
    <xf numFmtId="0" fontId="125" fillId="0" borderId="129" applyNumberFormat="0" applyFont="0" applyFill="0" applyAlignment="0" applyProtection="0"/>
    <xf numFmtId="0" fontId="83" fillId="51" borderId="122" applyNumberFormat="0" applyAlignment="0" applyProtection="0"/>
    <xf numFmtId="0" fontId="83" fillId="51" borderId="122" applyNumberFormat="0" applyAlignment="0" applyProtection="0"/>
    <xf numFmtId="0" fontId="77" fillId="50" borderId="123" applyNumberFormat="0" applyAlignment="0" applyProtection="0"/>
    <xf numFmtId="0" fontId="86" fillId="49" borderId="121" applyNumberFormat="0" applyAlignment="0" applyProtection="0"/>
    <xf numFmtId="3" fontId="44" fillId="0" borderId="120" applyBorder="0"/>
    <xf numFmtId="3" fontId="44" fillId="0" borderId="120" applyBorder="0"/>
    <xf numFmtId="0" fontId="83" fillId="36" borderId="122" applyNumberFormat="0" applyAlignment="0" applyProtection="0"/>
    <xf numFmtId="0" fontId="9" fillId="52" borderId="124" applyNumberFormat="0" applyFont="0" applyAlignment="0" applyProtection="0"/>
    <xf numFmtId="0" fontId="87" fillId="0" borderId="125" applyNumberFormat="0" applyFill="0" applyAlignment="0" applyProtection="0"/>
    <xf numFmtId="0" fontId="71" fillId="0" borderId="140">
      <alignment horizontal="center" wrapText="1"/>
    </xf>
    <xf numFmtId="192" fontId="96" fillId="55" borderId="126" applyProtection="0">
      <alignment horizontal="right"/>
    </xf>
    <xf numFmtId="10" fontId="29" fillId="57" borderId="141" applyNumberFormat="0" applyBorder="0" applyAlignment="0" applyProtection="0"/>
    <xf numFmtId="0" fontId="76" fillId="65" borderId="122" applyNumberFormat="0" applyAlignment="0" applyProtection="0"/>
    <xf numFmtId="0" fontId="125" fillId="0" borderId="129" applyNumberFormat="0" applyFont="0" applyFill="0" applyAlignment="0" applyProtection="0"/>
    <xf numFmtId="0" fontId="31" fillId="0" borderId="127" applyNumberFormat="0" applyFill="0" applyAlignment="0" applyProtection="0"/>
    <xf numFmtId="3" fontId="70" fillId="0" borderId="127" applyProtection="0"/>
    <xf numFmtId="0" fontId="9" fillId="52" borderId="124" applyNumberFormat="0" applyFont="0" applyAlignment="0" applyProtection="0"/>
    <xf numFmtId="0" fontId="9" fillId="51" borderId="124" applyNumberFormat="0" applyFont="0" applyAlignment="0" applyProtection="0"/>
    <xf numFmtId="0" fontId="125" fillId="0" borderId="129" applyNumberFormat="0" applyFont="0" applyFill="0" applyAlignment="0" applyProtection="0"/>
    <xf numFmtId="0" fontId="83" fillId="51" borderId="122" applyNumberFormat="0" applyAlignment="0" applyProtection="0"/>
    <xf numFmtId="0" fontId="77" fillId="50" borderId="144" applyNumberFormat="0" applyAlignment="0" applyProtection="0"/>
    <xf numFmtId="0" fontId="77" fillId="50" borderId="123" applyNumberFormat="0" applyAlignment="0" applyProtection="0"/>
    <xf numFmtId="0" fontId="125" fillId="0" borderId="129" applyNumberFormat="0" applyFont="0" applyFill="0" applyAlignment="0" applyProtection="0"/>
    <xf numFmtId="0" fontId="31" fillId="0" borderId="127" applyNumberFormat="0" applyFill="0" applyAlignment="0" applyProtection="0"/>
    <xf numFmtId="10" fontId="29" fillId="57" borderId="141" applyNumberFormat="0" applyBorder="0" applyAlignment="0" applyProtection="0"/>
    <xf numFmtId="3" fontId="70" fillId="0" borderId="127" applyProtection="0"/>
    <xf numFmtId="0" fontId="87" fillId="0" borderId="119" applyNumberFormat="0" applyFill="0" applyAlignment="0" applyProtection="0"/>
    <xf numFmtId="3" fontId="70" fillId="0" borderId="145" applyProtection="0"/>
    <xf numFmtId="0" fontId="76" fillId="49" borderId="122" applyNumberFormat="0" applyAlignment="0" applyProtection="0"/>
    <xf numFmtId="0" fontId="83" fillId="36" borderId="122" applyNumberFormat="0" applyAlignment="0" applyProtection="0"/>
    <xf numFmtId="0" fontId="9" fillId="52" borderId="124" applyNumberFormat="0" applyFont="0" applyAlignment="0" applyProtection="0"/>
    <xf numFmtId="0" fontId="87" fillId="0" borderId="125" applyNumberFormat="0" applyFill="0" applyAlignment="0" applyProtection="0"/>
    <xf numFmtId="3" fontId="70" fillId="0" borderId="145" applyProtection="0"/>
    <xf numFmtId="0" fontId="9" fillId="52" borderId="124" applyNumberFormat="0" applyFont="0" applyAlignment="0" applyProtection="0"/>
    <xf numFmtId="0" fontId="94" fillId="53" borderId="126" applyNumberFormat="0" applyAlignment="0" applyProtection="0"/>
    <xf numFmtId="2" fontId="94" fillId="54" borderId="126" applyProtection="0">
      <alignment horizontal="right"/>
    </xf>
    <xf numFmtId="2" fontId="95" fillId="29" borderId="126" applyProtection="0">
      <alignment horizontal="right"/>
    </xf>
    <xf numFmtId="192" fontId="96" fillId="55" borderId="126" applyProtection="0">
      <alignment horizontal="right"/>
    </xf>
    <xf numFmtId="192" fontId="96" fillId="55" borderId="126" applyProtection="0">
      <alignment horizontal="left"/>
    </xf>
    <xf numFmtId="0" fontId="97" fillId="53" borderId="126" applyNumberFormat="0" applyProtection="0">
      <alignment horizontal="left"/>
    </xf>
    <xf numFmtId="10" fontId="29" fillId="57" borderId="141" applyNumberFormat="0" applyBorder="0" applyAlignment="0" applyProtection="0"/>
    <xf numFmtId="3" fontId="70" fillId="0" borderId="145" applyProtection="0"/>
    <xf numFmtId="3" fontId="44" fillId="0" borderId="120" applyBorder="0"/>
    <xf numFmtId="2" fontId="95" fillId="29" borderId="126" applyProtection="0">
      <alignment horizontal="right"/>
    </xf>
    <xf numFmtId="3" fontId="70" fillId="0" borderId="145" applyProtection="0"/>
    <xf numFmtId="0" fontId="77" fillId="50" borderId="144" applyNumberFormat="0" applyAlignment="0" applyProtection="0"/>
    <xf numFmtId="0" fontId="97" fillId="53" borderId="126" applyNumberFormat="0" applyProtection="0">
      <alignment horizontal="left"/>
    </xf>
    <xf numFmtId="3" fontId="70" fillId="0" borderId="145" applyProtection="0"/>
    <xf numFmtId="0" fontId="41" fillId="0" borderId="140">
      <alignment horizontal="left" vertical="center"/>
    </xf>
    <xf numFmtId="10" fontId="29" fillId="57" borderId="141" applyNumberFormat="0" applyBorder="0" applyAlignment="0" applyProtection="0"/>
    <xf numFmtId="0" fontId="9" fillId="52" borderId="124" applyNumberFormat="0" applyFont="0" applyAlignment="0" applyProtection="0"/>
    <xf numFmtId="0" fontId="71" fillId="0" borderId="140">
      <alignment horizontal="center" wrapText="1"/>
    </xf>
    <xf numFmtId="0" fontId="83" fillId="36" borderId="122" applyNumberFormat="0" applyAlignment="0" applyProtection="0"/>
    <xf numFmtId="0" fontId="87" fillId="0" borderId="119" applyNumberFormat="0" applyFill="0" applyAlignment="0" applyProtection="0"/>
    <xf numFmtId="0" fontId="9" fillId="51" borderId="124" applyNumberFormat="0" applyFont="0" applyAlignment="0" applyProtection="0"/>
    <xf numFmtId="0" fontId="83" fillId="51" borderId="122" applyNumberFormat="0" applyAlignment="0" applyProtection="0"/>
    <xf numFmtId="0" fontId="76" fillId="65" borderId="122" applyNumberFormat="0" applyAlignment="0" applyProtection="0"/>
    <xf numFmtId="0" fontId="77" fillId="50" borderId="144" applyNumberFormat="0" applyAlignment="0" applyProtection="0"/>
    <xf numFmtId="0" fontId="9" fillId="52" borderId="124" applyNumberFormat="0" applyFont="0" applyAlignment="0" applyProtection="0"/>
    <xf numFmtId="3" fontId="70" fillId="0" borderId="145" applyProtection="0"/>
    <xf numFmtId="0" fontId="83" fillId="51" borderId="122" applyNumberFormat="0" applyAlignment="0" applyProtection="0"/>
    <xf numFmtId="0" fontId="83" fillId="51" borderId="122" applyNumberFormat="0" applyAlignment="0" applyProtection="0"/>
    <xf numFmtId="0" fontId="86" fillId="49" borderId="121" applyNumberFormat="0" applyAlignment="0" applyProtection="0"/>
    <xf numFmtId="3" fontId="44" fillId="0" borderId="120" applyBorder="0"/>
    <xf numFmtId="3" fontId="44" fillId="0" borderId="120" applyBorder="0"/>
    <xf numFmtId="0" fontId="9" fillId="52" borderId="124" applyNumberFormat="0" applyFont="0" applyAlignment="0" applyProtection="0"/>
    <xf numFmtId="0" fontId="31" fillId="0" borderId="145" applyNumberFormat="0" applyFill="0" applyAlignment="0" applyProtection="0"/>
    <xf numFmtId="0" fontId="125" fillId="0" borderId="129" applyNumberFormat="0" applyFont="0" applyFill="0" applyAlignment="0" applyProtection="0"/>
    <xf numFmtId="3" fontId="44" fillId="0" borderId="120" applyBorder="0"/>
    <xf numFmtId="0" fontId="125" fillId="0" borderId="129" applyNumberFormat="0" applyFont="0" applyFill="0" applyAlignment="0" applyProtection="0"/>
    <xf numFmtId="0" fontId="97" fillId="53" borderId="126" applyNumberFormat="0" applyProtection="0">
      <alignment horizontal="left"/>
    </xf>
    <xf numFmtId="3" fontId="70" fillId="0" borderId="143" applyProtection="0"/>
    <xf numFmtId="0" fontId="83" fillId="36" borderId="122" applyNumberFormat="0" applyAlignment="0" applyProtection="0"/>
    <xf numFmtId="0" fontId="87" fillId="0" borderId="119" applyNumberFormat="0" applyFill="0" applyAlignment="0" applyProtection="0"/>
    <xf numFmtId="0" fontId="9" fillId="51" borderId="124" applyNumberFormat="0" applyFont="0" applyAlignment="0" applyProtection="0"/>
    <xf numFmtId="0" fontId="125" fillId="0" borderId="129" applyNumberFormat="0" applyFont="0" applyFill="0" applyAlignment="0" applyProtection="0"/>
    <xf numFmtId="0" fontId="86" fillId="49" borderId="121" applyNumberFormat="0" applyAlignment="0" applyProtection="0"/>
    <xf numFmtId="0" fontId="87" fillId="0" borderId="119" applyNumberFormat="0" applyFill="0" applyAlignment="0" applyProtection="0"/>
    <xf numFmtId="0" fontId="9" fillId="51" borderId="124" applyNumberFormat="0" applyFont="0" applyAlignment="0" applyProtection="0"/>
    <xf numFmtId="2" fontId="95" fillId="29" borderId="126" applyProtection="0">
      <alignment horizontal="right"/>
    </xf>
    <xf numFmtId="0" fontId="87" fillId="0" borderId="119" applyNumberFormat="0" applyFill="0" applyAlignment="0" applyProtection="0"/>
    <xf numFmtId="0" fontId="31" fillId="0" borderId="127" applyNumberFormat="0" applyFill="0" applyAlignment="0" applyProtection="0"/>
    <xf numFmtId="0" fontId="77" fillId="50" borderId="123" applyNumberFormat="0" applyAlignment="0" applyProtection="0"/>
    <xf numFmtId="3" fontId="70" fillId="0" borderId="127" applyProtection="0"/>
    <xf numFmtId="0" fontId="86" fillId="65" borderId="121" applyNumberFormat="0" applyAlignment="0" applyProtection="0"/>
    <xf numFmtId="3" fontId="70" fillId="0" borderId="145" applyProtection="0"/>
    <xf numFmtId="2" fontId="95" fillId="29" borderId="126" applyProtection="0">
      <alignment horizontal="right"/>
    </xf>
    <xf numFmtId="0" fontId="71" fillId="0" borderId="140">
      <alignment horizontal="center" wrapText="1"/>
    </xf>
    <xf numFmtId="0" fontId="83" fillId="51" borderId="122" applyNumberFormat="0" applyAlignment="0" applyProtection="0"/>
    <xf numFmtId="0" fontId="31" fillId="0" borderId="145" applyNumberFormat="0" applyFill="0" applyAlignment="0" applyProtection="0"/>
    <xf numFmtId="0" fontId="94" fillId="53" borderId="126" applyNumberFormat="0" applyAlignment="0" applyProtection="0"/>
    <xf numFmtId="3" fontId="70" fillId="0" borderId="145" applyProtection="0"/>
    <xf numFmtId="0" fontId="86" fillId="49" borderId="121" applyNumberFormat="0" applyAlignment="0" applyProtection="0"/>
    <xf numFmtId="0" fontId="41" fillId="0" borderId="140">
      <alignment horizontal="left" vertical="center"/>
    </xf>
    <xf numFmtId="0" fontId="77" fillId="50" borderId="144" applyNumberFormat="0" applyAlignment="0" applyProtection="0"/>
    <xf numFmtId="0" fontId="77" fillId="50" borderId="144" applyNumberFormat="0" applyAlignment="0" applyProtection="0"/>
    <xf numFmtId="0" fontId="125" fillId="0" borderId="129" applyNumberFormat="0" applyFont="0" applyFill="0" applyAlignment="0" applyProtection="0"/>
    <xf numFmtId="0" fontId="31" fillId="0" borderId="127" applyNumberFormat="0" applyFill="0" applyAlignment="0" applyProtection="0"/>
    <xf numFmtId="0" fontId="77" fillId="50" borderId="123" applyNumberFormat="0" applyAlignment="0" applyProtection="0"/>
    <xf numFmtId="3" fontId="70" fillId="0" borderId="127" applyProtection="0"/>
    <xf numFmtId="0" fontId="9" fillId="52" borderId="124" applyNumberFormat="0" applyFont="0" applyAlignment="0" applyProtection="0"/>
    <xf numFmtId="0" fontId="87" fillId="0" borderId="125" applyNumberFormat="0" applyFill="0" applyAlignment="0" applyProtection="0"/>
    <xf numFmtId="3" fontId="70" fillId="0" borderId="145" applyProtection="0"/>
    <xf numFmtId="10" fontId="29" fillId="57" borderId="141" applyNumberFormat="0" applyBorder="0" applyAlignment="0" applyProtection="0"/>
    <xf numFmtId="3" fontId="44" fillId="0" borderId="120" applyBorder="0"/>
    <xf numFmtId="0" fontId="9" fillId="51" borderId="124" applyNumberFormat="0" applyFont="0" applyAlignment="0" applyProtection="0"/>
    <xf numFmtId="0" fontId="125" fillId="0" borderId="129" applyNumberFormat="0" applyFont="0" applyFill="0" applyAlignment="0" applyProtection="0"/>
    <xf numFmtId="0" fontId="77" fillId="50" borderId="123" applyNumberFormat="0" applyAlignment="0" applyProtection="0"/>
    <xf numFmtId="0" fontId="83" fillId="51" borderId="122" applyNumberFormat="0" applyAlignment="0" applyProtection="0"/>
    <xf numFmtId="0" fontId="9" fillId="51" borderId="124" applyNumberFormat="0" applyFont="0" applyAlignment="0" applyProtection="0"/>
    <xf numFmtId="0" fontId="87" fillId="0" borderId="125" applyNumberFormat="0" applyFill="0" applyAlignment="0" applyProtection="0"/>
    <xf numFmtId="0" fontId="31" fillId="0" borderId="145" applyNumberFormat="0" applyFill="0" applyAlignment="0" applyProtection="0"/>
    <xf numFmtId="0" fontId="76" fillId="65" borderId="122" applyNumberFormat="0" applyAlignment="0" applyProtection="0"/>
    <xf numFmtId="3" fontId="70" fillId="0" borderId="145" applyProtection="0"/>
    <xf numFmtId="0" fontId="31" fillId="0" borderId="145" applyNumberFormat="0" applyFill="0" applyAlignment="0" applyProtection="0"/>
    <xf numFmtId="0" fontId="97" fillId="53" borderId="126" applyNumberFormat="0" applyProtection="0">
      <alignment horizontal="left"/>
    </xf>
    <xf numFmtId="0" fontId="9" fillId="51" borderId="124" applyNumberFormat="0" applyFont="0" applyAlignment="0" applyProtection="0"/>
    <xf numFmtId="0" fontId="125" fillId="0" borderId="129" applyNumberFormat="0" applyFont="0" applyFill="0" applyAlignment="0" applyProtection="0"/>
    <xf numFmtId="0" fontId="31" fillId="0" borderId="127" applyNumberFormat="0" applyFill="0" applyAlignment="0" applyProtection="0"/>
    <xf numFmtId="3" fontId="70" fillId="0" borderId="127" applyProtection="0"/>
    <xf numFmtId="0" fontId="76" fillId="49" borderId="122" applyNumberFormat="0" applyAlignment="0" applyProtection="0"/>
    <xf numFmtId="0" fontId="83" fillId="51" borderId="122" applyNumberFormat="0" applyAlignment="0" applyProtection="0"/>
    <xf numFmtId="0" fontId="97" fillId="53" borderId="126" applyNumberFormat="0" applyProtection="0">
      <alignment horizontal="left"/>
    </xf>
    <xf numFmtId="0" fontId="77" fillId="50" borderId="123" applyNumberFormat="0" applyAlignment="0" applyProtection="0"/>
    <xf numFmtId="0" fontId="125" fillId="0" borderId="129" applyNumberFormat="0" applyFont="0" applyFill="0" applyAlignment="0" applyProtection="0"/>
    <xf numFmtId="0" fontId="41" fillId="0" borderId="140">
      <alignment horizontal="left" vertical="center"/>
    </xf>
    <xf numFmtId="0" fontId="31" fillId="0" borderId="127" applyNumberFormat="0" applyFill="0" applyAlignment="0" applyProtection="0"/>
    <xf numFmtId="3" fontId="70" fillId="0" borderId="127" applyProtection="0"/>
    <xf numFmtId="0" fontId="71" fillId="0" borderId="140">
      <alignment horizontal="center" wrapText="1"/>
    </xf>
    <xf numFmtId="0" fontId="77" fillId="50" borderId="144" applyNumberFormat="0" applyAlignment="0" applyProtection="0"/>
    <xf numFmtId="3" fontId="44" fillId="0" borderId="120" applyBorder="0"/>
    <xf numFmtId="0" fontId="86" fillId="65" borderId="121" applyNumberFormat="0" applyAlignment="0" applyProtection="0"/>
    <xf numFmtId="0" fontId="77" fillId="50" borderId="142" applyNumberFormat="0" applyAlignment="0" applyProtection="0"/>
    <xf numFmtId="0" fontId="125" fillId="0" borderId="129" applyNumberFormat="0" applyFont="0" applyFill="0" applyAlignment="0" applyProtection="0"/>
    <xf numFmtId="0" fontId="31" fillId="0" borderId="143" applyNumberFormat="0" applyFill="0" applyAlignment="0" applyProtection="0"/>
    <xf numFmtId="3" fontId="70" fillId="0" borderId="143" applyProtection="0"/>
    <xf numFmtId="0" fontId="41" fillId="0" borderId="140">
      <alignment horizontal="left" vertical="center"/>
    </xf>
    <xf numFmtId="10" fontId="29" fillId="57" borderId="141" applyNumberFormat="0" applyBorder="0" applyAlignment="0" applyProtection="0"/>
    <xf numFmtId="0" fontId="125" fillId="0" borderId="129" applyNumberFormat="0" applyFont="0" applyFill="0" applyAlignment="0" applyProtection="0"/>
    <xf numFmtId="0" fontId="87" fillId="0" borderId="119" applyNumberFormat="0" applyFill="0" applyAlignment="0" applyProtection="0"/>
    <xf numFmtId="0" fontId="31" fillId="0" borderId="145" applyNumberFormat="0" applyFill="0" applyAlignment="0" applyProtection="0"/>
    <xf numFmtId="0" fontId="125" fillId="0" borderId="129" applyNumberFormat="0" applyFont="0" applyFill="0" applyAlignment="0" applyProtection="0"/>
    <xf numFmtId="0" fontId="9" fillId="51" borderId="124" applyNumberFormat="0" applyFont="0" applyAlignment="0" applyProtection="0"/>
    <xf numFmtId="0" fontId="9" fillId="51" borderId="124" applyNumberFormat="0" applyFont="0" applyAlignment="0" applyProtection="0"/>
    <xf numFmtId="0" fontId="9" fillId="51" borderId="124" applyNumberFormat="0" applyFont="0" applyAlignment="0" applyProtection="0"/>
    <xf numFmtId="0" fontId="87" fillId="0" borderId="125" applyNumberFormat="0" applyFill="0" applyAlignment="0" applyProtection="0"/>
    <xf numFmtId="0" fontId="9" fillId="52" borderId="124" applyNumberFormat="0" applyFont="0" applyAlignment="0" applyProtection="0"/>
    <xf numFmtId="3" fontId="44" fillId="0" borderId="120" applyBorder="0"/>
    <xf numFmtId="3" fontId="44" fillId="0" borderId="120" applyBorder="0"/>
    <xf numFmtId="2" fontId="95" fillId="29" borderId="126" applyProtection="0">
      <alignment horizontal="right"/>
    </xf>
    <xf numFmtId="0" fontId="83" fillId="51" borderId="122" applyNumberFormat="0" applyAlignment="0" applyProtection="0"/>
    <xf numFmtId="10" fontId="29" fillId="57" borderId="141" applyNumberFormat="0" applyBorder="0" applyAlignment="0" applyProtection="0"/>
    <xf numFmtId="0" fontId="94" fillId="53" borderId="126" applyNumberFormat="0" applyAlignment="0" applyProtection="0"/>
    <xf numFmtId="3" fontId="44" fillId="0" borderId="120" applyBorder="0"/>
    <xf numFmtId="3" fontId="44" fillId="0" borderId="120" applyBorder="0"/>
    <xf numFmtId="0" fontId="76" fillId="49" borderId="122" applyNumberFormat="0" applyAlignment="0" applyProtection="0"/>
    <xf numFmtId="0" fontId="83" fillId="51" borderId="122" applyNumberFormat="0" applyAlignment="0" applyProtection="0"/>
    <xf numFmtId="0" fontId="31" fillId="0" borderId="145" applyNumberFormat="0" applyFill="0" applyAlignment="0" applyProtection="0"/>
    <xf numFmtId="192" fontId="96" fillId="55" borderId="126" applyProtection="0">
      <alignment horizontal="right"/>
    </xf>
    <xf numFmtId="0" fontId="125" fillId="0" borderId="129" applyNumberFormat="0" applyFont="0" applyFill="0" applyAlignment="0" applyProtection="0"/>
    <xf numFmtId="10" fontId="29" fillId="57" borderId="141" applyNumberFormat="0" applyBorder="0" applyAlignment="0" applyProtection="0"/>
    <xf numFmtId="3" fontId="44" fillId="0" borderId="120" applyBorder="0"/>
    <xf numFmtId="0" fontId="83" fillId="51" borderId="122" applyNumberFormat="0" applyAlignment="0" applyProtection="0"/>
    <xf numFmtId="192" fontId="96" fillId="55" borderId="126" applyProtection="0">
      <alignment horizontal="left"/>
    </xf>
    <xf numFmtId="0" fontId="31" fillId="0" borderId="143" applyNumberFormat="0" applyFill="0" applyAlignment="0" applyProtection="0"/>
    <xf numFmtId="0" fontId="77" fillId="50" borderId="142" applyNumberFormat="0" applyAlignment="0" applyProtection="0"/>
    <xf numFmtId="3" fontId="70" fillId="0" borderId="143" applyProtection="0"/>
    <xf numFmtId="0" fontId="87" fillId="0" borderId="125" applyNumberFormat="0" applyFill="0" applyAlignment="0" applyProtection="0"/>
    <xf numFmtId="0" fontId="9" fillId="52" borderId="124" applyNumberFormat="0" applyFont="0" applyAlignment="0" applyProtection="0"/>
    <xf numFmtId="0" fontId="77" fillId="50" borderId="144" applyNumberFormat="0" applyAlignment="0" applyProtection="0"/>
    <xf numFmtId="0" fontId="76" fillId="65" borderId="122" applyNumberFormat="0" applyAlignment="0" applyProtection="0"/>
    <xf numFmtId="192" fontId="96" fillId="55" borderId="126" applyProtection="0">
      <alignment horizontal="left"/>
    </xf>
    <xf numFmtId="0" fontId="83" fillId="36" borderId="122" applyNumberFormat="0" applyAlignment="0" applyProtection="0"/>
    <xf numFmtId="0" fontId="125" fillId="0" borderId="129" applyNumberFormat="0" applyFont="0" applyFill="0" applyAlignment="0" applyProtection="0"/>
    <xf numFmtId="0" fontId="31" fillId="0" borderId="143" applyNumberFormat="0" applyFill="0" applyAlignment="0" applyProtection="0"/>
    <xf numFmtId="0" fontId="77" fillId="50" borderId="142" applyNumberFormat="0" applyAlignment="0" applyProtection="0"/>
    <xf numFmtId="3" fontId="70" fillId="0" borderId="143" applyProtection="0"/>
    <xf numFmtId="3" fontId="44" fillId="0" borderId="120" applyBorder="0"/>
    <xf numFmtId="0" fontId="86" fillId="49" borderId="121" applyNumberFormat="0" applyAlignment="0" applyProtection="0"/>
    <xf numFmtId="0" fontId="31" fillId="0" borderId="145" applyNumberFormat="0" applyFill="0" applyAlignment="0" applyProtection="0"/>
    <xf numFmtId="2" fontId="94" fillId="54" borderId="126" applyProtection="0">
      <alignment horizontal="right"/>
    </xf>
    <xf numFmtId="0" fontId="125" fillId="0" borderId="129" applyNumberFormat="0" applyFont="0" applyFill="0" applyAlignment="0" applyProtection="0"/>
    <xf numFmtId="0" fontId="125" fillId="0" borderId="129" applyNumberFormat="0" applyFont="0" applyFill="0" applyAlignment="0" applyProtection="0"/>
    <xf numFmtId="0" fontId="77" fillId="50" borderId="142" applyNumberFormat="0" applyAlignment="0" applyProtection="0"/>
    <xf numFmtId="10" fontId="29" fillId="57" borderId="141" applyNumberFormat="0" applyBorder="0" applyAlignment="0" applyProtection="0"/>
    <xf numFmtId="3" fontId="70" fillId="0" borderId="145" applyProtection="0"/>
    <xf numFmtId="0" fontId="83" fillId="36" borderId="122" applyNumberFormat="0" applyAlignment="0" applyProtection="0"/>
    <xf numFmtId="0" fontId="83" fillId="51" borderId="122" applyNumberFormat="0" applyAlignment="0" applyProtection="0"/>
    <xf numFmtId="3" fontId="44" fillId="0" borderId="120" applyBorder="0"/>
    <xf numFmtId="0" fontId="125" fillId="0" borderId="129" applyNumberFormat="0" applyFont="0" applyFill="0" applyAlignment="0" applyProtection="0"/>
    <xf numFmtId="3" fontId="70" fillId="0" borderId="145" applyProtection="0"/>
    <xf numFmtId="0" fontId="31" fillId="0" borderId="145" applyNumberFormat="0" applyFill="0" applyAlignment="0" applyProtection="0"/>
    <xf numFmtId="0" fontId="125" fillId="0" borderId="129" applyNumberFormat="0" applyFont="0" applyFill="0" applyAlignment="0" applyProtection="0"/>
    <xf numFmtId="0" fontId="31" fillId="0" borderId="143" applyNumberFormat="0" applyFill="0" applyAlignment="0" applyProtection="0"/>
    <xf numFmtId="3" fontId="70" fillId="0" borderId="143" applyProtection="0"/>
    <xf numFmtId="0" fontId="86" fillId="49" borderId="121" applyNumberFormat="0" applyAlignment="0" applyProtection="0"/>
    <xf numFmtId="0" fontId="9" fillId="51" borderId="124" applyNumberFormat="0" applyFont="0" applyAlignment="0" applyProtection="0"/>
    <xf numFmtId="0" fontId="125" fillId="0" borderId="129" applyNumberFormat="0" applyFont="0" applyFill="0" applyAlignment="0" applyProtection="0"/>
    <xf numFmtId="2" fontId="95" fillId="29" borderId="126" applyProtection="0">
      <alignment horizontal="right"/>
    </xf>
    <xf numFmtId="0" fontId="31" fillId="0" borderId="145" applyNumberFormat="0" applyFill="0" applyAlignment="0" applyProtection="0"/>
    <xf numFmtId="0" fontId="77" fillId="50" borderId="142" applyNumberFormat="0" applyAlignment="0" applyProtection="0"/>
    <xf numFmtId="0" fontId="125" fillId="0" borderId="129" applyNumberFormat="0" applyFont="0" applyFill="0" applyAlignment="0" applyProtection="0"/>
    <xf numFmtId="0" fontId="31" fillId="0" borderId="143" applyNumberFormat="0" applyFill="0" applyAlignment="0" applyProtection="0"/>
    <xf numFmtId="3" fontId="70" fillId="0" borderId="143" applyProtection="0"/>
    <xf numFmtId="0" fontId="86" fillId="49" borderId="121" applyNumberFormat="0" applyAlignment="0" applyProtection="0"/>
    <xf numFmtId="0" fontId="83" fillId="51" borderId="122" applyNumberFormat="0" applyAlignment="0" applyProtection="0"/>
    <xf numFmtId="3" fontId="70" fillId="0" borderId="145" applyProtection="0"/>
    <xf numFmtId="0" fontId="125" fillId="0" borderId="129" applyNumberFormat="0" applyFont="0" applyFill="0" applyAlignment="0" applyProtection="0"/>
    <xf numFmtId="0" fontId="31" fillId="0" borderId="145" applyNumberFormat="0" applyFill="0" applyAlignment="0" applyProtection="0"/>
    <xf numFmtId="0" fontId="77" fillId="50" borderId="144" applyNumberFormat="0" applyAlignment="0" applyProtection="0"/>
    <xf numFmtId="3" fontId="70" fillId="0" borderId="145" applyProtection="0"/>
    <xf numFmtId="3" fontId="70" fillId="0" borderId="145" applyProtection="0"/>
    <xf numFmtId="0" fontId="125" fillId="0" borderId="129" applyNumberFormat="0" applyFont="0" applyFill="0" applyAlignment="0" applyProtection="0"/>
    <xf numFmtId="0" fontId="77" fillId="50" borderId="144" applyNumberFormat="0" applyAlignment="0" applyProtection="0"/>
    <xf numFmtId="3" fontId="44" fillId="0" borderId="120" applyBorder="0"/>
    <xf numFmtId="0" fontId="77" fillId="50" borderId="144" applyNumberFormat="0" applyAlignment="0" applyProtection="0"/>
    <xf numFmtId="0" fontId="125" fillId="0" borderId="129" applyNumberFormat="0" applyFont="0" applyFill="0" applyAlignment="0" applyProtection="0"/>
    <xf numFmtId="0" fontId="31" fillId="0" borderId="145" applyNumberFormat="0" applyFill="0" applyAlignment="0" applyProtection="0"/>
    <xf numFmtId="3" fontId="70" fillId="0" borderId="145" applyProtection="0"/>
    <xf numFmtId="192" fontId="96" fillId="55" borderId="126" applyProtection="0">
      <alignment horizontal="left"/>
    </xf>
    <xf numFmtId="0" fontId="83" fillId="36" borderId="122" applyNumberFormat="0" applyAlignment="0" applyProtection="0"/>
    <xf numFmtId="0" fontId="77" fillId="50" borderId="144" applyNumberFormat="0" applyAlignment="0" applyProtection="0"/>
    <xf numFmtId="0" fontId="125" fillId="0" borderId="129" applyNumberFormat="0" applyFont="0" applyFill="0" applyAlignment="0" applyProtection="0"/>
    <xf numFmtId="0" fontId="41" fillId="0" borderId="140">
      <alignment horizontal="left" vertical="center"/>
    </xf>
    <xf numFmtId="0" fontId="31" fillId="0" borderId="145" applyNumberFormat="0" applyFill="0" applyAlignment="0" applyProtection="0"/>
    <xf numFmtId="3" fontId="70" fillId="0" borderId="145" applyProtection="0"/>
    <xf numFmtId="0" fontId="71" fillId="0" borderId="140">
      <alignment horizontal="center" wrapText="1"/>
    </xf>
    <xf numFmtId="0" fontId="71" fillId="0" borderId="140">
      <alignment horizontal="center" wrapText="1"/>
    </xf>
    <xf numFmtId="0" fontId="87" fillId="0" borderId="119" applyNumberFormat="0" applyFill="0" applyAlignment="0" applyProtection="0"/>
    <xf numFmtId="0" fontId="9" fillId="51" borderId="124" applyNumberFormat="0" applyFont="0" applyAlignment="0" applyProtection="0"/>
    <xf numFmtId="0" fontId="83" fillId="51" borderId="122" applyNumberFormat="0" applyAlignment="0" applyProtection="0"/>
    <xf numFmtId="0" fontId="76" fillId="65" borderId="122" applyNumberFormat="0" applyAlignment="0" applyProtection="0"/>
    <xf numFmtId="0" fontId="31" fillId="0" borderId="145" applyNumberFormat="0" applyFill="0" applyAlignment="0" applyProtection="0"/>
    <xf numFmtId="0" fontId="83" fillId="51" borderId="122" applyNumberFormat="0" applyAlignment="0" applyProtection="0"/>
    <xf numFmtId="0" fontId="83" fillId="51" borderId="122" applyNumberFormat="0" applyAlignment="0" applyProtection="0"/>
    <xf numFmtId="0" fontId="86" fillId="49" borderId="121" applyNumberFormat="0" applyAlignment="0" applyProtection="0"/>
    <xf numFmtId="3" fontId="44" fillId="0" borderId="120" applyBorder="0"/>
    <xf numFmtId="3" fontId="44" fillId="0" borderId="120" applyBorder="0"/>
    <xf numFmtId="0" fontId="71" fillId="0" borderId="140">
      <alignment horizontal="center" wrapText="1"/>
    </xf>
    <xf numFmtId="3" fontId="44" fillId="0" borderId="120" applyBorder="0"/>
    <xf numFmtId="0" fontId="9" fillId="51" borderId="124" applyNumberFormat="0" applyFont="0" applyAlignment="0" applyProtection="0"/>
    <xf numFmtId="0" fontId="31" fillId="0" borderId="145" applyNumberFormat="0" applyFill="0" applyAlignment="0" applyProtection="0"/>
    <xf numFmtId="0" fontId="77" fillId="50" borderId="144" applyNumberFormat="0" applyAlignment="0" applyProtection="0"/>
    <xf numFmtId="3" fontId="70" fillId="0" borderId="145" applyProtection="0"/>
    <xf numFmtId="0" fontId="41" fillId="0" borderId="140">
      <alignment horizontal="left" vertical="center"/>
    </xf>
    <xf numFmtId="0" fontId="125" fillId="0" borderId="129" applyNumberFormat="0" applyFont="0" applyFill="0" applyAlignment="0" applyProtection="0"/>
    <xf numFmtId="0" fontId="31" fillId="0" borderId="145" applyNumberFormat="0" applyFill="0" applyAlignment="0" applyProtection="0"/>
    <xf numFmtId="0" fontId="77" fillId="50" borderId="144" applyNumberFormat="0" applyAlignment="0" applyProtection="0"/>
    <xf numFmtId="3" fontId="70" fillId="0" borderId="145" applyProtection="0"/>
    <xf numFmtId="0" fontId="86" fillId="49" borderId="121" applyNumberFormat="0" applyAlignment="0" applyProtection="0"/>
    <xf numFmtId="0" fontId="77" fillId="50" borderId="144" applyNumberFormat="0" applyAlignment="0" applyProtection="0"/>
    <xf numFmtId="0" fontId="125" fillId="0" borderId="129" applyNumberFormat="0" applyFont="0" applyFill="0" applyAlignment="0" applyProtection="0"/>
    <xf numFmtId="0" fontId="77" fillId="50" borderId="144" applyNumberFormat="0" applyAlignment="0" applyProtection="0"/>
    <xf numFmtId="0" fontId="71" fillId="0" borderId="140">
      <alignment horizontal="center" wrapText="1"/>
    </xf>
    <xf numFmtId="0" fontId="41" fillId="0" borderId="140">
      <alignment horizontal="left" vertical="center"/>
    </xf>
    <xf numFmtId="0" fontId="125" fillId="0" borderId="129" applyNumberFormat="0" applyFont="0" applyFill="0" applyAlignment="0" applyProtection="0"/>
    <xf numFmtId="0" fontId="31" fillId="0" borderId="145" applyNumberFormat="0" applyFill="0" applyAlignment="0" applyProtection="0"/>
    <xf numFmtId="3" fontId="70" fillId="0" borderId="145" applyProtection="0"/>
    <xf numFmtId="0" fontId="31" fillId="0" borderId="145" applyNumberFormat="0" applyFill="0" applyAlignment="0" applyProtection="0"/>
    <xf numFmtId="0" fontId="77" fillId="50" borderId="144" applyNumberFormat="0" applyAlignment="0" applyProtection="0"/>
    <xf numFmtId="0" fontId="125" fillId="0" borderId="129" applyNumberFormat="0" applyFont="0" applyFill="0" applyAlignment="0" applyProtection="0"/>
    <xf numFmtId="0" fontId="41" fillId="0" borderId="140">
      <alignment horizontal="left" vertical="center"/>
    </xf>
    <xf numFmtId="0" fontId="31" fillId="0" borderId="145" applyNumberFormat="0" applyFill="0" applyAlignment="0" applyProtection="0"/>
    <xf numFmtId="3" fontId="70" fillId="0" borderId="145" applyProtection="0"/>
    <xf numFmtId="0" fontId="71" fillId="0" borderId="140">
      <alignment horizontal="center" wrapText="1"/>
    </xf>
    <xf numFmtId="0" fontId="31" fillId="0" borderId="145" applyNumberFormat="0" applyFill="0" applyAlignment="0" applyProtection="0"/>
    <xf numFmtId="0" fontId="77" fillId="50" borderId="144" applyNumberFormat="0" applyAlignment="0" applyProtection="0"/>
    <xf numFmtId="3" fontId="70" fillId="0" borderId="145" applyProtection="0"/>
    <xf numFmtId="0" fontId="31" fillId="0" borderId="145" applyNumberFormat="0" applyFill="0" applyAlignment="0" applyProtection="0"/>
    <xf numFmtId="0" fontId="77" fillId="50" borderId="144" applyNumberFormat="0" applyAlignment="0" applyProtection="0"/>
    <xf numFmtId="3" fontId="70" fillId="0" borderId="145" applyProtection="0"/>
    <xf numFmtId="0" fontId="77" fillId="50" borderId="144" applyNumberFormat="0" applyAlignment="0" applyProtection="0"/>
    <xf numFmtId="0" fontId="31" fillId="0" borderId="145" applyNumberFormat="0" applyFill="0" applyAlignment="0" applyProtection="0"/>
    <xf numFmtId="3" fontId="70" fillId="0" borderId="145" applyProtection="0"/>
    <xf numFmtId="0" fontId="77" fillId="50" borderId="144" applyNumberFormat="0" applyAlignment="0" applyProtection="0"/>
    <xf numFmtId="0" fontId="41" fillId="0" borderId="140">
      <alignment horizontal="left" vertical="center"/>
    </xf>
    <xf numFmtId="0" fontId="31" fillId="0" borderId="145" applyNumberFormat="0" applyFill="0" applyAlignment="0" applyProtection="0"/>
    <xf numFmtId="3" fontId="70" fillId="0" borderId="145" applyProtection="0"/>
    <xf numFmtId="0" fontId="71" fillId="0" borderId="140">
      <alignment horizontal="center" wrapText="1"/>
    </xf>
    <xf numFmtId="0" fontId="32" fillId="0" borderId="0" applyNumberFormat="0" applyFill="0" applyBorder="0" applyAlignment="0" applyProtection="0">
      <alignment vertical="top"/>
      <protection locked="0"/>
    </xf>
    <xf numFmtId="3" fontId="44" fillId="0" borderId="0"/>
    <xf numFmtId="0" fontId="4" fillId="0" borderId="0"/>
    <xf numFmtId="0" fontId="4" fillId="0" borderId="0"/>
    <xf numFmtId="11" fontId="38" fillId="0" borderId="0" applyNumberFormat="0" applyFill="0" applyBorder="0" applyAlignment="0" applyProtection="0"/>
    <xf numFmtId="44" fontId="9" fillId="0" borderId="0" applyFont="0" applyFill="0" applyBorder="0" applyAlignment="0" applyProtection="0"/>
    <xf numFmtId="0" fontId="3" fillId="0" borderId="0"/>
    <xf numFmtId="0" fontId="2" fillId="0" borderId="0"/>
    <xf numFmtId="0" fontId="1" fillId="0" borderId="0"/>
    <xf numFmtId="0" fontId="69" fillId="0" borderId="0"/>
  </cellStyleXfs>
  <cellXfs count="2191">
    <xf numFmtId="0" fontId="0" fillId="0" borderId="0" xfId="0"/>
    <xf numFmtId="0" fontId="9" fillId="25" borderId="0" xfId="45" applyFill="1"/>
    <xf numFmtId="0" fontId="29" fillId="25" borderId="16" xfId="46" applyFont="1" applyFill="1" applyBorder="1"/>
    <xf numFmtId="0" fontId="29" fillId="25" borderId="14" xfId="46" applyFont="1" applyFill="1" applyBorder="1"/>
    <xf numFmtId="0" fontId="29" fillId="25" borderId="17" xfId="46" applyFont="1" applyFill="1" applyBorder="1"/>
    <xf numFmtId="0" fontId="29" fillId="25" borderId="20" xfId="46" applyFont="1" applyFill="1" applyBorder="1"/>
    <xf numFmtId="172" fontId="9" fillId="0" borderId="16" xfId="44" applyNumberFormat="1" applyFont="1" applyBorder="1"/>
    <xf numFmtId="0" fontId="29" fillId="25" borderId="0" xfId="46" applyFont="1" applyFill="1"/>
    <xf numFmtId="0" fontId="9" fillId="25" borderId="0" xfId="75" applyFill="1"/>
    <xf numFmtId="0" fontId="42" fillId="25" borderId="0" xfId="46" applyFont="1" applyFill="1"/>
    <xf numFmtId="0" fontId="9" fillId="25" borderId="128" xfId="45" applyFill="1" applyBorder="1"/>
    <xf numFmtId="0" fontId="40" fillId="25" borderId="128" xfId="70" applyFont="1" applyFill="1" applyBorder="1" applyAlignment="1">
      <alignment horizontal="left"/>
    </xf>
    <xf numFmtId="0" fontId="28" fillId="25" borderId="128" xfId="45" applyFont="1" applyFill="1" applyBorder="1"/>
    <xf numFmtId="167" fontId="9" fillId="25" borderId="128" xfId="53" applyNumberFormat="1" applyFont="1" applyFill="1" applyBorder="1"/>
    <xf numFmtId="0" fontId="9" fillId="25" borderId="0" xfId="452" applyFill="1" applyAlignment="1">
      <alignment vertical="center"/>
    </xf>
    <xf numFmtId="173" fontId="56" fillId="25" borderId="0" xfId="452" applyNumberFormat="1" applyFont="1" applyFill="1" applyAlignment="1">
      <alignment horizontal="left" vertical="center"/>
    </xf>
    <xf numFmtId="0" fontId="48" fillId="25" borderId="0" xfId="452" applyFont="1" applyFill="1" applyAlignment="1">
      <alignment vertical="center"/>
    </xf>
    <xf numFmtId="173" fontId="57" fillId="25" borderId="0" xfId="3375" applyNumberFormat="1" applyFont="1" applyFill="1" applyBorder="1" applyAlignment="1" applyProtection="1">
      <alignment horizontal="left" vertical="center"/>
    </xf>
    <xf numFmtId="173" fontId="51" fillId="25" borderId="0" xfId="452" quotePrefix="1" applyNumberFormat="1" applyFont="1" applyFill="1" applyAlignment="1">
      <alignment horizontal="left" vertical="center"/>
    </xf>
    <xf numFmtId="0" fontId="52" fillId="25" borderId="0" xfId="452" applyFont="1" applyFill="1" applyAlignment="1">
      <alignment vertical="center"/>
    </xf>
    <xf numFmtId="173" fontId="159" fillId="25" borderId="0" xfId="452" applyNumberFormat="1" applyFont="1" applyFill="1" applyAlignment="1">
      <alignment horizontal="left" vertical="center"/>
    </xf>
    <xf numFmtId="173" fontId="45" fillId="25" borderId="0" xfId="65" applyNumberFormat="1" applyFont="1" applyFill="1" applyAlignment="1">
      <alignment horizontal="left"/>
    </xf>
    <xf numFmtId="0" fontId="28" fillId="25" borderId="0" xfId="45" applyFont="1" applyFill="1"/>
    <xf numFmtId="167" fontId="42" fillId="25" borderId="0" xfId="53" applyNumberFormat="1" applyFont="1" applyFill="1" applyBorder="1" applyAlignment="1">
      <alignment vertical="center"/>
    </xf>
    <xf numFmtId="0" fontId="42" fillId="25" borderId="0" xfId="45" applyFont="1" applyFill="1" applyAlignment="1">
      <alignment horizontal="center" vertical="center"/>
    </xf>
    <xf numFmtId="14" fontId="29" fillId="25" borderId="0" xfId="45" applyNumberFormat="1" applyFont="1" applyFill="1" applyAlignment="1">
      <alignment horizontal="center" vertical="center"/>
    </xf>
    <xf numFmtId="167" fontId="9" fillId="25" borderId="0" xfId="53" applyNumberFormat="1" applyFont="1" applyFill="1" applyBorder="1"/>
    <xf numFmtId="0" fontId="160" fillId="30" borderId="150" xfId="105" applyFont="1" applyFill="1" applyBorder="1"/>
    <xf numFmtId="0" fontId="160" fillId="30" borderId="21" xfId="105" applyFont="1" applyFill="1" applyBorder="1" applyAlignment="1">
      <alignment horizontal="center"/>
    </xf>
    <xf numFmtId="0" fontId="160" fillId="30" borderId="19" xfId="105" applyFont="1" applyFill="1" applyBorder="1" applyAlignment="1">
      <alignment horizontal="center"/>
    </xf>
    <xf numFmtId="0" fontId="160" fillId="30" borderId="48" xfId="105" applyFont="1" applyFill="1" applyBorder="1" applyAlignment="1">
      <alignment horizontal="center"/>
    </xf>
    <xf numFmtId="0" fontId="160" fillId="30" borderId="152" xfId="105" applyFont="1" applyFill="1" applyBorder="1"/>
    <xf numFmtId="0" fontId="160" fillId="30" borderId="17" xfId="105" applyFont="1" applyFill="1" applyBorder="1" applyAlignment="1">
      <alignment horizontal="center"/>
    </xf>
    <xf numFmtId="0" fontId="160" fillId="30" borderId="20" xfId="105" applyFont="1" applyFill="1" applyBorder="1" applyAlignment="1">
      <alignment horizontal="center"/>
    </xf>
    <xf numFmtId="0" fontId="160" fillId="30" borderId="12" xfId="105" applyFont="1" applyFill="1" applyBorder="1" applyAlignment="1">
      <alignment horizontal="center"/>
    </xf>
    <xf numFmtId="0" fontId="160" fillId="30" borderId="153" xfId="105" applyFont="1" applyFill="1" applyBorder="1" applyAlignment="1">
      <alignment horizontal="center"/>
    </xf>
    <xf numFmtId="0" fontId="50" fillId="25" borderId="16" xfId="46" applyFont="1" applyFill="1" applyBorder="1"/>
    <xf numFmtId="0" fontId="0" fillId="25" borderId="14" xfId="0" applyFill="1" applyBorder="1" applyAlignment="1">
      <alignment horizontal="left"/>
    </xf>
    <xf numFmtId="0" fontId="9" fillId="25" borderId="16" xfId="45" applyFill="1" applyBorder="1"/>
    <xf numFmtId="0" fontId="9" fillId="25" borderId="14" xfId="45" applyFill="1" applyBorder="1"/>
    <xf numFmtId="173" fontId="162" fillId="25" borderId="17" xfId="65" applyNumberFormat="1" applyFont="1" applyFill="1" applyBorder="1" applyAlignment="1">
      <alignment horizontal="left"/>
    </xf>
    <xf numFmtId="0" fontId="9" fillId="25" borderId="159" xfId="45" applyFill="1" applyBorder="1"/>
    <xf numFmtId="0" fontId="28" fillId="25" borderId="160" xfId="45" applyFont="1" applyFill="1" applyBorder="1"/>
    <xf numFmtId="0" fontId="42" fillId="25" borderId="160" xfId="45" applyFont="1" applyFill="1" applyBorder="1" applyAlignment="1">
      <alignment horizontal="center" vertical="center"/>
    </xf>
    <xf numFmtId="14" fontId="29" fillId="25" borderId="160" xfId="45" applyNumberFormat="1" applyFont="1" applyFill="1" applyBorder="1" applyAlignment="1">
      <alignment horizontal="center" vertical="center"/>
    </xf>
    <xf numFmtId="167" fontId="9" fillId="25" borderId="20" xfId="53" applyNumberFormat="1" applyFont="1" applyFill="1" applyBorder="1"/>
    <xf numFmtId="0" fontId="29" fillId="25" borderId="14" xfId="46" applyFont="1" applyFill="1" applyBorder="1" applyAlignment="1">
      <alignment horizontal="left"/>
    </xf>
    <xf numFmtId="0" fontId="163" fillId="25" borderId="21" xfId="105" applyFont="1" applyFill="1" applyBorder="1" applyAlignment="1">
      <alignment vertical="center"/>
    </xf>
    <xf numFmtId="181" fontId="160" fillId="25" borderId="155" xfId="105" applyNumberFormat="1" applyFont="1" applyFill="1" applyBorder="1" applyAlignment="1">
      <alignment horizontal="center" vertical="center"/>
    </xf>
    <xf numFmtId="181" fontId="160" fillId="25" borderId="156" xfId="105" applyNumberFormat="1" applyFont="1" applyFill="1" applyBorder="1" applyAlignment="1">
      <alignment horizontal="center" vertical="center"/>
    </xf>
    <xf numFmtId="174" fontId="160" fillId="25" borderId="48" xfId="105" applyNumberFormat="1" applyFont="1" applyFill="1" applyBorder="1" applyAlignment="1">
      <alignment horizontal="right" vertical="center"/>
    </xf>
    <xf numFmtId="169" fontId="160" fillId="25" borderId="155" xfId="105" applyNumberFormat="1" applyFont="1" applyFill="1" applyBorder="1" applyAlignment="1">
      <alignment horizontal="center" vertical="center"/>
    </xf>
    <xf numFmtId="169" fontId="160" fillId="25" borderId="48" xfId="105" applyNumberFormat="1" applyFont="1" applyFill="1" applyBorder="1" applyAlignment="1">
      <alignment horizontal="center" vertical="center"/>
    </xf>
    <xf numFmtId="169" fontId="160" fillId="25" borderId="156" xfId="105" applyNumberFormat="1" applyFont="1" applyFill="1" applyBorder="1" applyAlignment="1">
      <alignment horizontal="center" vertical="center"/>
    </xf>
    <xf numFmtId="169" fontId="160" fillId="25" borderId="19" xfId="105" applyNumberFormat="1" applyFont="1" applyFill="1" applyBorder="1" applyAlignment="1">
      <alignment horizontal="center" vertical="center"/>
    </xf>
    <xf numFmtId="0" fontId="160" fillId="66" borderId="16" xfId="105" applyFont="1" applyFill="1" applyBorder="1" applyAlignment="1">
      <alignment vertical="center"/>
    </xf>
    <xf numFmtId="181" fontId="160" fillId="66" borderId="154" xfId="105" applyNumberFormat="1" applyFont="1" applyFill="1" applyBorder="1" applyAlignment="1">
      <alignment horizontal="center" vertical="center"/>
    </xf>
    <xf numFmtId="181" fontId="160" fillId="66" borderId="157" xfId="105" applyNumberFormat="1" applyFont="1" applyFill="1" applyBorder="1" applyAlignment="1">
      <alignment horizontal="center" vertical="center"/>
    </xf>
    <xf numFmtId="174" fontId="160" fillId="66" borderId="158" xfId="105" applyNumberFormat="1" applyFont="1" applyFill="1" applyBorder="1" applyAlignment="1">
      <alignment horizontal="center" vertical="center"/>
    </xf>
    <xf numFmtId="174" fontId="160" fillId="66" borderId="157" xfId="105" applyNumberFormat="1" applyFont="1" applyFill="1" applyBorder="1" applyAlignment="1">
      <alignment horizontal="center" vertical="center"/>
    </xf>
    <xf numFmtId="174" fontId="160" fillId="66" borderId="0" xfId="105" applyNumberFormat="1" applyFont="1" applyFill="1" applyAlignment="1">
      <alignment horizontal="center" vertical="center"/>
    </xf>
    <xf numFmtId="9" fontId="160" fillId="66" borderId="157" xfId="121" applyFont="1" applyFill="1" applyBorder="1" applyAlignment="1">
      <alignment horizontal="center" vertical="center"/>
    </xf>
    <xf numFmtId="9" fontId="160" fillId="66" borderId="0" xfId="121" applyFont="1" applyFill="1" applyBorder="1" applyAlignment="1">
      <alignment horizontal="center" vertical="center"/>
    </xf>
    <xf numFmtId="166" fontId="160" fillId="66" borderId="157" xfId="105" applyNumberFormat="1" applyFont="1" applyFill="1" applyBorder="1" applyAlignment="1">
      <alignment horizontal="center" vertical="center"/>
    </xf>
    <xf numFmtId="166" fontId="160" fillId="66" borderId="0" xfId="105" applyNumberFormat="1" applyFont="1" applyFill="1" applyAlignment="1">
      <alignment horizontal="center" vertical="center"/>
    </xf>
    <xf numFmtId="166" fontId="160" fillId="66" borderId="158" xfId="105" applyNumberFormat="1" applyFont="1" applyFill="1" applyBorder="1" applyAlignment="1">
      <alignment horizontal="center" vertical="center"/>
    </xf>
    <xf numFmtId="9" fontId="160" fillId="66" borderId="14" xfId="121" applyFont="1" applyFill="1" applyBorder="1" applyAlignment="1">
      <alignment horizontal="center" vertical="center"/>
    </xf>
    <xf numFmtId="0" fontId="160" fillId="25" borderId="16" xfId="105" applyFont="1" applyFill="1" applyBorder="1" applyAlignment="1">
      <alignment vertical="center"/>
    </xf>
    <xf numFmtId="181" fontId="160" fillId="25" borderId="157" xfId="105" applyNumberFormat="1" applyFont="1" applyFill="1" applyBorder="1" applyAlignment="1">
      <alignment horizontal="center" vertical="center"/>
    </xf>
    <xf numFmtId="174" fontId="160" fillId="25" borderId="158" xfId="105" applyNumberFormat="1" applyFont="1" applyFill="1" applyBorder="1" applyAlignment="1">
      <alignment horizontal="center" vertical="center"/>
    </xf>
    <xf numFmtId="174" fontId="160" fillId="25" borderId="157" xfId="105" applyNumberFormat="1" applyFont="1" applyFill="1" applyBorder="1" applyAlignment="1">
      <alignment horizontal="center" vertical="center"/>
    </xf>
    <xf numFmtId="174" fontId="160" fillId="25" borderId="0" xfId="105" applyNumberFormat="1" applyFont="1" applyFill="1" applyAlignment="1">
      <alignment horizontal="center" vertical="center"/>
    </xf>
    <xf numFmtId="9" fontId="160" fillId="25" borderId="157" xfId="121" applyFont="1" applyFill="1" applyBorder="1" applyAlignment="1">
      <alignment horizontal="center" vertical="center"/>
    </xf>
    <xf numFmtId="9" fontId="160" fillId="25" borderId="0" xfId="121" applyFont="1" applyFill="1" applyBorder="1" applyAlignment="1">
      <alignment horizontal="center" vertical="center"/>
    </xf>
    <xf numFmtId="9" fontId="160" fillId="25" borderId="158" xfId="121" applyFont="1" applyFill="1" applyBorder="1" applyAlignment="1">
      <alignment horizontal="center" vertical="center"/>
    </xf>
    <xf numFmtId="166" fontId="160" fillId="25" borderId="157" xfId="105" applyNumberFormat="1" applyFont="1" applyFill="1" applyBorder="1" applyAlignment="1">
      <alignment horizontal="center" vertical="center"/>
    </xf>
    <xf numFmtId="166" fontId="160" fillId="25" borderId="0" xfId="105" applyNumberFormat="1" applyFont="1" applyFill="1" applyAlignment="1">
      <alignment horizontal="center" vertical="center"/>
    </xf>
    <xf numFmtId="166" fontId="160" fillId="25" borderId="158" xfId="105" applyNumberFormat="1" applyFont="1" applyFill="1" applyBorder="1" applyAlignment="1">
      <alignment horizontal="center" vertical="center"/>
    </xf>
    <xf numFmtId="9" fontId="160" fillId="25" borderId="14" xfId="121" applyFont="1" applyFill="1" applyBorder="1" applyAlignment="1">
      <alignment horizontal="center" vertical="center"/>
    </xf>
    <xf numFmtId="0" fontId="160" fillId="67" borderId="21" xfId="105" applyFont="1" applyFill="1" applyBorder="1" applyAlignment="1">
      <alignment vertical="center"/>
    </xf>
    <xf numFmtId="182" fontId="160" fillId="67" borderId="48" xfId="105" applyNumberFormat="1" applyFont="1" applyFill="1" applyBorder="1" applyAlignment="1">
      <alignment horizontal="center" vertical="center"/>
    </xf>
    <xf numFmtId="181" fontId="160" fillId="67" borderId="48" xfId="105" applyNumberFormat="1" applyFont="1" applyFill="1" applyBorder="1" applyAlignment="1">
      <alignment horizontal="center" vertical="center"/>
    </xf>
    <xf numFmtId="9" fontId="160" fillId="67" borderId="155" xfId="121" applyFont="1" applyFill="1" applyBorder="1" applyAlignment="1">
      <alignment horizontal="center" vertical="center"/>
    </xf>
    <xf numFmtId="9" fontId="160" fillId="67" borderId="48" xfId="121" applyFont="1" applyFill="1" applyBorder="1" applyAlignment="1">
      <alignment horizontal="center" vertical="center"/>
    </xf>
    <xf numFmtId="9" fontId="160" fillId="67" borderId="156" xfId="121" applyFont="1" applyFill="1" applyBorder="1" applyAlignment="1">
      <alignment horizontal="center" vertical="center"/>
    </xf>
    <xf numFmtId="166" fontId="160" fillId="67" borderId="155" xfId="105" applyNumberFormat="1" applyFont="1" applyFill="1" applyBorder="1" applyAlignment="1">
      <alignment horizontal="center" vertical="center"/>
    </xf>
    <xf numFmtId="166" fontId="160" fillId="67" borderId="48" xfId="105" applyNumberFormat="1" applyFont="1" applyFill="1" applyBorder="1" applyAlignment="1">
      <alignment horizontal="center" vertical="center"/>
    </xf>
    <xf numFmtId="166" fontId="160" fillId="67" borderId="156" xfId="105" applyNumberFormat="1" applyFont="1" applyFill="1" applyBorder="1" applyAlignment="1">
      <alignment horizontal="center" vertical="center"/>
    </xf>
    <xf numFmtId="0" fontId="160" fillId="67" borderId="17" xfId="105" applyFont="1" applyFill="1" applyBorder="1" applyAlignment="1">
      <alignment vertical="center"/>
    </xf>
    <xf numFmtId="182" fontId="160" fillId="67" borderId="128" xfId="105" applyNumberFormat="1" applyFont="1" applyFill="1" applyBorder="1" applyAlignment="1">
      <alignment horizontal="center" vertical="center"/>
    </xf>
    <xf numFmtId="0" fontId="160" fillId="67" borderId="128" xfId="105" applyFont="1" applyFill="1" applyBorder="1" applyAlignment="1">
      <alignment horizontal="center" vertical="center"/>
    </xf>
    <xf numFmtId="9" fontId="160" fillId="67" borderId="159" xfId="121" applyFont="1" applyFill="1" applyBorder="1" applyAlignment="1">
      <alignment horizontal="center" vertical="center"/>
    </xf>
    <xf numFmtId="9" fontId="160" fillId="67" borderId="128" xfId="121" applyFont="1" applyFill="1" applyBorder="1" applyAlignment="1">
      <alignment horizontal="center" vertical="center"/>
    </xf>
    <xf numFmtId="9" fontId="160" fillId="67" borderId="160" xfId="121" applyFont="1" applyFill="1" applyBorder="1" applyAlignment="1">
      <alignment horizontal="center" vertical="center"/>
    </xf>
    <xf numFmtId="166" fontId="160" fillId="67" borderId="159" xfId="105" applyNumberFormat="1" applyFont="1" applyFill="1" applyBorder="1" applyAlignment="1">
      <alignment horizontal="center" vertical="center"/>
    </xf>
    <xf numFmtId="166" fontId="160" fillId="67" borderId="128" xfId="105" applyNumberFormat="1" applyFont="1" applyFill="1" applyBorder="1" applyAlignment="1">
      <alignment horizontal="center" vertical="center"/>
    </xf>
    <xf numFmtId="166" fontId="160" fillId="67" borderId="160" xfId="105" applyNumberFormat="1" applyFont="1" applyFill="1" applyBorder="1" applyAlignment="1">
      <alignment horizontal="center" vertical="center"/>
    </xf>
    <xf numFmtId="0" fontId="158" fillId="25" borderId="0" xfId="45" applyFont="1" applyFill="1"/>
    <xf numFmtId="173" fontId="164" fillId="25" borderId="0" xfId="65" quotePrefix="1" applyNumberFormat="1" applyFont="1" applyFill="1" applyAlignment="1">
      <alignment horizontal="left" vertical="center"/>
    </xf>
    <xf numFmtId="173" fontId="158" fillId="25" borderId="0" xfId="65" applyNumberFormat="1" applyFont="1" applyFill="1" applyAlignment="1">
      <alignment horizontal="left"/>
    </xf>
    <xf numFmtId="0" fontId="158" fillId="25" borderId="0" xfId="45" applyFont="1" applyFill="1" applyAlignment="1">
      <alignment vertical="center"/>
    </xf>
    <xf numFmtId="167" fontId="158" fillId="25" borderId="0" xfId="45" applyNumberFormat="1" applyFont="1" applyFill="1" applyAlignment="1">
      <alignment horizontal="center" vertical="center"/>
    </xf>
    <xf numFmtId="173" fontId="164" fillId="25" borderId="0" xfId="3375" applyNumberFormat="1" applyFont="1" applyFill="1" applyBorder="1" applyAlignment="1" applyProtection="1">
      <alignment horizontal="left"/>
    </xf>
    <xf numFmtId="173" fontId="165" fillId="25" borderId="0" xfId="3375" applyNumberFormat="1" applyFont="1" applyFill="1" applyBorder="1" applyAlignment="1" applyProtection="1">
      <alignment horizontal="left"/>
    </xf>
    <xf numFmtId="167" fontId="158" fillId="25" borderId="0" xfId="53" applyNumberFormat="1" applyFont="1" applyFill="1" applyBorder="1" applyAlignment="1">
      <alignment vertical="center"/>
    </xf>
    <xf numFmtId="173" fontId="164" fillId="25" borderId="0" xfId="65" quotePrefix="1" applyNumberFormat="1" applyFont="1" applyFill="1" applyAlignment="1">
      <alignment horizontal="left"/>
    </xf>
    <xf numFmtId="173" fontId="158" fillId="25" borderId="0" xfId="65" quotePrefix="1" applyNumberFormat="1" applyFont="1" applyFill="1" applyAlignment="1">
      <alignment horizontal="left"/>
    </xf>
    <xf numFmtId="173" fontId="166" fillId="25" borderId="0" xfId="65" quotePrefix="1" applyNumberFormat="1" applyFont="1" applyFill="1" applyAlignment="1">
      <alignment horizontal="left"/>
    </xf>
    <xf numFmtId="173" fontId="29" fillId="25" borderId="0" xfId="65" quotePrefix="1" applyNumberFormat="1" applyFont="1" applyFill="1" applyAlignment="1">
      <alignment horizontal="left"/>
    </xf>
    <xf numFmtId="167" fontId="29" fillId="25" borderId="0" xfId="45" applyNumberFormat="1" applyFont="1" applyFill="1" applyAlignment="1">
      <alignment horizontal="center" vertical="center"/>
    </xf>
    <xf numFmtId="231" fontId="44" fillId="25" borderId="0" xfId="105" applyNumberFormat="1" applyFont="1" applyFill="1"/>
    <xf numFmtId="0" fontId="46" fillId="25" borderId="0" xfId="105" applyFont="1" applyFill="1" applyAlignment="1">
      <alignment horizontal="right"/>
    </xf>
    <xf numFmtId="0" fontId="169" fillId="24" borderId="0" xfId="3376" applyNumberFormat="1" applyFont="1" applyFill="1" applyAlignment="1">
      <alignment horizontal="left" vertical="center"/>
    </xf>
    <xf numFmtId="0" fontId="34" fillId="0" borderId="0" xfId="69" applyFont="1"/>
    <xf numFmtId="0" fontId="34" fillId="25" borderId="0" xfId="69" applyFont="1" applyFill="1"/>
    <xf numFmtId="0" fontId="170" fillId="0" borderId="0" xfId="69" applyFont="1"/>
    <xf numFmtId="0" fontId="171" fillId="0" borderId="0" xfId="69" applyFont="1"/>
    <xf numFmtId="0" fontId="59" fillId="0" borderId="0" xfId="69" applyFont="1"/>
    <xf numFmtId="0" fontId="172" fillId="0" borderId="0" xfId="69" applyFont="1"/>
    <xf numFmtId="0" fontId="173" fillId="0" borderId="0" xfId="69" applyFont="1"/>
    <xf numFmtId="0" fontId="58" fillId="0" borderId="0" xfId="69" applyFont="1"/>
    <xf numFmtId="173" fontId="174" fillId="24" borderId="0" xfId="65" applyNumberFormat="1" applyFont="1" applyFill="1" applyAlignment="1">
      <alignment horizontal="left" vertical="center"/>
    </xf>
    <xf numFmtId="0" fontId="174" fillId="0" borderId="13" xfId="70" applyFont="1" applyBorder="1" applyAlignment="1">
      <alignment horizontal="left"/>
    </xf>
    <xf numFmtId="173" fontId="175" fillId="0" borderId="0" xfId="61" applyNumberFormat="1" applyFont="1" applyFill="1" applyBorder="1" applyAlignment="1" applyProtection="1">
      <alignment horizontal="left"/>
    </xf>
    <xf numFmtId="173" fontId="167" fillId="0" borderId="0" xfId="61" quotePrefix="1" applyNumberFormat="1" applyFont="1" applyFill="1" applyBorder="1" applyAlignment="1" applyProtection="1">
      <alignment horizontal="left"/>
    </xf>
    <xf numFmtId="173" fontId="176" fillId="25" borderId="0" xfId="39" applyNumberFormat="1" applyFont="1" applyFill="1" applyBorder="1" applyAlignment="1" applyProtection="1">
      <alignment horizontal="left"/>
    </xf>
    <xf numFmtId="0" fontId="161" fillId="70" borderId="21" xfId="105" applyFont="1" applyFill="1" applyBorder="1" applyAlignment="1">
      <alignment vertical="center"/>
    </xf>
    <xf numFmtId="181" fontId="161" fillId="70" borderId="155" xfId="105" applyNumberFormat="1" applyFont="1" applyFill="1" applyBorder="1" applyAlignment="1">
      <alignment horizontal="center" vertical="center"/>
    </xf>
    <xf numFmtId="174" fontId="161" fillId="70" borderId="158" xfId="105" applyNumberFormat="1" applyFont="1" applyFill="1" applyBorder="1" applyAlignment="1">
      <alignment horizontal="center" vertical="center"/>
    </xf>
    <xf numFmtId="174" fontId="161" fillId="70" borderId="157" xfId="105" applyNumberFormat="1" applyFont="1" applyFill="1" applyBorder="1" applyAlignment="1">
      <alignment horizontal="center" vertical="center"/>
    </xf>
    <xf numFmtId="174" fontId="161" fillId="70" borderId="0" xfId="105" applyNumberFormat="1" applyFont="1" applyFill="1" applyAlignment="1">
      <alignment horizontal="center" vertical="center"/>
    </xf>
    <xf numFmtId="9" fontId="161" fillId="70" borderId="157" xfId="121" applyFont="1" applyFill="1" applyBorder="1" applyAlignment="1">
      <alignment horizontal="center" vertical="center"/>
    </xf>
    <xf numFmtId="9" fontId="161" fillId="70" borderId="0" xfId="121" applyFont="1" applyFill="1" applyBorder="1" applyAlignment="1">
      <alignment horizontal="center" vertical="center"/>
    </xf>
    <xf numFmtId="166" fontId="161" fillId="70" borderId="157" xfId="105" applyNumberFormat="1" applyFont="1" applyFill="1" applyBorder="1" applyAlignment="1">
      <alignment horizontal="center" vertical="center"/>
    </xf>
    <xf numFmtId="166" fontId="161" fillId="70" borderId="0" xfId="105" applyNumberFormat="1" applyFont="1" applyFill="1" applyAlignment="1">
      <alignment horizontal="center" vertical="center"/>
    </xf>
    <xf numFmtId="166" fontId="161" fillId="70" borderId="158" xfId="105" applyNumberFormat="1" applyFont="1" applyFill="1" applyBorder="1" applyAlignment="1">
      <alignment horizontal="center" vertical="center"/>
    </xf>
    <xf numFmtId="9" fontId="161" fillId="70" borderId="14" xfId="121" applyFont="1" applyFill="1" applyBorder="1" applyAlignment="1">
      <alignment horizontal="center" vertical="center"/>
    </xf>
    <xf numFmtId="14" fontId="160" fillId="30" borderId="48" xfId="105" applyNumberFormat="1" applyFont="1" applyFill="1" applyBorder="1" applyAlignment="1">
      <alignment horizontal="center"/>
    </xf>
    <xf numFmtId="0" fontId="160" fillId="30" borderId="13" xfId="105" applyFont="1" applyFill="1" applyBorder="1" applyAlignment="1">
      <alignment horizontal="center"/>
    </xf>
    <xf numFmtId="173" fontId="45" fillId="25" borderId="160" xfId="65" applyNumberFormat="1" applyFont="1" applyFill="1" applyBorder="1" applyAlignment="1">
      <alignment horizontal="left"/>
    </xf>
    <xf numFmtId="181" fontId="160" fillId="25" borderId="48" xfId="105" applyNumberFormat="1" applyFont="1" applyFill="1" applyBorder="1" applyAlignment="1">
      <alignment horizontal="right" vertical="center"/>
    </xf>
    <xf numFmtId="0" fontId="161" fillId="70" borderId="155" xfId="105" applyFont="1" applyFill="1" applyBorder="1" applyAlignment="1">
      <alignment horizontal="center" vertical="center"/>
    </xf>
    <xf numFmtId="0" fontId="174" fillId="0" borderId="13" xfId="70" applyFont="1" applyBorder="1" applyAlignment="1">
      <alignment horizontal="center"/>
    </xf>
    <xf numFmtId="173" fontId="175" fillId="0" borderId="0" xfId="61" applyNumberFormat="1" applyFont="1" applyFill="1" applyBorder="1" applyAlignment="1" applyProtection="1">
      <alignment horizontal="center"/>
    </xf>
    <xf numFmtId="173" fontId="174" fillId="24" borderId="0" xfId="65" applyNumberFormat="1" applyFont="1" applyFill="1" applyAlignment="1">
      <alignment horizontal="center" vertical="center"/>
    </xf>
    <xf numFmtId="173" fontId="176" fillId="25" borderId="0" xfId="39" applyNumberFormat="1" applyFont="1" applyFill="1" applyBorder="1" applyAlignment="1" applyProtection="1">
      <alignment horizontal="center"/>
    </xf>
    <xf numFmtId="173" fontId="167" fillId="0" borderId="0" xfId="61" quotePrefix="1" applyNumberFormat="1" applyFont="1" applyFill="1" applyBorder="1" applyAlignment="1" applyProtection="1">
      <alignment horizontal="center"/>
    </xf>
    <xf numFmtId="173" fontId="159" fillId="25" borderId="0" xfId="452" applyNumberFormat="1" applyFont="1" applyFill="1" applyAlignment="1">
      <alignment horizontal="center" vertical="center"/>
    </xf>
    <xf numFmtId="173" fontId="162" fillId="25" borderId="159" xfId="65" applyNumberFormat="1" applyFont="1" applyFill="1" applyBorder="1" applyAlignment="1">
      <alignment horizontal="center"/>
    </xf>
    <xf numFmtId="0" fontId="163" fillId="25" borderId="155" xfId="105" applyFont="1" applyFill="1" applyBorder="1" applyAlignment="1">
      <alignment horizontal="center" vertical="center"/>
    </xf>
    <xf numFmtId="0" fontId="160" fillId="25" borderId="157" xfId="105" applyFont="1" applyFill="1" applyBorder="1" applyAlignment="1">
      <alignment horizontal="center" vertical="center"/>
    </xf>
    <xf numFmtId="0" fontId="160" fillId="66" borderId="0" xfId="105" applyFont="1" applyFill="1" applyAlignment="1">
      <alignment horizontal="center" vertical="center"/>
    </xf>
    <xf numFmtId="0" fontId="160" fillId="67" borderId="48" xfId="105" applyFont="1" applyFill="1" applyBorder="1" applyAlignment="1">
      <alignment horizontal="center" vertical="center"/>
    </xf>
    <xf numFmtId="0" fontId="160" fillId="67" borderId="13" xfId="105" applyFont="1" applyFill="1" applyBorder="1" applyAlignment="1">
      <alignment horizontal="center" vertical="center"/>
    </xf>
    <xf numFmtId="173" fontId="164" fillId="25" borderId="0" xfId="65" quotePrefix="1" applyNumberFormat="1" applyFont="1" applyFill="1" applyAlignment="1">
      <alignment horizontal="center" vertical="center"/>
    </xf>
    <xf numFmtId="173" fontId="164" fillId="25" borderId="0" xfId="3375" applyNumberFormat="1" applyFont="1" applyFill="1" applyBorder="1" applyAlignment="1" applyProtection="1">
      <alignment horizontal="center"/>
    </xf>
    <xf numFmtId="173" fontId="164" fillId="25" borderId="0" xfId="65" quotePrefix="1" applyNumberFormat="1" applyFont="1" applyFill="1" applyAlignment="1">
      <alignment horizontal="center"/>
    </xf>
    <xf numFmtId="173" fontId="166" fillId="25" borderId="0" xfId="65" quotePrefix="1" applyNumberFormat="1" applyFont="1" applyFill="1" applyAlignment="1">
      <alignment horizontal="center"/>
    </xf>
    <xf numFmtId="0" fontId="29" fillId="25" borderId="0" xfId="46" applyFont="1" applyFill="1" applyAlignment="1">
      <alignment horizontal="center"/>
    </xf>
    <xf numFmtId="181" fontId="161" fillId="70" borderId="156" xfId="105" applyNumberFormat="1" applyFont="1" applyFill="1" applyBorder="1" applyAlignment="1">
      <alignment horizontal="center" vertical="center"/>
    </xf>
    <xf numFmtId="0" fontId="160" fillId="66" borderId="157" xfId="105" applyFont="1" applyFill="1" applyBorder="1" applyAlignment="1">
      <alignment horizontal="center" vertical="center"/>
    </xf>
    <xf numFmtId="181" fontId="160" fillId="66" borderId="158" xfId="105" applyNumberFormat="1" applyFont="1" applyFill="1" applyBorder="1" applyAlignment="1">
      <alignment horizontal="center" vertical="center"/>
    </xf>
    <xf numFmtId="181" fontId="160" fillId="25" borderId="158" xfId="105" applyNumberFormat="1" applyFont="1" applyFill="1" applyBorder="1" applyAlignment="1">
      <alignment horizontal="center" vertical="center"/>
    </xf>
    <xf numFmtId="9" fontId="160" fillId="67" borderId="19" xfId="121" applyFont="1" applyFill="1" applyBorder="1" applyAlignment="1">
      <alignment horizontal="center" vertical="center"/>
    </xf>
    <xf numFmtId="9" fontId="160" fillId="67" borderId="20" xfId="121" applyFont="1" applyFill="1" applyBorder="1" applyAlignment="1">
      <alignment horizontal="center" vertical="center"/>
    </xf>
    <xf numFmtId="9" fontId="178" fillId="25" borderId="0" xfId="121" applyFont="1" applyFill="1" applyBorder="1" applyAlignment="1" applyProtection="1"/>
    <xf numFmtId="0" fontId="179" fillId="25" borderId="0" xfId="105" applyFont="1" applyFill="1"/>
    <xf numFmtId="0" fontId="29" fillId="25" borderId="0" xfId="105" applyFont="1" applyFill="1"/>
    <xf numFmtId="233" fontId="179" fillId="25" borderId="0" xfId="105" applyNumberFormat="1" applyFont="1" applyFill="1"/>
    <xf numFmtId="171" fontId="49" fillId="25" borderId="0" xfId="119" applyNumberFormat="1" applyFont="1" applyFill="1" applyBorder="1" applyAlignment="1"/>
    <xf numFmtId="233" fontId="29" fillId="25" borderId="0" xfId="105" applyNumberFormat="1" applyFont="1" applyFill="1"/>
    <xf numFmtId="0" fontId="71" fillId="71" borderId="164" xfId="105" applyFont="1" applyFill="1" applyBorder="1"/>
    <xf numFmtId="0" fontId="71" fillId="0" borderId="170" xfId="105" applyFont="1" applyBorder="1"/>
    <xf numFmtId="0" fontId="29" fillId="25" borderId="0" xfId="105" applyFont="1" applyFill="1" applyAlignment="1">
      <alignment horizontal="center"/>
    </xf>
    <xf numFmtId="0" fontId="42" fillId="25" borderId="0" xfId="105" applyFont="1" applyFill="1"/>
    <xf numFmtId="0" fontId="168" fillId="25" borderId="171" xfId="105" applyFont="1" applyFill="1" applyBorder="1"/>
    <xf numFmtId="17" fontId="181" fillId="25" borderId="172" xfId="105" applyNumberFormat="1" applyFont="1" applyFill="1" applyBorder="1" applyAlignment="1">
      <alignment horizontal="right"/>
    </xf>
    <xf numFmtId="17" fontId="181" fillId="25" borderId="0" xfId="105" applyNumberFormat="1" applyFont="1" applyFill="1" applyAlignment="1">
      <alignment horizontal="right"/>
    </xf>
    <xf numFmtId="17" fontId="181" fillId="25" borderId="173" xfId="105" applyNumberFormat="1" applyFont="1" applyFill="1" applyBorder="1" applyAlignment="1">
      <alignment horizontal="right"/>
    </xf>
    <xf numFmtId="17" fontId="181" fillId="25" borderId="170" xfId="105" applyNumberFormat="1" applyFont="1" applyFill="1" applyBorder="1" applyAlignment="1">
      <alignment horizontal="right"/>
    </xf>
    <xf numFmtId="234" fontId="71" fillId="25" borderId="171" xfId="105" applyNumberFormat="1" applyFont="1" applyFill="1" applyBorder="1" applyAlignment="1">
      <alignment horizontal="left"/>
    </xf>
    <xf numFmtId="235" fontId="44" fillId="25" borderId="0" xfId="120" applyNumberFormat="1" applyFont="1" applyFill="1" applyBorder="1" applyAlignment="1" applyProtection="1"/>
    <xf numFmtId="235" fontId="44" fillId="25" borderId="172" xfId="120" applyNumberFormat="1" applyFont="1" applyFill="1" applyBorder="1" applyAlignment="1" applyProtection="1"/>
    <xf numFmtId="235" fontId="44" fillId="25" borderId="174" xfId="120" applyNumberFormat="1" applyFont="1" applyFill="1" applyBorder="1" applyAlignment="1" applyProtection="1"/>
    <xf numFmtId="235" fontId="29" fillId="25" borderId="0" xfId="120" applyNumberFormat="1" applyFont="1" applyFill="1" applyBorder="1" applyAlignment="1" applyProtection="1"/>
    <xf numFmtId="234" fontId="44" fillId="25" borderId="0" xfId="105" applyNumberFormat="1" applyFont="1" applyFill="1"/>
    <xf numFmtId="234" fontId="42" fillId="25" borderId="0" xfId="105" applyNumberFormat="1" applyFont="1" applyFill="1"/>
    <xf numFmtId="184" fontId="182" fillId="72" borderId="18" xfId="105" applyNumberFormat="1" applyFont="1" applyFill="1" applyBorder="1" applyAlignment="1">
      <alignment horizontal="left" indent="1"/>
    </xf>
    <xf numFmtId="231" fontId="182" fillId="72" borderId="48" xfId="105" applyNumberFormat="1" applyFont="1" applyFill="1" applyBorder="1" applyAlignment="1">
      <alignment vertical="center"/>
    </xf>
    <xf numFmtId="231" fontId="182" fillId="72" borderId="26" xfId="105" applyNumberFormat="1" applyFont="1" applyFill="1" applyBorder="1" applyAlignment="1">
      <alignment vertical="center"/>
    </xf>
    <xf numFmtId="231" fontId="182" fillId="72" borderId="48" xfId="105" applyNumberFormat="1" applyFont="1" applyFill="1" applyBorder="1"/>
    <xf numFmtId="231" fontId="182" fillId="72" borderId="26" xfId="105" applyNumberFormat="1" applyFont="1" applyFill="1" applyBorder="1"/>
    <xf numFmtId="231" fontId="182" fillId="72" borderId="161" xfId="105" applyNumberFormat="1" applyFont="1" applyFill="1" applyBorder="1"/>
    <xf numFmtId="231" fontId="182" fillId="25" borderId="0" xfId="105" applyNumberFormat="1" applyFont="1" applyFill="1"/>
    <xf numFmtId="231" fontId="42" fillId="25" borderId="0" xfId="105" applyNumberFormat="1" applyFont="1" applyFill="1"/>
    <xf numFmtId="184" fontId="44" fillId="25" borderId="171" xfId="105" applyNumberFormat="1" applyFont="1" applyFill="1" applyBorder="1" applyAlignment="1">
      <alignment horizontal="left" indent="1"/>
    </xf>
    <xf numFmtId="231" fontId="44" fillId="25" borderId="0" xfId="105" applyNumberFormat="1" applyFont="1" applyFill="1" applyAlignment="1">
      <alignment vertical="center"/>
    </xf>
    <xf numFmtId="231" fontId="44" fillId="25" borderId="172" xfId="105" applyNumberFormat="1" applyFont="1" applyFill="1" applyBorder="1" applyAlignment="1">
      <alignment horizontal="right"/>
    </xf>
    <xf numFmtId="231" fontId="44" fillId="25" borderId="0" xfId="105" applyNumberFormat="1" applyFont="1" applyFill="1" applyAlignment="1">
      <alignment horizontal="right"/>
    </xf>
    <xf numFmtId="231" fontId="44" fillId="25" borderId="174" xfId="105" applyNumberFormat="1" applyFont="1" applyFill="1" applyBorder="1" applyAlignment="1">
      <alignment horizontal="right"/>
    </xf>
    <xf numFmtId="231" fontId="29" fillId="25" borderId="0" xfId="105" applyNumberFormat="1" applyFont="1" applyFill="1"/>
    <xf numFmtId="231" fontId="29" fillId="25" borderId="174" xfId="105" applyNumberFormat="1" applyFont="1" applyFill="1" applyBorder="1"/>
    <xf numFmtId="231" fontId="44" fillId="25" borderId="172" xfId="105" applyNumberFormat="1" applyFont="1" applyFill="1" applyBorder="1"/>
    <xf numFmtId="231" fontId="44" fillId="25" borderId="174" xfId="105" applyNumberFormat="1" applyFont="1" applyFill="1" applyBorder="1"/>
    <xf numFmtId="231" fontId="44" fillId="25" borderId="172" xfId="105" applyNumberFormat="1" applyFont="1" applyFill="1" applyBorder="1" applyAlignment="1">
      <alignment vertical="center"/>
    </xf>
    <xf numFmtId="184" fontId="71" fillId="25" borderId="32" xfId="105" applyNumberFormat="1" applyFont="1" applyFill="1" applyBorder="1" applyAlignment="1">
      <alignment horizontal="left" indent="1"/>
    </xf>
    <xf numFmtId="231" fontId="71" fillId="25" borderId="137" xfId="105" applyNumberFormat="1" applyFont="1" applyFill="1" applyBorder="1" applyAlignment="1">
      <alignment vertical="center"/>
    </xf>
    <xf numFmtId="231" fontId="71" fillId="25" borderId="149" xfId="105" applyNumberFormat="1" applyFont="1" applyFill="1" applyBorder="1" applyAlignment="1">
      <alignment vertical="center"/>
    </xf>
    <xf numFmtId="231" fontId="71" fillId="25" borderId="137" xfId="105" applyNumberFormat="1" applyFont="1" applyFill="1" applyBorder="1"/>
    <xf numFmtId="231" fontId="71" fillId="25" borderId="149" xfId="105" applyNumberFormat="1" applyFont="1" applyFill="1" applyBorder="1"/>
    <xf numFmtId="231" fontId="71" fillId="25" borderId="147" xfId="105" applyNumberFormat="1" applyFont="1" applyFill="1" applyBorder="1"/>
    <xf numFmtId="231" fontId="71" fillId="25" borderId="0" xfId="105" applyNumberFormat="1" applyFont="1" applyFill="1"/>
    <xf numFmtId="184" fontId="71" fillId="25" borderId="171" xfId="105" applyNumberFormat="1" applyFont="1" applyFill="1" applyBorder="1" applyAlignment="1">
      <alignment horizontal="left" indent="1"/>
    </xf>
    <xf numFmtId="231" fontId="71" fillId="25" borderId="0" xfId="105" applyNumberFormat="1" applyFont="1" applyFill="1" applyAlignment="1">
      <alignment vertical="center"/>
    </xf>
    <xf numFmtId="231" fontId="71" fillId="25" borderId="172" xfId="105" applyNumberFormat="1" applyFont="1" applyFill="1" applyBorder="1" applyAlignment="1">
      <alignment vertical="center"/>
    </xf>
    <xf numFmtId="231" fontId="71" fillId="25" borderId="172" xfId="105" applyNumberFormat="1" applyFont="1" applyFill="1" applyBorder="1"/>
    <xf numFmtId="231" fontId="71" fillId="25" borderId="174" xfId="105" applyNumberFormat="1" applyFont="1" applyFill="1" applyBorder="1"/>
    <xf numFmtId="184" fontId="44" fillId="25" borderId="171" xfId="105" applyNumberFormat="1" applyFont="1" applyFill="1" applyBorder="1" applyAlignment="1">
      <alignment horizontal="left" vertical="center" indent="1"/>
    </xf>
    <xf numFmtId="231" fontId="44" fillId="25" borderId="174" xfId="105" applyNumberFormat="1" applyFont="1" applyFill="1" applyBorder="1" applyAlignment="1">
      <alignment vertical="center"/>
    </xf>
    <xf numFmtId="231" fontId="29" fillId="25" borderId="0" xfId="105" applyNumberFormat="1" applyFont="1" applyFill="1" applyAlignment="1">
      <alignment vertical="center"/>
    </xf>
    <xf numFmtId="184" fontId="71" fillId="25" borderId="171" xfId="105" applyNumberFormat="1" applyFont="1" applyFill="1" applyBorder="1" applyAlignment="1">
      <alignment horizontal="left" vertical="center" indent="1"/>
    </xf>
    <xf numFmtId="9" fontId="71" fillId="25" borderId="172" xfId="121" applyFont="1" applyFill="1" applyBorder="1" applyAlignment="1">
      <alignment vertical="center"/>
    </xf>
    <xf numFmtId="9" fontId="71" fillId="25" borderId="0" xfId="121" applyFont="1" applyFill="1" applyBorder="1" applyAlignment="1">
      <alignment vertical="center"/>
    </xf>
    <xf numFmtId="9" fontId="71" fillId="25" borderId="174" xfId="121" applyFont="1" applyFill="1" applyBorder="1" applyAlignment="1">
      <alignment vertical="center"/>
    </xf>
    <xf numFmtId="231" fontId="71" fillId="25" borderId="174" xfId="105" applyNumberFormat="1" applyFont="1" applyFill="1" applyBorder="1" applyAlignment="1">
      <alignment vertical="center"/>
    </xf>
    <xf numFmtId="231" fontId="42" fillId="25" borderId="0" xfId="105" applyNumberFormat="1" applyFont="1" applyFill="1" applyAlignment="1">
      <alignment vertical="center"/>
    </xf>
    <xf numFmtId="184" fontId="182" fillId="72" borderId="171" xfId="105" applyNumberFormat="1" applyFont="1" applyFill="1" applyBorder="1" applyAlignment="1">
      <alignment horizontal="left" indent="1"/>
    </xf>
    <xf numFmtId="231" fontId="182" fillId="72" borderId="0" xfId="105" applyNumberFormat="1" applyFont="1" applyFill="1" applyAlignment="1">
      <alignment vertical="center"/>
    </xf>
    <xf numFmtId="231" fontId="182" fillId="72" borderId="172" xfId="105" applyNumberFormat="1" applyFont="1" applyFill="1" applyBorder="1" applyAlignment="1">
      <alignment vertical="center"/>
    </xf>
    <xf numFmtId="231" fontId="182" fillId="72" borderId="0" xfId="105" applyNumberFormat="1" applyFont="1" applyFill="1"/>
    <xf numFmtId="231" fontId="182" fillId="72" borderId="172" xfId="105" applyNumberFormat="1" applyFont="1" applyFill="1" applyBorder="1"/>
    <xf numFmtId="231" fontId="182" fillId="72" borderId="174" xfId="105" applyNumberFormat="1" applyFont="1" applyFill="1" applyBorder="1"/>
    <xf numFmtId="231" fontId="71" fillId="25" borderId="147" xfId="105" applyNumberFormat="1" applyFont="1" applyFill="1" applyBorder="1" applyAlignment="1">
      <alignment horizontal="center"/>
    </xf>
    <xf numFmtId="184" fontId="44" fillId="25" borderId="48" xfId="105" applyNumberFormat="1" applyFont="1" applyFill="1" applyBorder="1" applyAlignment="1">
      <alignment horizontal="left" indent="1"/>
    </xf>
    <xf numFmtId="231" fontId="44" fillId="25" borderId="48" xfId="105" applyNumberFormat="1" applyFont="1" applyFill="1" applyBorder="1"/>
    <xf numFmtId="231" fontId="65" fillId="25" borderId="48" xfId="105" applyNumberFormat="1" applyFont="1" applyFill="1" applyBorder="1"/>
    <xf numFmtId="231" fontId="183" fillId="25" borderId="0" xfId="105" applyNumberFormat="1" applyFont="1" applyFill="1"/>
    <xf numFmtId="0" fontId="71" fillId="71" borderId="146" xfId="105" applyFont="1" applyFill="1" applyBorder="1"/>
    <xf numFmtId="184" fontId="182" fillId="69" borderId="18" xfId="105" applyNumberFormat="1" applyFont="1" applyFill="1" applyBorder="1" applyAlignment="1">
      <alignment horizontal="left" indent="1"/>
    </xf>
    <xf numFmtId="231" fontId="182" fillId="69" borderId="48" xfId="105" applyNumberFormat="1" applyFont="1" applyFill="1" applyBorder="1" applyAlignment="1">
      <alignment vertical="center"/>
    </xf>
    <xf numFmtId="231" fontId="182" fillId="69" borderId="26" xfId="105" applyNumberFormat="1" applyFont="1" applyFill="1" applyBorder="1" applyAlignment="1">
      <alignment vertical="center"/>
    </xf>
    <xf numFmtId="231" fontId="182" fillId="69" borderId="48" xfId="105" applyNumberFormat="1" applyFont="1" applyFill="1" applyBorder="1"/>
    <xf numFmtId="231" fontId="182" fillId="69" borderId="26" xfId="105" applyNumberFormat="1" applyFont="1" applyFill="1" applyBorder="1"/>
    <xf numFmtId="231" fontId="182" fillId="69" borderId="161" xfId="105" applyNumberFormat="1" applyFont="1" applyFill="1" applyBorder="1"/>
    <xf numFmtId="181" fontId="44" fillId="25" borderId="0" xfId="105" applyNumberFormat="1" applyFont="1" applyFill="1" applyAlignment="1">
      <alignment horizontal="right"/>
    </xf>
    <xf numFmtId="181" fontId="44" fillId="25" borderId="172" xfId="105" applyNumberFormat="1" applyFont="1" applyFill="1" applyBorder="1" applyAlignment="1">
      <alignment horizontal="right"/>
    </xf>
    <xf numFmtId="9" fontId="71" fillId="25" borderId="0" xfId="121" applyFont="1" applyFill="1" applyBorder="1" applyAlignment="1">
      <alignment horizontal="right" vertical="center"/>
    </xf>
    <xf numFmtId="231" fontId="182" fillId="69" borderId="0" xfId="105" applyNumberFormat="1" applyFont="1" applyFill="1" applyAlignment="1">
      <alignment vertical="center"/>
    </xf>
    <xf numFmtId="231" fontId="182" fillId="69" borderId="172" xfId="105" applyNumberFormat="1" applyFont="1" applyFill="1" applyBorder="1" applyAlignment="1">
      <alignment vertical="center"/>
    </xf>
    <xf numFmtId="231" fontId="182" fillId="69" borderId="0" xfId="105" applyNumberFormat="1" applyFont="1" applyFill="1"/>
    <xf numFmtId="231" fontId="182" fillId="69" borderId="172" xfId="105" applyNumberFormat="1" applyFont="1" applyFill="1" applyBorder="1"/>
    <xf numFmtId="231" fontId="182" fillId="69" borderId="174" xfId="105" applyNumberFormat="1" applyFont="1" applyFill="1" applyBorder="1"/>
    <xf numFmtId="184" fontId="44" fillId="25" borderId="0" xfId="105" applyNumberFormat="1" applyFont="1" applyFill="1" applyAlignment="1">
      <alignment horizontal="left" indent="1"/>
    </xf>
    <xf numFmtId="231" fontId="65" fillId="25" borderId="0" xfId="105" applyNumberFormat="1" applyFont="1" applyFill="1"/>
    <xf numFmtId="5" fontId="181" fillId="25" borderId="173" xfId="105" applyNumberFormat="1" applyFont="1" applyFill="1" applyBorder="1" applyAlignment="1">
      <alignment horizontal="right"/>
    </xf>
    <xf numFmtId="0" fontId="34" fillId="73" borderId="0" xfId="69" applyFont="1" applyFill="1"/>
    <xf numFmtId="0" fontId="184" fillId="0" borderId="0" xfId="69" applyFont="1"/>
    <xf numFmtId="0" fontId="185" fillId="0" borderId="0" xfId="69" applyFont="1"/>
    <xf numFmtId="0" fontId="186" fillId="0" borderId="0" xfId="69" applyFont="1"/>
    <xf numFmtId="0" fontId="187" fillId="0" borderId="0" xfId="69" applyFont="1"/>
    <xf numFmtId="232" fontId="187" fillId="0" borderId="0" xfId="69" applyNumberFormat="1" applyFont="1" applyAlignment="1">
      <alignment horizontal="left"/>
    </xf>
    <xf numFmtId="9" fontId="188" fillId="0" borderId="0" xfId="69" applyNumberFormat="1" applyFont="1"/>
    <xf numFmtId="0" fontId="34" fillId="74" borderId="0" xfId="69" applyFont="1" applyFill="1"/>
    <xf numFmtId="0" fontId="189" fillId="0" borderId="0" xfId="69" applyFont="1"/>
    <xf numFmtId="232" fontId="190" fillId="24" borderId="0" xfId="3376" applyNumberFormat="1" applyFont="1" applyFill="1" applyAlignment="1">
      <alignment horizontal="left"/>
    </xf>
    <xf numFmtId="0" fontId="191" fillId="24" borderId="0" xfId="3376" applyNumberFormat="1" applyFont="1" applyFill="1" applyAlignment="1">
      <alignment horizontal="left" vertical="center"/>
    </xf>
    <xf numFmtId="49" fontId="191" fillId="24" borderId="0" xfId="3376" applyNumberFormat="1" applyFont="1" applyFill="1" applyAlignment="1">
      <alignment horizontal="left" vertical="center"/>
    </xf>
    <xf numFmtId="0" fontId="192" fillId="0" borderId="0" xfId="0" applyFont="1"/>
    <xf numFmtId="0" fontId="9" fillId="0" borderId="0" xfId="69"/>
    <xf numFmtId="0" fontId="193" fillId="24" borderId="0" xfId="3376" applyNumberFormat="1" applyFont="1" applyFill="1" applyAlignment="1">
      <alignment horizontal="left" vertical="center"/>
    </xf>
    <xf numFmtId="0" fontId="194" fillId="24" borderId="0" xfId="189" applyNumberFormat="1" applyFont="1" applyFill="1" applyAlignment="1">
      <alignment horizontal="left" vertical="center"/>
    </xf>
    <xf numFmtId="0" fontId="195" fillId="24" borderId="0" xfId="189" applyNumberFormat="1" applyFont="1" applyFill="1" applyAlignment="1">
      <alignment horizontal="left" vertical="center"/>
    </xf>
    <xf numFmtId="0" fontId="196" fillId="0" borderId="0" xfId="189" applyNumberFormat="1" applyFont="1" applyFill="1" applyAlignment="1">
      <alignment horizontal="left" vertical="center"/>
    </xf>
    <xf numFmtId="0" fontId="169" fillId="0" borderId="0" xfId="3376" applyNumberFormat="1" applyFont="1" applyAlignment="1">
      <alignment horizontal="left" vertical="center"/>
    </xf>
    <xf numFmtId="0" fontId="195" fillId="0" borderId="0" xfId="189" applyNumberFormat="1" applyFont="1" applyFill="1" applyAlignment="1">
      <alignment horizontal="left" vertical="center"/>
    </xf>
    <xf numFmtId="9" fontId="178" fillId="0" borderId="0" xfId="121" applyFont="1" applyFill="1" applyBorder="1" applyAlignment="1" applyProtection="1"/>
    <xf numFmtId="167" fontId="29" fillId="0" borderId="0" xfId="105" applyNumberFormat="1" applyFont="1"/>
    <xf numFmtId="236" fontId="55" fillId="0" borderId="0" xfId="105" applyNumberFormat="1" applyFont="1"/>
    <xf numFmtId="43" fontId="29" fillId="0" borderId="0" xfId="119" applyFont="1" applyFill="1" applyBorder="1" applyAlignment="1"/>
    <xf numFmtId="167" fontId="29" fillId="25" borderId="0" xfId="105" applyNumberFormat="1" applyFont="1" applyFill="1"/>
    <xf numFmtId="2" fontId="29" fillId="25" borderId="0" xfId="105" applyNumberFormat="1" applyFont="1" applyFill="1"/>
    <xf numFmtId="0" fontId="29" fillId="0" borderId="0" xfId="105" applyFont="1"/>
    <xf numFmtId="233" fontId="29" fillId="0" borderId="0" xfId="105" applyNumberFormat="1" applyFont="1"/>
    <xf numFmtId="233" fontId="179" fillId="0" borderId="0" xfId="105" applyNumberFormat="1" applyFont="1"/>
    <xf numFmtId="0" fontId="179" fillId="0" borderId="0" xfId="105" applyFont="1"/>
    <xf numFmtId="0" fontId="71" fillId="0" borderId="181" xfId="105" applyFont="1" applyBorder="1"/>
    <xf numFmtId="0" fontId="71" fillId="71" borderId="28" xfId="105" applyFont="1" applyFill="1" applyBorder="1"/>
    <xf numFmtId="0" fontId="44" fillId="0" borderId="182" xfId="105" applyFont="1" applyBorder="1"/>
    <xf numFmtId="0" fontId="42" fillId="0" borderId="0" xfId="105" applyFont="1"/>
    <xf numFmtId="17" fontId="181" fillId="25" borderId="0" xfId="105" quotePrefix="1" applyNumberFormat="1" applyFont="1" applyFill="1" applyAlignment="1">
      <alignment horizontal="right"/>
    </xf>
    <xf numFmtId="17" fontId="181" fillId="25" borderId="183" xfId="105" applyNumberFormat="1" applyFont="1" applyFill="1" applyBorder="1" applyAlignment="1">
      <alignment horizontal="right"/>
    </xf>
    <xf numFmtId="17" fontId="181" fillId="25" borderId="173" xfId="105" quotePrefix="1" applyNumberFormat="1" applyFont="1" applyFill="1" applyBorder="1" applyAlignment="1">
      <alignment horizontal="right"/>
    </xf>
    <xf numFmtId="0" fontId="181" fillId="25" borderId="0" xfId="105" applyFont="1" applyFill="1" applyAlignment="1">
      <alignment horizontal="right"/>
    </xf>
    <xf numFmtId="0" fontId="181" fillId="25" borderId="183" xfId="105" applyFont="1" applyFill="1" applyBorder="1" applyAlignment="1">
      <alignment horizontal="right"/>
    </xf>
    <xf numFmtId="0" fontId="181" fillId="25" borderId="181" xfId="105" applyFont="1" applyFill="1" applyBorder="1" applyAlignment="1">
      <alignment horizontal="right"/>
    </xf>
    <xf numFmtId="17" fontId="181" fillId="25" borderId="174" xfId="105" applyNumberFormat="1" applyFont="1" applyFill="1" applyBorder="1" applyAlignment="1">
      <alignment horizontal="right"/>
    </xf>
    <xf numFmtId="0" fontId="181" fillId="25" borderId="174" xfId="105" applyFont="1" applyFill="1" applyBorder="1" applyAlignment="1">
      <alignment horizontal="right"/>
    </xf>
    <xf numFmtId="0" fontId="180" fillId="27" borderId="185" xfId="105" applyFont="1" applyFill="1" applyBorder="1"/>
    <xf numFmtId="17" fontId="181" fillId="27" borderId="0" xfId="105" applyNumberFormat="1" applyFont="1" applyFill="1" applyAlignment="1">
      <alignment horizontal="right"/>
    </xf>
    <xf numFmtId="17" fontId="181" fillId="27" borderId="174" xfId="105" applyNumberFormat="1" applyFont="1" applyFill="1" applyBorder="1" applyAlignment="1">
      <alignment horizontal="right"/>
    </xf>
    <xf numFmtId="17" fontId="181" fillId="27" borderId="179" xfId="105" applyNumberFormat="1" applyFont="1" applyFill="1" applyBorder="1" applyAlignment="1">
      <alignment horizontal="right"/>
    </xf>
    <xf numFmtId="0" fontId="181" fillId="0" borderId="174" xfId="105" applyFont="1" applyBorder="1" applyAlignment="1">
      <alignment horizontal="right"/>
    </xf>
    <xf numFmtId="0" fontId="181" fillId="27" borderId="174" xfId="105" applyFont="1" applyFill="1" applyBorder="1" applyAlignment="1">
      <alignment horizontal="right"/>
    </xf>
    <xf numFmtId="0" fontId="181" fillId="27" borderId="185" xfId="105" applyFont="1" applyFill="1" applyBorder="1" applyAlignment="1">
      <alignment horizontal="right"/>
    </xf>
    <xf numFmtId="0" fontId="181" fillId="0" borderId="0" xfId="105" applyFont="1" applyAlignment="1">
      <alignment horizontal="right"/>
    </xf>
    <xf numFmtId="0" fontId="46" fillId="0" borderId="0" xfId="105" applyFont="1" applyAlignment="1">
      <alignment horizontal="right"/>
    </xf>
    <xf numFmtId="0" fontId="71" fillId="25" borderId="185" xfId="105" applyFont="1" applyFill="1" applyBorder="1"/>
    <xf numFmtId="236" fontId="44" fillId="25" borderId="0" xfId="105" applyNumberFormat="1" applyFont="1" applyFill="1"/>
    <xf numFmtId="236" fontId="44" fillId="25" borderId="174" xfId="105" applyNumberFormat="1" applyFont="1" applyFill="1" applyBorder="1"/>
    <xf numFmtId="236" fontId="44" fillId="25" borderId="179" xfId="105" applyNumberFormat="1" applyFont="1" applyFill="1" applyBorder="1"/>
    <xf numFmtId="236" fontId="44" fillId="25" borderId="185" xfId="105" applyNumberFormat="1" applyFont="1" applyFill="1" applyBorder="1"/>
    <xf numFmtId="236" fontId="71" fillId="25" borderId="0" xfId="105" applyNumberFormat="1" applyFont="1" applyFill="1"/>
    <xf numFmtId="236" fontId="71" fillId="25" borderId="174" xfId="105" applyNumberFormat="1" applyFont="1" applyFill="1" applyBorder="1"/>
    <xf numFmtId="236" fontId="71" fillId="25" borderId="179" xfId="105" applyNumberFormat="1" applyFont="1" applyFill="1" applyBorder="1"/>
    <xf numFmtId="237" fontId="71" fillId="25" borderId="0" xfId="120" applyNumberFormat="1" applyFont="1" applyFill="1" applyBorder="1" applyProtection="1"/>
    <xf numFmtId="236" fontId="71" fillId="25" borderId="185" xfId="105" applyNumberFormat="1" applyFont="1" applyFill="1" applyBorder="1"/>
    <xf numFmtId="238" fontId="42" fillId="25" borderId="0" xfId="105" applyNumberFormat="1" applyFont="1" applyFill="1"/>
    <xf numFmtId="185" fontId="67" fillId="0" borderId="0" xfId="105" applyNumberFormat="1" applyFont="1"/>
    <xf numFmtId="236" fontId="67" fillId="25" borderId="179" xfId="105" applyNumberFormat="1" applyFont="1" applyFill="1" applyBorder="1"/>
    <xf numFmtId="231" fontId="67" fillId="0" borderId="0" xfId="105" applyNumberFormat="1" applyFont="1"/>
    <xf numFmtId="184" fontId="197" fillId="0" borderId="0" xfId="105" applyNumberFormat="1" applyFont="1"/>
    <xf numFmtId="237" fontId="44" fillId="25" borderId="0" xfId="120" applyNumberFormat="1" applyFont="1" applyFill="1" applyBorder="1" applyProtection="1"/>
    <xf numFmtId="238" fontId="29" fillId="25" borderId="0" xfId="105" applyNumberFormat="1" applyFont="1" applyFill="1"/>
    <xf numFmtId="185" fontId="71" fillId="0" borderId="0" xfId="105" applyNumberFormat="1" applyFont="1"/>
    <xf numFmtId="231" fontId="71" fillId="0" borderId="0" xfId="105" applyNumberFormat="1" applyFont="1"/>
    <xf numFmtId="184" fontId="42" fillId="0" borderId="0" xfId="105" applyNumberFormat="1" applyFont="1"/>
    <xf numFmtId="185" fontId="44" fillId="0" borderId="0" xfId="105" applyNumberFormat="1" applyFont="1"/>
    <xf numFmtId="231" fontId="44" fillId="0" borderId="0" xfId="105" applyNumberFormat="1" applyFont="1"/>
    <xf numFmtId="184" fontId="29" fillId="0" borderId="0" xfId="105" applyNumberFormat="1" applyFont="1"/>
    <xf numFmtId="167" fontId="180" fillId="0" borderId="0" xfId="105" applyNumberFormat="1" applyFont="1"/>
    <xf numFmtId="167" fontId="168" fillId="0" borderId="0" xfId="105" applyNumberFormat="1" applyFont="1"/>
    <xf numFmtId="0" fontId="158" fillId="0" borderId="0" xfId="105" applyFont="1"/>
    <xf numFmtId="239" fontId="42" fillId="0" borderId="0" xfId="105" applyNumberFormat="1" applyFont="1"/>
    <xf numFmtId="230" fontId="67" fillId="25" borderId="0" xfId="105" applyNumberFormat="1" applyFont="1" applyFill="1"/>
    <xf numFmtId="239" fontId="197" fillId="0" borderId="0" xfId="105" applyNumberFormat="1" applyFont="1"/>
    <xf numFmtId="230" fontId="44" fillId="25" borderId="0" xfId="105" applyNumberFormat="1" applyFont="1" applyFill="1"/>
    <xf numFmtId="230" fontId="44" fillId="25" borderId="174" xfId="105" applyNumberFormat="1" applyFont="1" applyFill="1" applyBorder="1"/>
    <xf numFmtId="230" fontId="44" fillId="25" borderId="179" xfId="105" applyNumberFormat="1" applyFont="1" applyFill="1" applyBorder="1"/>
    <xf numFmtId="239" fontId="29" fillId="0" borderId="0" xfId="105" applyNumberFormat="1" applyFont="1"/>
    <xf numFmtId="9" fontId="168" fillId="25" borderId="0" xfId="121" applyFont="1" applyFill="1" applyBorder="1" applyAlignment="1" applyProtection="1"/>
    <xf numFmtId="9" fontId="168" fillId="25" borderId="174" xfId="121" applyFont="1" applyFill="1" applyBorder="1" applyAlignment="1" applyProtection="1"/>
    <xf numFmtId="235" fontId="180" fillId="0" borderId="0" xfId="105" applyNumberFormat="1" applyFont="1"/>
    <xf numFmtId="234" fontId="199" fillId="0" borderId="0" xfId="105" applyNumberFormat="1" applyFont="1"/>
    <xf numFmtId="7" fontId="71" fillId="25" borderId="0" xfId="105" applyNumberFormat="1" applyFont="1" applyFill="1"/>
    <xf numFmtId="241" fontId="71" fillId="25" borderId="0" xfId="105" applyNumberFormat="1" applyFont="1" applyFill="1"/>
    <xf numFmtId="241" fontId="71" fillId="25" borderId="179" xfId="105" applyNumberFormat="1" applyFont="1" applyFill="1" applyBorder="1"/>
    <xf numFmtId="241" fontId="71" fillId="25" borderId="174" xfId="105" applyNumberFormat="1" applyFont="1" applyFill="1" applyBorder="1"/>
    <xf numFmtId="241" fontId="71" fillId="25" borderId="185" xfId="105" applyNumberFormat="1" applyFont="1" applyFill="1" applyBorder="1"/>
    <xf numFmtId="239" fontId="71" fillId="0" borderId="0" xfId="105" applyNumberFormat="1" applyFont="1"/>
    <xf numFmtId="7" fontId="67" fillId="25" borderId="0" xfId="105" applyNumberFormat="1" applyFont="1" applyFill="1"/>
    <xf numFmtId="241" fontId="67" fillId="25" borderId="0" xfId="105" applyNumberFormat="1" applyFont="1" applyFill="1"/>
    <xf numFmtId="241" fontId="67" fillId="25" borderId="179" xfId="105" applyNumberFormat="1" applyFont="1" applyFill="1" applyBorder="1"/>
    <xf numFmtId="241" fontId="67" fillId="25" borderId="174" xfId="105" applyNumberFormat="1" applyFont="1" applyFill="1" applyBorder="1"/>
    <xf numFmtId="241" fontId="67" fillId="26" borderId="179" xfId="105" applyNumberFormat="1" applyFont="1" applyFill="1" applyBorder="1"/>
    <xf numFmtId="241" fontId="67" fillId="25" borderId="185" xfId="105" applyNumberFormat="1" applyFont="1" applyFill="1" applyBorder="1"/>
    <xf numFmtId="239" fontId="67" fillId="0" borderId="0" xfId="105" applyNumberFormat="1" applyFont="1"/>
    <xf numFmtId="168" fontId="44" fillId="25" borderId="171" xfId="105" applyNumberFormat="1" applyFont="1" applyFill="1" applyBorder="1"/>
    <xf numFmtId="186" fontId="44" fillId="0" borderId="0" xfId="105" applyNumberFormat="1" applyFont="1"/>
    <xf numFmtId="235" fontId="44" fillId="0" borderId="0" xfId="105" applyNumberFormat="1" applyFont="1"/>
    <xf numFmtId="240" fontId="44" fillId="0" borderId="188" xfId="105" applyNumberFormat="1" applyFont="1" applyBorder="1"/>
    <xf numFmtId="234" fontId="42" fillId="0" borderId="0" xfId="105" applyNumberFormat="1" applyFont="1"/>
    <xf numFmtId="185" fontId="200" fillId="0" borderId="173" xfId="105" applyNumberFormat="1" applyFont="1" applyBorder="1"/>
    <xf numFmtId="231" fontId="200" fillId="0" borderId="0" xfId="119" applyNumberFormat="1" applyFont="1" applyFill="1" applyBorder="1" applyAlignment="1" applyProtection="1"/>
    <xf numFmtId="239" fontId="180" fillId="25" borderId="171" xfId="105" applyNumberFormat="1" applyFont="1" applyFill="1" applyBorder="1" applyAlignment="1">
      <alignment horizontal="left"/>
    </xf>
    <xf numFmtId="236" fontId="71" fillId="25" borderId="0" xfId="119" applyNumberFormat="1" applyFont="1" applyFill="1" applyBorder="1" applyAlignment="1" applyProtection="1"/>
    <xf numFmtId="236" fontId="71" fillId="25" borderId="183" xfId="119" applyNumberFormat="1" applyFont="1" applyFill="1" applyBorder="1" applyAlignment="1" applyProtection="1"/>
    <xf numFmtId="236" fontId="71" fillId="25" borderId="182" xfId="119" applyNumberFormat="1" applyFont="1" applyFill="1" applyBorder="1" applyAlignment="1" applyProtection="1"/>
    <xf numFmtId="236" fontId="71" fillId="25" borderId="29" xfId="119" applyNumberFormat="1" applyFont="1" applyFill="1" applyBorder="1" applyAlignment="1" applyProtection="1"/>
    <xf numFmtId="236" fontId="44" fillId="25" borderId="171" xfId="105" applyNumberFormat="1" applyFont="1" applyFill="1" applyBorder="1"/>
    <xf numFmtId="236" fontId="44" fillId="25" borderId="182" xfId="105" applyNumberFormat="1" applyFont="1" applyFill="1" applyBorder="1"/>
    <xf numFmtId="185" fontId="71" fillId="0" borderId="0" xfId="119" applyNumberFormat="1" applyFont="1" applyFill="1" applyBorder="1" applyAlignment="1" applyProtection="1"/>
    <xf numFmtId="0" fontId="71" fillId="25" borderId="171" xfId="3379" applyNumberFormat="1" applyFont="1" applyFill="1" applyBorder="1" applyAlignment="1" applyProtection="1">
      <alignment horizontal="left" indent="1"/>
    </xf>
    <xf numFmtId="236" fontId="71" fillId="25" borderId="171" xfId="105" applyNumberFormat="1" applyFont="1" applyFill="1" applyBorder="1"/>
    <xf numFmtId="0" fontId="168" fillId="25" borderId="171" xfId="3379" applyNumberFormat="1" applyFont="1" applyFill="1" applyBorder="1" applyAlignment="1" applyProtection="1">
      <alignment horizontal="left" indent="2"/>
    </xf>
    <xf numFmtId="185" fontId="168" fillId="0" borderId="0" xfId="105" applyNumberFormat="1" applyFont="1"/>
    <xf numFmtId="185" fontId="168" fillId="0" borderId="0" xfId="119" applyNumberFormat="1" applyFont="1" applyFill="1" applyBorder="1" applyAlignment="1" applyProtection="1"/>
    <xf numFmtId="239" fontId="199" fillId="0" borderId="0" xfId="105" applyNumberFormat="1" applyFont="1"/>
    <xf numFmtId="171" fontId="71" fillId="25" borderId="0" xfId="105" applyNumberFormat="1" applyFont="1" applyFill="1"/>
    <xf numFmtId="185" fontId="200" fillId="0" borderId="0" xfId="105" applyNumberFormat="1" applyFont="1"/>
    <xf numFmtId="185" fontId="201" fillId="0" borderId="0" xfId="105" applyNumberFormat="1" applyFont="1"/>
    <xf numFmtId="231" fontId="201" fillId="0" borderId="0" xfId="119" applyNumberFormat="1" applyFont="1" applyFill="1" applyBorder="1" applyAlignment="1" applyProtection="1"/>
    <xf numFmtId="185" fontId="202" fillId="0" borderId="0" xfId="105" applyNumberFormat="1" applyFont="1"/>
    <xf numFmtId="231" fontId="202" fillId="0" borderId="0" xfId="119" applyNumberFormat="1" applyFont="1" applyFill="1" applyBorder="1" applyAlignment="1" applyProtection="1"/>
    <xf numFmtId="184" fontId="183" fillId="0" borderId="0" xfId="105" applyNumberFormat="1" applyFont="1"/>
    <xf numFmtId="231" fontId="29" fillId="0" borderId="0" xfId="105" applyNumberFormat="1" applyFont="1"/>
    <xf numFmtId="236" fontId="67" fillId="25" borderId="171" xfId="105" applyNumberFormat="1" applyFont="1" applyFill="1" applyBorder="1"/>
    <xf numFmtId="241" fontId="71" fillId="25" borderId="29" xfId="105" applyNumberFormat="1" applyFont="1" applyFill="1" applyBorder="1"/>
    <xf numFmtId="241" fontId="71" fillId="25" borderId="182" xfId="105" applyNumberFormat="1" applyFont="1" applyFill="1" applyBorder="1"/>
    <xf numFmtId="241" fontId="71" fillId="0" borderId="0" xfId="105" applyNumberFormat="1" applyFont="1"/>
    <xf numFmtId="241" fontId="71" fillId="25" borderId="171" xfId="105" applyNumberFormat="1" applyFont="1" applyFill="1" applyBorder="1"/>
    <xf numFmtId="241" fontId="67" fillId="25" borderId="182" xfId="105" applyNumberFormat="1" applyFont="1" applyFill="1" applyBorder="1"/>
    <xf numFmtId="241" fontId="67" fillId="25" borderId="29" xfId="105" applyNumberFormat="1" applyFont="1" applyFill="1" applyBorder="1"/>
    <xf numFmtId="241" fontId="67" fillId="26" borderId="182" xfId="105" applyNumberFormat="1" applyFont="1" applyFill="1" applyBorder="1"/>
    <xf numFmtId="241" fontId="67" fillId="25" borderId="171" xfId="105" applyNumberFormat="1" applyFont="1" applyFill="1" applyBorder="1"/>
    <xf numFmtId="184" fontId="44" fillId="25" borderId="189" xfId="105" applyNumberFormat="1" applyFont="1" applyFill="1" applyBorder="1" applyAlignment="1">
      <alignment horizontal="left"/>
    </xf>
    <xf numFmtId="0" fontId="165" fillId="0" borderId="0" xfId="105" applyFont="1"/>
    <xf numFmtId="0" fontId="71" fillId="71" borderId="163" xfId="105" applyFont="1" applyFill="1" applyBorder="1"/>
    <xf numFmtId="0" fontId="181" fillId="0" borderId="171" xfId="105" applyFont="1" applyBorder="1" applyAlignment="1">
      <alignment horizontal="right"/>
    </xf>
    <xf numFmtId="17" fontId="181" fillId="0" borderId="0" xfId="105" applyNumberFormat="1" applyFont="1" applyAlignment="1">
      <alignment horizontal="right"/>
    </xf>
    <xf numFmtId="17" fontId="181" fillId="0" borderId="173" xfId="105" applyNumberFormat="1" applyFont="1" applyBorder="1" applyAlignment="1">
      <alignment horizontal="right"/>
    </xf>
    <xf numFmtId="17" fontId="181" fillId="0" borderId="183" xfId="105" applyNumberFormat="1" applyFont="1" applyBorder="1" applyAlignment="1">
      <alignment horizontal="right"/>
    </xf>
    <xf numFmtId="17" fontId="181" fillId="0" borderId="174" xfId="105" applyNumberFormat="1" applyFont="1" applyBorder="1" applyAlignment="1">
      <alignment horizontal="right"/>
    </xf>
    <xf numFmtId="0" fontId="181" fillId="0" borderId="184" xfId="105" applyFont="1" applyBorder="1" applyAlignment="1">
      <alignment horizontal="right"/>
    </xf>
    <xf numFmtId="0" fontId="181" fillId="0" borderId="185" xfId="105" applyFont="1" applyBorder="1" applyAlignment="1">
      <alignment horizontal="right"/>
    </xf>
    <xf numFmtId="0" fontId="181" fillId="0" borderId="181" xfId="105" applyFont="1" applyBorder="1" applyAlignment="1">
      <alignment horizontal="right"/>
    </xf>
    <xf numFmtId="0" fontId="181" fillId="0" borderId="182" xfId="105" applyFont="1" applyBorder="1" applyAlignment="1">
      <alignment horizontal="right"/>
    </xf>
    <xf numFmtId="0" fontId="181" fillId="0" borderId="171" xfId="105" applyFont="1" applyBorder="1" applyAlignment="1">
      <alignment horizontal="left"/>
    </xf>
    <xf numFmtId="165" fontId="44" fillId="25" borderId="0" xfId="105" applyNumberFormat="1" applyFont="1" applyFill="1"/>
    <xf numFmtId="165" fontId="44" fillId="25" borderId="173" xfId="105" applyNumberFormat="1" applyFont="1" applyFill="1" applyBorder="1"/>
    <xf numFmtId="165" fontId="44" fillId="25" borderId="183" xfId="105" applyNumberFormat="1" applyFont="1" applyFill="1" applyBorder="1"/>
    <xf numFmtId="165" fontId="44" fillId="0" borderId="183" xfId="105" applyNumberFormat="1" applyFont="1" applyBorder="1"/>
    <xf numFmtId="165" fontId="44" fillId="0" borderId="0" xfId="105" applyNumberFormat="1" applyFont="1"/>
    <xf numFmtId="165" fontId="44" fillId="0" borderId="173" xfId="105" applyNumberFormat="1" applyFont="1" applyBorder="1"/>
    <xf numFmtId="165" fontId="44" fillId="0" borderId="174" xfId="105" applyNumberFormat="1" applyFont="1" applyBorder="1"/>
    <xf numFmtId="0" fontId="44" fillId="0" borderId="0" xfId="105" applyFont="1"/>
    <xf numFmtId="0" fontId="44" fillId="25" borderId="181" xfId="105" applyFont="1" applyFill="1" applyBorder="1"/>
    <xf numFmtId="0" fontId="71" fillId="0" borderId="171" xfId="105" applyFont="1" applyBorder="1" applyAlignment="1">
      <alignment horizontal="left"/>
    </xf>
    <xf numFmtId="165" fontId="71" fillId="25" borderId="0" xfId="105" applyNumberFormat="1" applyFont="1" applyFill="1" applyAlignment="1">
      <alignment horizontal="right"/>
    </xf>
    <xf numFmtId="165" fontId="71" fillId="25" borderId="173" xfId="105" applyNumberFormat="1" applyFont="1" applyFill="1" applyBorder="1" applyAlignment="1">
      <alignment horizontal="right"/>
    </xf>
    <xf numFmtId="165" fontId="71" fillId="25" borderId="183" xfId="105" applyNumberFormat="1" applyFont="1" applyFill="1" applyBorder="1" applyAlignment="1">
      <alignment horizontal="right"/>
    </xf>
    <xf numFmtId="165" fontId="71" fillId="25" borderId="174" xfId="105" applyNumberFormat="1" applyFont="1" applyFill="1" applyBorder="1" applyAlignment="1">
      <alignment horizontal="right"/>
    </xf>
    <xf numFmtId="167" fontId="71" fillId="0" borderId="0" xfId="105" applyNumberFormat="1" applyFont="1"/>
    <xf numFmtId="0" fontId="44" fillId="0" borderId="171" xfId="105" applyFont="1" applyBorder="1" applyAlignment="1">
      <alignment horizontal="left"/>
    </xf>
    <xf numFmtId="165" fontId="44" fillId="25" borderId="0" xfId="105" applyNumberFormat="1" applyFont="1" applyFill="1" applyAlignment="1">
      <alignment horizontal="right"/>
    </xf>
    <xf numFmtId="165" fontId="44" fillId="25" borderId="173" xfId="105" applyNumberFormat="1" applyFont="1" applyFill="1" applyBorder="1" applyAlignment="1">
      <alignment horizontal="right"/>
    </xf>
    <xf numFmtId="165" fontId="44" fillId="25" borderId="183" xfId="105" applyNumberFormat="1" applyFont="1" applyFill="1" applyBorder="1" applyAlignment="1">
      <alignment horizontal="right"/>
    </xf>
    <xf numFmtId="165" fontId="44" fillId="25" borderId="174" xfId="105" applyNumberFormat="1" applyFont="1" applyFill="1" applyBorder="1" applyAlignment="1">
      <alignment horizontal="right"/>
    </xf>
    <xf numFmtId="167" fontId="44" fillId="0" borderId="0" xfId="105" applyNumberFormat="1" applyFont="1"/>
    <xf numFmtId="242" fontId="44" fillId="25" borderId="0" xfId="105" applyNumberFormat="1" applyFont="1" applyFill="1" applyAlignment="1">
      <alignment horizontal="right"/>
    </xf>
    <xf numFmtId="239" fontId="44" fillId="0" borderId="32" xfId="105" applyNumberFormat="1" applyFont="1" applyBorder="1" applyAlignment="1">
      <alignment horizontal="left"/>
    </xf>
    <xf numFmtId="165" fontId="44" fillId="25" borderId="137" xfId="105" applyNumberFormat="1" applyFont="1" applyFill="1" applyBorder="1" applyAlignment="1">
      <alignment horizontal="right"/>
    </xf>
    <xf numFmtId="165" fontId="44" fillId="25" borderId="186" xfId="105" applyNumberFormat="1" applyFont="1" applyFill="1" applyBorder="1" applyAlignment="1">
      <alignment horizontal="right"/>
    </xf>
    <xf numFmtId="165" fontId="44" fillId="25" borderId="187" xfId="105" applyNumberFormat="1" applyFont="1" applyFill="1" applyBorder="1" applyAlignment="1">
      <alignment horizontal="right"/>
    </xf>
    <xf numFmtId="165" fontId="44" fillId="25" borderId="147" xfId="105" applyNumberFormat="1" applyFont="1" applyFill="1" applyBorder="1" applyAlignment="1">
      <alignment horizontal="right"/>
    </xf>
    <xf numFmtId="0" fontId="181" fillId="0" borderId="11" xfId="105" applyFont="1" applyBorder="1" applyAlignment="1">
      <alignment horizontal="right"/>
    </xf>
    <xf numFmtId="17" fontId="181" fillId="25" borderId="11" xfId="105" applyNumberFormat="1" applyFont="1" applyFill="1" applyBorder="1" applyAlignment="1">
      <alignment horizontal="right"/>
    </xf>
    <xf numFmtId="17" fontId="181" fillId="0" borderId="11" xfId="105" applyNumberFormat="1" applyFont="1" applyBorder="1" applyAlignment="1">
      <alignment horizontal="right"/>
    </xf>
    <xf numFmtId="0" fontId="181" fillId="0" borderId="182" xfId="105" applyFont="1" applyBorder="1" applyAlignment="1">
      <alignment horizontal="left"/>
    </xf>
    <xf numFmtId="0" fontId="44" fillId="25" borderId="183" xfId="105" applyFont="1" applyFill="1" applyBorder="1"/>
    <xf numFmtId="0" fontId="44" fillId="25" borderId="0" xfId="105" applyFont="1" applyFill="1"/>
    <xf numFmtId="0" fontId="44" fillId="25" borderId="173" xfId="105" applyFont="1" applyFill="1" applyBorder="1"/>
    <xf numFmtId="0" fontId="44" fillId="25" borderId="174" xfId="105" applyFont="1" applyFill="1" applyBorder="1"/>
    <xf numFmtId="0" fontId="71" fillId="0" borderId="182" xfId="105" applyFont="1" applyBorder="1" applyAlignment="1">
      <alignment horizontal="left"/>
    </xf>
    <xf numFmtId="0" fontId="44" fillId="0" borderId="182" xfId="105" applyFont="1" applyBorder="1" applyAlignment="1">
      <alignment horizontal="left"/>
    </xf>
    <xf numFmtId="242" fontId="71" fillId="25" borderId="0" xfId="105" applyNumberFormat="1" applyFont="1" applyFill="1" applyAlignment="1">
      <alignment horizontal="right"/>
    </xf>
    <xf numFmtId="242" fontId="71" fillId="25" borderId="183" xfId="105" applyNumberFormat="1" applyFont="1" applyFill="1" applyBorder="1" applyAlignment="1">
      <alignment horizontal="right"/>
    </xf>
    <xf numFmtId="242" fontId="44" fillId="25" borderId="173" xfId="105" applyNumberFormat="1" applyFont="1" applyFill="1" applyBorder="1" applyAlignment="1">
      <alignment horizontal="right"/>
    </xf>
    <xf numFmtId="239" fontId="44" fillId="0" borderId="149" xfId="105" applyNumberFormat="1" applyFont="1" applyBorder="1" applyAlignment="1">
      <alignment horizontal="left"/>
    </xf>
    <xf numFmtId="242" fontId="44" fillId="25" borderId="186" xfId="105" applyNumberFormat="1" applyFont="1" applyFill="1" applyBorder="1" applyAlignment="1">
      <alignment horizontal="right"/>
    </xf>
    <xf numFmtId="0" fontId="181" fillId="0" borderId="163" xfId="105" applyFont="1" applyBorder="1" applyAlignment="1">
      <alignment horizontal="left"/>
    </xf>
    <xf numFmtId="17" fontId="181" fillId="25" borderId="28" xfId="105" applyNumberFormat="1" applyFont="1" applyFill="1" applyBorder="1" applyAlignment="1">
      <alignment horizontal="right"/>
    </xf>
    <xf numFmtId="17" fontId="181" fillId="25" borderId="190" xfId="105" applyNumberFormat="1" applyFont="1" applyFill="1" applyBorder="1" applyAlignment="1">
      <alignment horizontal="right"/>
    </xf>
    <xf numFmtId="17" fontId="181" fillId="25" borderId="192" xfId="105" applyNumberFormat="1" applyFont="1" applyFill="1" applyBorder="1" applyAlignment="1">
      <alignment horizontal="right"/>
    </xf>
    <xf numFmtId="17" fontId="181" fillId="0" borderId="192" xfId="105" applyNumberFormat="1" applyFont="1" applyBorder="1" applyAlignment="1">
      <alignment horizontal="right"/>
    </xf>
    <xf numFmtId="17" fontId="181" fillId="0" borderId="28" xfId="105" applyNumberFormat="1" applyFont="1" applyBorder="1" applyAlignment="1">
      <alignment horizontal="right"/>
    </xf>
    <xf numFmtId="17" fontId="181" fillId="0" borderId="190" xfId="105" applyNumberFormat="1" applyFont="1" applyBorder="1" applyAlignment="1">
      <alignment horizontal="right"/>
    </xf>
    <xf numFmtId="17" fontId="181" fillId="25" borderId="193" xfId="105" applyNumberFormat="1" applyFont="1" applyFill="1" applyBorder="1" applyAlignment="1">
      <alignment horizontal="right"/>
    </xf>
    <xf numFmtId="17" fontId="181" fillId="0" borderId="193" xfId="105" applyNumberFormat="1" applyFont="1" applyBorder="1" applyAlignment="1">
      <alignment horizontal="right"/>
    </xf>
    <xf numFmtId="17" fontId="181" fillId="0" borderId="177" xfId="105" applyNumberFormat="1" applyFont="1" applyBorder="1" applyAlignment="1">
      <alignment horizontal="right"/>
    </xf>
    <xf numFmtId="0" fontId="181" fillId="0" borderId="163" xfId="105" applyFont="1" applyBorder="1" applyAlignment="1">
      <alignment horizontal="right"/>
    </xf>
    <xf numFmtId="0" fontId="181" fillId="25" borderId="163" xfId="105" applyFont="1" applyFill="1" applyBorder="1" applyAlignment="1">
      <alignment horizontal="right"/>
    </xf>
    <xf numFmtId="165" fontId="44" fillId="25" borderId="29" xfId="105" applyNumberFormat="1" applyFont="1" applyFill="1" applyBorder="1" applyAlignment="1">
      <alignment horizontal="right"/>
    </xf>
    <xf numFmtId="165" fontId="44" fillId="25" borderId="171" xfId="105" applyNumberFormat="1" applyFont="1" applyFill="1" applyBorder="1" applyAlignment="1">
      <alignment horizontal="right"/>
    </xf>
    <xf numFmtId="165" fontId="71" fillId="25" borderId="29" xfId="105" applyNumberFormat="1" applyFont="1" applyFill="1" applyBorder="1" applyAlignment="1">
      <alignment horizontal="right"/>
    </xf>
    <xf numFmtId="165" fontId="71" fillId="25" borderId="171" xfId="105" applyNumberFormat="1" applyFont="1" applyFill="1" applyBorder="1" applyAlignment="1">
      <alignment horizontal="right"/>
    </xf>
    <xf numFmtId="165" fontId="44" fillId="25" borderId="28" xfId="105" applyNumberFormat="1" applyFont="1" applyFill="1" applyBorder="1"/>
    <xf numFmtId="165" fontId="44" fillId="0" borderId="28" xfId="105" applyNumberFormat="1" applyFont="1" applyBorder="1"/>
    <xf numFmtId="0" fontId="44" fillId="0" borderId="0" xfId="105" applyFont="1" applyAlignment="1">
      <alignment horizontal="left"/>
    </xf>
    <xf numFmtId="0" fontId="71" fillId="0" borderId="0" xfId="105" applyFont="1" applyAlignment="1">
      <alignment horizontal="left"/>
    </xf>
    <xf numFmtId="0" fontId="181" fillId="0" borderId="177" xfId="105" applyFont="1" applyBorder="1"/>
    <xf numFmtId="236" fontId="202" fillId="25" borderId="177" xfId="105" applyNumberFormat="1" applyFont="1" applyFill="1" applyBorder="1"/>
    <xf numFmtId="236" fontId="202" fillId="25" borderId="28" xfId="105" applyNumberFormat="1" applyFont="1" applyFill="1" applyBorder="1"/>
    <xf numFmtId="0" fontId="29" fillId="0" borderId="163" xfId="105" applyFont="1" applyBorder="1"/>
    <xf numFmtId="236" fontId="65" fillId="25" borderId="182" xfId="105" applyNumberFormat="1" applyFont="1" applyFill="1" applyBorder="1"/>
    <xf numFmtId="236" fontId="65" fillId="25" borderId="0" xfId="105" applyNumberFormat="1" applyFont="1" applyFill="1"/>
    <xf numFmtId="236" fontId="65" fillId="25" borderId="174" xfId="105" applyNumberFormat="1" applyFont="1" applyFill="1" applyBorder="1"/>
    <xf numFmtId="236" fontId="71" fillId="25" borderId="182" xfId="105" applyNumberFormat="1" applyFont="1" applyFill="1" applyBorder="1"/>
    <xf numFmtId="243" fontId="71" fillId="25" borderId="182" xfId="105" applyNumberFormat="1" applyFont="1" applyFill="1" applyBorder="1"/>
    <xf numFmtId="243" fontId="71" fillId="25" borderId="0" xfId="105" applyNumberFormat="1" applyFont="1" applyFill="1"/>
    <xf numFmtId="243" fontId="71" fillId="25" borderId="174" xfId="105" applyNumberFormat="1" applyFont="1" applyFill="1" applyBorder="1"/>
    <xf numFmtId="230" fontId="29" fillId="0" borderId="171" xfId="105" applyNumberFormat="1" applyFont="1" applyBorder="1"/>
    <xf numFmtId="0" fontId="29" fillId="0" borderId="171" xfId="105" applyFont="1" applyBorder="1"/>
    <xf numFmtId="184" fontId="44" fillId="25" borderId="183" xfId="105" applyNumberFormat="1" applyFont="1" applyFill="1" applyBorder="1" applyAlignment="1">
      <alignment horizontal="left" indent="1"/>
    </xf>
    <xf numFmtId="0" fontId="42" fillId="0" borderId="171" xfId="105" applyFont="1" applyBorder="1"/>
    <xf numFmtId="184" fontId="71" fillId="25" borderId="183" xfId="105" applyNumberFormat="1" applyFont="1" applyFill="1" applyBorder="1" applyAlignment="1">
      <alignment horizontal="left"/>
    </xf>
    <xf numFmtId="184" fontId="168" fillId="25" borderId="183" xfId="105" applyNumberFormat="1" applyFont="1" applyFill="1" applyBorder="1" applyAlignment="1">
      <alignment horizontal="left" indent="1"/>
    </xf>
    <xf numFmtId="9" fontId="168" fillId="25" borderId="182" xfId="121" applyFont="1" applyFill="1" applyBorder="1" applyAlignment="1" applyProtection="1"/>
    <xf numFmtId="9" fontId="198" fillId="25" borderId="183" xfId="121" applyFont="1" applyFill="1" applyBorder="1" applyAlignment="1" applyProtection="1"/>
    <xf numFmtId="9" fontId="198" fillId="25" borderId="0" xfId="121" applyFont="1" applyFill="1" applyBorder="1" applyAlignment="1" applyProtection="1"/>
    <xf numFmtId="9" fontId="198" fillId="25" borderId="173" xfId="121" applyFont="1" applyFill="1" applyBorder="1" applyAlignment="1" applyProtection="1"/>
    <xf numFmtId="9" fontId="168" fillId="25" borderId="171" xfId="121" applyFont="1" applyFill="1" applyBorder="1" applyAlignment="1" applyProtection="1"/>
    <xf numFmtId="234" fontId="71" fillId="25" borderId="183" xfId="105" applyNumberFormat="1" applyFont="1" applyFill="1" applyBorder="1" applyAlignment="1">
      <alignment horizontal="left"/>
    </xf>
    <xf numFmtId="0" fontId="71" fillId="0" borderId="0" xfId="105" applyFont="1"/>
    <xf numFmtId="243" fontId="71" fillId="25" borderId="179" xfId="105" applyNumberFormat="1" applyFont="1" applyFill="1" applyBorder="1"/>
    <xf numFmtId="0" fontId="44" fillId="0" borderId="171" xfId="105" applyFont="1" applyBorder="1"/>
    <xf numFmtId="241" fontId="44" fillId="25" borderId="179" xfId="105" applyNumberFormat="1" applyFont="1" applyFill="1" applyBorder="1"/>
    <xf numFmtId="241" fontId="44" fillId="25" borderId="0" xfId="105" applyNumberFormat="1" applyFont="1" applyFill="1"/>
    <xf numFmtId="241" fontId="44" fillId="25" borderId="174" xfId="105" applyNumberFormat="1" applyFont="1" applyFill="1" applyBorder="1"/>
    <xf numFmtId="39" fontId="44" fillId="25" borderId="171" xfId="105" applyNumberFormat="1" applyFont="1" applyFill="1" applyBorder="1"/>
    <xf numFmtId="0" fontId="71" fillId="25" borderId="0" xfId="105" applyFont="1" applyFill="1"/>
    <xf numFmtId="0" fontId="71" fillId="25" borderId="174" xfId="105" applyFont="1" applyFill="1" applyBorder="1"/>
    <xf numFmtId="39" fontId="71" fillId="25" borderId="171" xfId="105" applyNumberFormat="1" applyFont="1" applyFill="1" applyBorder="1"/>
    <xf numFmtId="169" fontId="55" fillId="25" borderId="174" xfId="105" applyNumberFormat="1" applyFont="1" applyFill="1" applyBorder="1"/>
    <xf numFmtId="169" fontId="55" fillId="25" borderId="0" xfId="105" applyNumberFormat="1" applyFont="1" applyFill="1"/>
    <xf numFmtId="169" fontId="44" fillId="0" borderId="171" xfId="105" applyNumberFormat="1" applyFont="1" applyBorder="1"/>
    <xf numFmtId="0" fontId="71" fillId="0" borderId="137" xfId="105" applyFont="1" applyBorder="1"/>
    <xf numFmtId="169" fontId="63" fillId="25" borderId="147" xfId="105" applyNumberFormat="1" applyFont="1" applyFill="1" applyBorder="1"/>
    <xf numFmtId="169" fontId="63" fillId="25" borderId="137" xfId="105" applyNumberFormat="1" applyFont="1" applyFill="1" applyBorder="1"/>
    <xf numFmtId="236" fontId="44" fillId="0" borderId="0" xfId="105" applyNumberFormat="1" applyFont="1"/>
    <xf numFmtId="183" fontId="29" fillId="0" borderId="0" xfId="105" applyNumberFormat="1" applyFont="1"/>
    <xf numFmtId="183" fontId="29" fillId="25" borderId="0" xfId="105" applyNumberFormat="1" applyFont="1" applyFill="1"/>
    <xf numFmtId="0" fontId="50" fillId="0" borderId="0" xfId="105" applyFont="1"/>
    <xf numFmtId="17" fontId="46" fillId="0" borderId="0" xfId="105" applyNumberFormat="1" applyFont="1" applyAlignment="1">
      <alignment horizontal="right"/>
    </xf>
    <xf numFmtId="17" fontId="46" fillId="25" borderId="0" xfId="105" applyNumberFormat="1" applyFont="1" applyFill="1" applyAlignment="1">
      <alignment horizontal="right"/>
    </xf>
    <xf numFmtId="17" fontId="46" fillId="27" borderId="177" xfId="105" applyNumberFormat="1" applyFont="1" applyFill="1" applyBorder="1" applyAlignment="1">
      <alignment horizontal="right"/>
    </xf>
    <xf numFmtId="17" fontId="46" fillId="27" borderId="28" xfId="105" applyNumberFormat="1" applyFont="1" applyFill="1" applyBorder="1" applyAlignment="1">
      <alignment horizontal="right"/>
    </xf>
    <xf numFmtId="0" fontId="181" fillId="27" borderId="191" xfId="105" applyFont="1" applyFill="1" applyBorder="1" applyAlignment="1">
      <alignment horizontal="right"/>
    </xf>
    <xf numFmtId="0" fontId="44" fillId="25" borderId="179" xfId="105" applyFont="1" applyFill="1" applyBorder="1"/>
    <xf numFmtId="172" fontId="44" fillId="25" borderId="0" xfId="105" applyNumberFormat="1" applyFont="1" applyFill="1"/>
    <xf numFmtId="172" fontId="44" fillId="25" borderId="174" xfId="105" applyNumberFormat="1" applyFont="1" applyFill="1" applyBorder="1"/>
    <xf numFmtId="172" fontId="71" fillId="25" borderId="137" xfId="105" applyNumberFormat="1" applyFont="1" applyFill="1" applyBorder="1"/>
    <xf numFmtId="172" fontId="71" fillId="25" borderId="0" xfId="105" applyNumberFormat="1" applyFont="1" applyFill="1"/>
    <xf numFmtId="172" fontId="71" fillId="25" borderId="147" xfId="105" applyNumberFormat="1" applyFont="1" applyFill="1" applyBorder="1"/>
    <xf numFmtId="172" fontId="71" fillId="25" borderId="174" xfId="105" applyNumberFormat="1" applyFont="1" applyFill="1" applyBorder="1"/>
    <xf numFmtId="172" fontId="71" fillId="25" borderId="179" xfId="105" applyNumberFormat="1" applyFont="1" applyFill="1" applyBorder="1"/>
    <xf numFmtId="236" fontId="71" fillId="25" borderId="163" xfId="105" applyNumberFormat="1" applyFont="1" applyFill="1" applyBorder="1"/>
    <xf numFmtId="0" fontId="55" fillId="0" borderId="171" xfId="105" applyFont="1" applyBorder="1"/>
    <xf numFmtId="179" fontId="71" fillId="25" borderId="0" xfId="105" applyNumberFormat="1" applyFont="1" applyFill="1"/>
    <xf numFmtId="179" fontId="71" fillId="25" borderId="174" xfId="105" applyNumberFormat="1" applyFont="1" applyFill="1" applyBorder="1"/>
    <xf numFmtId="172" fontId="71" fillId="25" borderId="171" xfId="105" applyNumberFormat="1" applyFont="1" applyFill="1" applyBorder="1"/>
    <xf numFmtId="0" fontId="71" fillId="71" borderId="196" xfId="105" applyFont="1" applyFill="1" applyBorder="1"/>
    <xf numFmtId="168" fontId="44" fillId="25" borderId="194" xfId="105" applyNumberFormat="1" applyFont="1" applyFill="1" applyBorder="1"/>
    <xf numFmtId="0" fontId="180" fillId="27" borderId="196" xfId="3379" applyNumberFormat="1" applyFont="1" applyFill="1" applyBorder="1" applyAlignment="1" applyProtection="1"/>
    <xf numFmtId="236" fontId="71" fillId="27" borderId="201" xfId="105" applyNumberFormat="1" applyFont="1" applyFill="1" applyBorder="1"/>
    <xf numFmtId="171" fontId="63" fillId="27" borderId="201" xfId="105" applyNumberFormat="1" applyFont="1" applyFill="1" applyBorder="1"/>
    <xf numFmtId="171" fontId="63" fillId="27" borderId="197" xfId="105" applyNumberFormat="1" applyFont="1" applyFill="1" applyBorder="1"/>
    <xf numFmtId="236" fontId="71" fillId="27" borderId="202" xfId="105" applyNumberFormat="1" applyFont="1" applyFill="1" applyBorder="1"/>
    <xf numFmtId="236" fontId="71" fillId="27" borderId="203" xfId="105" applyNumberFormat="1" applyFont="1" applyFill="1" applyBorder="1"/>
    <xf numFmtId="184" fontId="168" fillId="25" borderId="201" xfId="105" applyNumberFormat="1" applyFont="1" applyFill="1" applyBorder="1" applyAlignment="1">
      <alignment horizontal="left" indent="1"/>
    </xf>
    <xf numFmtId="167" fontId="180" fillId="25" borderId="201" xfId="105" applyNumberFormat="1" applyFont="1" applyFill="1" applyBorder="1" applyAlignment="1">
      <alignment horizontal="right"/>
    </xf>
    <xf numFmtId="172" fontId="180" fillId="25" borderId="201" xfId="119" applyNumberFormat="1" applyFont="1" applyFill="1" applyBorder="1" applyAlignment="1" applyProtection="1">
      <alignment horizontal="right"/>
    </xf>
    <xf numFmtId="2" fontId="180" fillId="25" borderId="201" xfId="105" applyNumberFormat="1" applyFont="1" applyFill="1" applyBorder="1" applyAlignment="1">
      <alignment horizontal="right"/>
    </xf>
    <xf numFmtId="167" fontId="180" fillId="0" borderId="201" xfId="105" applyNumberFormat="1" applyFont="1" applyBorder="1" applyAlignment="1">
      <alignment horizontal="right"/>
    </xf>
    <xf numFmtId="17" fontId="181" fillId="0" borderId="162" xfId="105" applyNumberFormat="1" applyFont="1" applyBorder="1" applyAlignment="1">
      <alignment horizontal="right"/>
    </xf>
    <xf numFmtId="0" fontId="44" fillId="0" borderId="32" xfId="105" applyFont="1" applyBorder="1" applyAlignment="1">
      <alignment horizontal="left"/>
    </xf>
    <xf numFmtId="165" fontId="44" fillId="25" borderId="204" xfId="105" applyNumberFormat="1" applyFont="1" applyFill="1" applyBorder="1" applyAlignment="1">
      <alignment horizontal="right"/>
    </xf>
    <xf numFmtId="165" fontId="44" fillId="25" borderId="32" xfId="105" applyNumberFormat="1" applyFont="1" applyFill="1" applyBorder="1" applyAlignment="1">
      <alignment horizontal="right"/>
    </xf>
    <xf numFmtId="236" fontId="202" fillId="25" borderId="162" xfId="105" applyNumberFormat="1" applyFont="1" applyFill="1" applyBorder="1"/>
    <xf numFmtId="169" fontId="44" fillId="0" borderId="32" xfId="105" applyNumberFormat="1" applyFont="1" applyBorder="1"/>
    <xf numFmtId="17" fontId="46" fillId="27" borderId="162" xfId="105" applyNumberFormat="1" applyFont="1" applyFill="1" applyBorder="1" applyAlignment="1">
      <alignment horizontal="right"/>
    </xf>
    <xf numFmtId="172" fontId="71" fillId="25" borderId="149" xfId="105" applyNumberFormat="1" applyFont="1" applyFill="1" applyBorder="1"/>
    <xf numFmtId="0" fontId="42" fillId="0" borderId="32" xfId="105" applyFont="1" applyBorder="1"/>
    <xf numFmtId="172" fontId="71" fillId="25" borderId="32" xfId="105" applyNumberFormat="1" applyFont="1" applyFill="1" applyBorder="1"/>
    <xf numFmtId="17" fontId="181" fillId="25" borderId="183" xfId="105" quotePrefix="1" applyNumberFormat="1" applyFont="1" applyFill="1" applyBorder="1" applyAlignment="1">
      <alignment horizontal="right"/>
    </xf>
    <xf numFmtId="184" fontId="71" fillId="25" borderId="171" xfId="105" applyNumberFormat="1" applyFont="1" applyFill="1" applyBorder="1" applyAlignment="1">
      <alignment horizontal="left"/>
    </xf>
    <xf numFmtId="0" fontId="181" fillId="0" borderId="179" xfId="105" applyFont="1" applyBorder="1"/>
    <xf numFmtId="0" fontId="44" fillId="0" borderId="179" xfId="105" applyFont="1" applyBorder="1" applyAlignment="1">
      <alignment horizontal="left"/>
    </xf>
    <xf numFmtId="0" fontId="71" fillId="0" borderId="179" xfId="105" applyFont="1" applyBorder="1" applyAlignment="1">
      <alignment horizontal="left"/>
    </xf>
    <xf numFmtId="234" fontId="44" fillId="25" borderId="183" xfId="105" applyNumberFormat="1" applyFont="1" applyFill="1" applyBorder="1" applyAlignment="1">
      <alignment horizontal="left"/>
    </xf>
    <xf numFmtId="171" fontId="44" fillId="25" borderId="0" xfId="105" applyNumberFormat="1" applyFont="1" applyFill="1"/>
    <xf numFmtId="171" fontId="44" fillId="25" borderId="174" xfId="105" applyNumberFormat="1" applyFont="1" applyFill="1" applyBorder="1"/>
    <xf numFmtId="171" fontId="71" fillId="25" borderId="149" xfId="105" applyNumberFormat="1" applyFont="1" applyFill="1" applyBorder="1"/>
    <xf numFmtId="171" fontId="71" fillId="25" borderId="137" xfId="105" applyNumberFormat="1" applyFont="1" applyFill="1" applyBorder="1"/>
    <xf numFmtId="171" fontId="71" fillId="25" borderId="147" xfId="105" applyNumberFormat="1" applyFont="1" applyFill="1" applyBorder="1"/>
    <xf numFmtId="171" fontId="71" fillId="25" borderId="179" xfId="105" applyNumberFormat="1" applyFont="1" applyFill="1" applyBorder="1"/>
    <xf numFmtId="171" fontId="71" fillId="25" borderId="174" xfId="105" applyNumberFormat="1" applyFont="1" applyFill="1" applyBorder="1"/>
    <xf numFmtId="171" fontId="71" fillId="25" borderId="28" xfId="105" applyNumberFormat="1" applyFont="1" applyFill="1" applyBorder="1"/>
    <xf numFmtId="185" fontId="44" fillId="0" borderId="0" xfId="119" applyNumberFormat="1" applyFont="1" applyFill="1" applyBorder="1" applyAlignment="1" applyProtection="1"/>
    <xf numFmtId="165" fontId="44" fillId="25" borderId="200" xfId="105" applyNumberFormat="1" applyFont="1" applyFill="1" applyBorder="1" applyAlignment="1">
      <alignment horizontal="right"/>
    </xf>
    <xf numFmtId="0" fontId="203" fillId="0" borderId="0" xfId="105" applyFont="1" applyAlignment="1">
      <alignment horizontal="right"/>
    </xf>
    <xf numFmtId="0" fontId="183" fillId="0" borderId="0" xfId="105" applyFont="1" applyAlignment="1">
      <alignment horizontal="right"/>
    </xf>
    <xf numFmtId="185" fontId="44" fillId="25" borderId="0" xfId="105" applyNumberFormat="1" applyFont="1" applyFill="1"/>
    <xf numFmtId="185" fontId="44" fillId="25" borderId="174" xfId="105" applyNumberFormat="1" applyFont="1" applyFill="1" applyBorder="1"/>
    <xf numFmtId="185" fontId="71" fillId="25" borderId="0" xfId="105" applyNumberFormat="1" applyFont="1" applyFill="1"/>
    <xf numFmtId="185" fontId="71" fillId="25" borderId="174" xfId="105" applyNumberFormat="1" applyFont="1" applyFill="1" applyBorder="1"/>
    <xf numFmtId="185" fontId="44" fillId="25" borderId="179" xfId="105" applyNumberFormat="1" applyFont="1" applyFill="1" applyBorder="1"/>
    <xf numFmtId="185" fontId="71" fillId="25" borderId="179" xfId="105" applyNumberFormat="1" applyFont="1" applyFill="1" applyBorder="1"/>
    <xf numFmtId="185" fontId="67" fillId="25" borderId="0" xfId="105" applyNumberFormat="1" applyFont="1" applyFill="1"/>
    <xf numFmtId="185" fontId="67" fillId="25" borderId="174" xfId="105" applyNumberFormat="1" applyFont="1" applyFill="1" applyBorder="1"/>
    <xf numFmtId="185" fontId="67" fillId="26" borderId="179" xfId="105" applyNumberFormat="1" applyFont="1" applyFill="1" applyBorder="1"/>
    <xf numFmtId="185" fontId="67" fillId="26" borderId="0" xfId="105" applyNumberFormat="1" applyFont="1" applyFill="1"/>
    <xf numFmtId="185" fontId="44" fillId="25" borderId="137" xfId="105" applyNumberFormat="1" applyFont="1" applyFill="1" applyBorder="1"/>
    <xf numFmtId="185" fontId="44" fillId="25" borderId="147" xfId="105" applyNumberFormat="1" applyFont="1" applyFill="1" applyBorder="1"/>
    <xf numFmtId="185" fontId="44" fillId="25" borderId="186" xfId="105" applyNumberFormat="1" applyFont="1" applyFill="1" applyBorder="1"/>
    <xf numFmtId="0" fontId="181" fillId="27" borderId="184" xfId="105" applyFont="1" applyFill="1" applyBorder="1" applyAlignment="1">
      <alignment horizontal="right"/>
    </xf>
    <xf numFmtId="0" fontId="181" fillId="27" borderId="183" xfId="105" applyFont="1" applyFill="1" applyBorder="1" applyAlignment="1">
      <alignment horizontal="right"/>
    </xf>
    <xf numFmtId="0" fontId="181" fillId="27" borderId="181" xfId="105" applyFont="1" applyFill="1" applyBorder="1" applyAlignment="1">
      <alignment horizontal="right"/>
    </xf>
    <xf numFmtId="0" fontId="181" fillId="27" borderId="182" xfId="105" applyFont="1" applyFill="1" applyBorder="1" applyAlignment="1">
      <alignment horizontal="right"/>
    </xf>
    <xf numFmtId="0" fontId="181" fillId="27" borderId="148" xfId="105" applyFont="1" applyFill="1" applyBorder="1" applyAlignment="1">
      <alignment horizontal="right"/>
    </xf>
    <xf numFmtId="185" fontId="67" fillId="25" borderId="171" xfId="105" applyNumberFormat="1" applyFont="1" applyFill="1" applyBorder="1"/>
    <xf numFmtId="185" fontId="44" fillId="25" borderId="171" xfId="105" applyNumberFormat="1" applyFont="1" applyFill="1" applyBorder="1"/>
    <xf numFmtId="185" fontId="71" fillId="25" borderId="171" xfId="105" applyNumberFormat="1" applyFont="1" applyFill="1" applyBorder="1"/>
    <xf numFmtId="185" fontId="44" fillId="25" borderId="185" xfId="105" applyNumberFormat="1" applyFont="1" applyFill="1" applyBorder="1"/>
    <xf numFmtId="185" fontId="71" fillId="25" borderId="185" xfId="105" applyNumberFormat="1" applyFont="1" applyFill="1" applyBorder="1"/>
    <xf numFmtId="185" fontId="44" fillId="25" borderId="171" xfId="121" applyNumberFormat="1" applyFont="1" applyFill="1" applyBorder="1" applyAlignment="1" applyProtection="1"/>
    <xf numFmtId="185" fontId="67" fillId="25" borderId="182" xfId="105" applyNumberFormat="1" applyFont="1" applyFill="1" applyBorder="1"/>
    <xf numFmtId="170" fontId="71" fillId="25" borderId="182" xfId="119" applyNumberFormat="1" applyFont="1" applyFill="1" applyBorder="1" applyAlignment="1" applyProtection="1"/>
    <xf numFmtId="170" fontId="71" fillId="25" borderId="0" xfId="119" applyNumberFormat="1" applyFont="1" applyFill="1" applyBorder="1" applyAlignment="1" applyProtection="1"/>
    <xf numFmtId="170" fontId="71" fillId="25" borderId="29" xfId="119" applyNumberFormat="1" applyFont="1" applyFill="1" applyBorder="1" applyAlignment="1" applyProtection="1"/>
    <xf numFmtId="170" fontId="71" fillId="25" borderId="29" xfId="105" applyNumberFormat="1" applyFont="1" applyFill="1" applyBorder="1"/>
    <xf numFmtId="170" fontId="168" fillId="25" borderId="182" xfId="119" applyNumberFormat="1" applyFont="1" applyFill="1" applyBorder="1" applyAlignment="1" applyProtection="1"/>
    <xf numFmtId="170" fontId="168" fillId="25" borderId="0" xfId="119" applyNumberFormat="1" applyFont="1" applyFill="1" applyBorder="1" applyAlignment="1" applyProtection="1"/>
    <xf numFmtId="170" fontId="168" fillId="25" borderId="29" xfId="119" applyNumberFormat="1" applyFont="1" applyFill="1" applyBorder="1" applyAlignment="1" applyProtection="1"/>
    <xf numFmtId="170" fontId="198" fillId="25" borderId="29" xfId="105" applyNumberFormat="1" applyFont="1" applyFill="1" applyBorder="1"/>
    <xf numFmtId="170" fontId="198" fillId="25" borderId="0" xfId="105" applyNumberFormat="1" applyFont="1" applyFill="1"/>
    <xf numFmtId="170" fontId="71" fillId="25" borderId="182" xfId="105" applyNumberFormat="1" applyFont="1" applyFill="1" applyBorder="1"/>
    <xf numFmtId="170" fontId="71" fillId="25" borderId="0" xfId="105" applyNumberFormat="1" applyFont="1" applyFill="1"/>
    <xf numFmtId="170" fontId="168" fillId="25" borderId="0" xfId="105" applyNumberFormat="1" applyFont="1" applyFill="1"/>
    <xf numFmtId="170" fontId="168" fillId="25" borderId="29" xfId="105" applyNumberFormat="1" applyFont="1" applyFill="1" applyBorder="1"/>
    <xf numFmtId="170" fontId="198" fillId="25" borderId="0" xfId="119" applyNumberFormat="1" applyFont="1" applyFill="1" applyBorder="1" applyAlignment="1" applyProtection="1"/>
    <xf numFmtId="170" fontId="44" fillId="25" borderId="0" xfId="119" applyNumberFormat="1" applyFont="1" applyFill="1" applyBorder="1" applyAlignment="1" applyProtection="1"/>
    <xf numFmtId="170" fontId="44" fillId="25" borderId="29" xfId="119" applyNumberFormat="1" applyFont="1" applyFill="1" applyBorder="1" applyAlignment="1" applyProtection="1"/>
    <xf numFmtId="170" fontId="55" fillId="25" borderId="0" xfId="119" applyNumberFormat="1" applyFont="1" applyFill="1" applyBorder="1" applyAlignment="1" applyProtection="1"/>
    <xf numFmtId="170" fontId="44" fillId="25" borderId="0" xfId="105" applyNumberFormat="1" applyFont="1" applyFill="1"/>
    <xf numFmtId="170" fontId="44" fillId="25" borderId="29" xfId="105" applyNumberFormat="1" applyFont="1" applyFill="1" applyBorder="1"/>
    <xf numFmtId="170" fontId="44" fillId="25" borderId="183" xfId="105" applyNumberFormat="1" applyFont="1" applyFill="1" applyBorder="1"/>
    <xf numFmtId="170" fontId="67" fillId="25" borderId="0" xfId="105" applyNumberFormat="1" applyFont="1" applyFill="1"/>
    <xf numFmtId="170" fontId="67" fillId="25" borderId="29" xfId="105" applyNumberFormat="1" applyFont="1" applyFill="1" applyBorder="1"/>
    <xf numFmtId="185" fontId="44" fillId="25" borderId="187" xfId="105" applyNumberFormat="1" applyFont="1" applyFill="1" applyBorder="1"/>
    <xf numFmtId="185" fontId="71" fillId="25" borderId="0" xfId="119" applyNumberFormat="1" applyFont="1" applyFill="1" applyBorder="1" applyAlignment="1" applyProtection="1"/>
    <xf numFmtId="185" fontId="71" fillId="25" borderId="29" xfId="119" applyNumberFormat="1" applyFont="1" applyFill="1" applyBorder="1" applyAlignment="1" applyProtection="1"/>
    <xf numFmtId="185" fontId="168" fillId="25" borderId="0" xfId="119" applyNumberFormat="1" applyFont="1" applyFill="1" applyBorder="1" applyAlignment="1" applyProtection="1"/>
    <xf numFmtId="185" fontId="168" fillId="25" borderId="29" xfId="119" applyNumberFormat="1" applyFont="1" applyFill="1" applyBorder="1" applyAlignment="1" applyProtection="1"/>
    <xf numFmtId="185" fontId="71" fillId="25" borderId="29" xfId="105" applyNumberFormat="1" applyFont="1" applyFill="1" applyBorder="1"/>
    <xf numFmtId="185" fontId="168" fillId="25" borderId="0" xfId="105" applyNumberFormat="1" applyFont="1" applyFill="1"/>
    <xf numFmtId="185" fontId="168" fillId="25" borderId="29" xfId="105" applyNumberFormat="1" applyFont="1" applyFill="1" applyBorder="1"/>
    <xf numFmtId="185" fontId="44" fillId="25" borderId="0" xfId="119" applyNumberFormat="1" applyFont="1" applyFill="1" applyBorder="1" applyAlignment="1" applyProtection="1"/>
    <xf numFmtId="185" fontId="44" fillId="25" borderId="29" xfId="119" applyNumberFormat="1" applyFont="1" applyFill="1" applyBorder="1" applyAlignment="1" applyProtection="1"/>
    <xf numFmtId="185" fontId="44" fillId="25" borderId="29" xfId="105" applyNumberFormat="1" applyFont="1" applyFill="1" applyBorder="1"/>
    <xf numFmtId="185" fontId="67" fillId="25" borderId="29" xfId="105" applyNumberFormat="1" applyFont="1" applyFill="1" applyBorder="1"/>
    <xf numFmtId="185" fontId="67" fillId="26" borderId="182" xfId="105" applyNumberFormat="1" applyFont="1" applyFill="1" applyBorder="1"/>
    <xf numFmtId="244" fontId="67" fillId="25" borderId="179" xfId="105" applyNumberFormat="1" applyFont="1" applyFill="1" applyBorder="1"/>
    <xf numFmtId="244" fontId="67" fillId="25" borderId="0" xfId="105" applyNumberFormat="1" applyFont="1" applyFill="1"/>
    <xf numFmtId="244" fontId="67" fillId="25" borderId="174" xfId="105" applyNumberFormat="1" applyFont="1" applyFill="1" applyBorder="1"/>
    <xf numFmtId="244" fontId="67" fillId="26" borderId="179" xfId="105" applyNumberFormat="1" applyFont="1" applyFill="1" applyBorder="1"/>
    <xf numFmtId="0" fontId="71" fillId="71" borderId="205" xfId="105" applyFont="1" applyFill="1" applyBorder="1"/>
    <xf numFmtId="0" fontId="181" fillId="0" borderId="173" xfId="105" applyFont="1" applyBorder="1" applyAlignment="1">
      <alignment horizontal="right"/>
    </xf>
    <xf numFmtId="167" fontId="71" fillId="25" borderId="174" xfId="105" applyNumberFormat="1" applyFont="1" applyFill="1" applyBorder="1" applyAlignment="1">
      <alignment horizontal="right"/>
    </xf>
    <xf numFmtId="167" fontId="44" fillId="25" borderId="174" xfId="105" applyNumberFormat="1" applyFont="1" applyFill="1" applyBorder="1" applyAlignment="1">
      <alignment horizontal="right"/>
    </xf>
    <xf numFmtId="0" fontId="44" fillId="0" borderId="174" xfId="105" applyFont="1" applyBorder="1"/>
    <xf numFmtId="167" fontId="71" fillId="0" borderId="174" xfId="105" applyNumberFormat="1" applyFont="1" applyBorder="1"/>
    <xf numFmtId="167" fontId="44" fillId="0" borderId="174" xfId="105" applyNumberFormat="1" applyFont="1" applyBorder="1"/>
    <xf numFmtId="231" fontId="71" fillId="27" borderId="198" xfId="105" applyNumberFormat="1" applyFont="1" applyFill="1" applyBorder="1" applyAlignment="1">
      <alignment horizontal="right"/>
    </xf>
    <xf numFmtId="168" fontId="44" fillId="25" borderId="148" xfId="105" applyNumberFormat="1" applyFont="1" applyFill="1" applyBorder="1"/>
    <xf numFmtId="0" fontId="42" fillId="0" borderId="205" xfId="105" applyFont="1" applyBorder="1" applyAlignment="1">
      <alignment horizontal="left"/>
    </xf>
    <xf numFmtId="171" fontId="71" fillId="0" borderId="137" xfId="105" applyNumberFormat="1" applyFont="1" applyBorder="1"/>
    <xf numFmtId="171" fontId="71" fillId="0" borderId="147" xfId="105" applyNumberFormat="1" applyFont="1" applyBorder="1"/>
    <xf numFmtId="0" fontId="29" fillId="0" borderId="0" xfId="105" applyFont="1" applyAlignment="1">
      <alignment horizontal="center"/>
    </xf>
    <xf numFmtId="0" fontId="168" fillId="0" borderId="185" xfId="105" applyFont="1" applyBorder="1"/>
    <xf numFmtId="17" fontId="181" fillId="0" borderId="179" xfId="105" applyNumberFormat="1" applyFont="1" applyBorder="1" applyAlignment="1">
      <alignment horizontal="right"/>
    </xf>
    <xf numFmtId="0" fontId="46" fillId="0" borderId="182" xfId="105" applyFont="1" applyBorder="1" applyAlignment="1">
      <alignment horizontal="right"/>
    </xf>
    <xf numFmtId="235" fontId="44" fillId="25" borderId="182" xfId="120" applyNumberFormat="1" applyFont="1" applyFill="1" applyBorder="1" applyAlignment="1" applyProtection="1"/>
    <xf numFmtId="234" fontId="44" fillId="0" borderId="0" xfId="105" applyNumberFormat="1" applyFont="1"/>
    <xf numFmtId="235" fontId="44" fillId="25" borderId="184" xfId="120" applyNumberFormat="1" applyFont="1" applyFill="1" applyBorder="1" applyAlignment="1" applyProtection="1"/>
    <xf numFmtId="231" fontId="44" fillId="25" borderId="182" xfId="105" applyNumberFormat="1" applyFont="1" applyFill="1" applyBorder="1"/>
    <xf numFmtId="231" fontId="55" fillId="25" borderId="184" xfId="105" applyNumberFormat="1" applyFont="1" applyFill="1" applyBorder="1"/>
    <xf numFmtId="231" fontId="44" fillId="25" borderId="184" xfId="105" applyNumberFormat="1" applyFont="1" applyFill="1" applyBorder="1"/>
    <xf numFmtId="231" fontId="44" fillId="0" borderId="0" xfId="105" applyNumberFormat="1" applyFont="1" applyAlignment="1">
      <alignment vertical="center"/>
    </xf>
    <xf numFmtId="231" fontId="55" fillId="25" borderId="184" xfId="105" applyNumberFormat="1" applyFont="1" applyFill="1" applyBorder="1" applyAlignment="1">
      <alignment vertical="center"/>
    </xf>
    <xf numFmtId="231" fontId="183" fillId="0" borderId="0" xfId="105" applyNumberFormat="1" applyFont="1" applyAlignment="1">
      <alignment vertical="center"/>
    </xf>
    <xf numFmtId="231" fontId="29" fillId="0" borderId="0" xfId="105" applyNumberFormat="1" applyFont="1" applyAlignment="1">
      <alignment vertical="center"/>
    </xf>
    <xf numFmtId="231" fontId="71" fillId="25" borderId="182" xfId="105" applyNumberFormat="1" applyFont="1" applyFill="1" applyBorder="1"/>
    <xf numFmtId="231" fontId="71" fillId="25" borderId="184" xfId="105" applyNumberFormat="1" applyFont="1" applyFill="1" applyBorder="1"/>
    <xf numFmtId="231" fontId="42" fillId="0" borderId="0" xfId="120" applyNumberFormat="1" applyFont="1" applyFill="1" applyBorder="1" applyAlignment="1" applyProtection="1"/>
    <xf numFmtId="231" fontId="46" fillId="0" borderId="0" xfId="105" applyNumberFormat="1" applyFont="1"/>
    <xf numFmtId="231" fontId="183" fillId="0" borderId="0" xfId="105" applyNumberFormat="1" applyFont="1"/>
    <xf numFmtId="231" fontId="29" fillId="0" borderId="0" xfId="120" applyNumberFormat="1" applyFont="1" applyFill="1" applyBorder="1" applyAlignment="1" applyProtection="1"/>
    <xf numFmtId="231" fontId="42" fillId="0" borderId="0" xfId="105" applyNumberFormat="1" applyFont="1"/>
    <xf numFmtId="231" fontId="71" fillId="25" borderId="209" xfId="105" applyNumberFormat="1" applyFont="1" applyFill="1" applyBorder="1"/>
    <xf numFmtId="231" fontId="44" fillId="25" borderId="210" xfId="105" applyNumberFormat="1" applyFont="1" applyFill="1" applyBorder="1"/>
    <xf numFmtId="231" fontId="44" fillId="0" borderId="148" xfId="105" applyNumberFormat="1" applyFont="1" applyBorder="1"/>
    <xf numFmtId="231" fontId="55" fillId="25" borderId="173" xfId="105" applyNumberFormat="1" applyFont="1" applyFill="1" applyBorder="1"/>
    <xf numFmtId="231" fontId="71" fillId="25" borderId="29" xfId="105" applyNumberFormat="1" applyFont="1" applyFill="1" applyBorder="1"/>
    <xf numFmtId="231" fontId="71" fillId="0" borderId="148" xfId="105" applyNumberFormat="1" applyFont="1" applyBorder="1"/>
    <xf numFmtId="184" fontId="71" fillId="0" borderId="211" xfId="105" applyNumberFormat="1" applyFont="1" applyBorder="1" applyAlignment="1">
      <alignment horizontal="left" indent="2"/>
    </xf>
    <xf numFmtId="239" fontId="44" fillId="0" borderId="148" xfId="105" applyNumberFormat="1" applyFont="1" applyBorder="1" applyAlignment="1">
      <alignment horizontal="left" indent="1"/>
    </xf>
    <xf numFmtId="231" fontId="44" fillId="25" borderId="0" xfId="119" applyNumberFormat="1" applyFont="1" applyFill="1" applyBorder="1" applyAlignment="1" applyProtection="1"/>
    <xf numFmtId="231" fontId="44" fillId="25" borderId="182" xfId="119" applyNumberFormat="1" applyFont="1" applyFill="1" applyBorder="1" applyAlignment="1" applyProtection="1"/>
    <xf numFmtId="231" fontId="44" fillId="25" borderId="29" xfId="119" applyNumberFormat="1" applyFont="1" applyFill="1" applyBorder="1" applyAlignment="1" applyProtection="1"/>
    <xf numFmtId="231" fontId="44" fillId="25" borderId="184" xfId="119" applyNumberFormat="1" applyFont="1" applyFill="1" applyBorder="1" applyAlignment="1" applyProtection="1"/>
    <xf numFmtId="231" fontId="29" fillId="0" borderId="0" xfId="119" applyNumberFormat="1" applyFont="1" applyFill="1" applyBorder="1" applyAlignment="1" applyProtection="1"/>
    <xf numFmtId="0" fontId="71" fillId="0" borderId="148" xfId="3379" applyNumberFormat="1" applyFont="1" applyFill="1" applyBorder="1" applyAlignment="1" applyProtection="1">
      <alignment horizontal="left"/>
    </xf>
    <xf numFmtId="0" fontId="44" fillId="0" borderId="148" xfId="3379" applyNumberFormat="1" applyFont="1" applyFill="1" applyBorder="1" applyAlignment="1" applyProtection="1">
      <alignment horizontal="left" indent="1"/>
    </xf>
    <xf numFmtId="184" fontId="44" fillId="0" borderId="211" xfId="105" applyNumberFormat="1" applyFont="1" applyBorder="1" applyAlignment="1">
      <alignment horizontal="left" indent="2"/>
    </xf>
    <xf numFmtId="231" fontId="44" fillId="25" borderId="209" xfId="105" applyNumberFormat="1" applyFont="1" applyFill="1" applyBorder="1"/>
    <xf numFmtId="184" fontId="71" fillId="0" borderId="211" xfId="105" applyNumberFormat="1" applyFont="1" applyBorder="1" applyAlignment="1">
      <alignment horizontal="left" vertical="center" indent="2"/>
    </xf>
    <xf numFmtId="231" fontId="71" fillId="25" borderId="209" xfId="105" applyNumberFormat="1" applyFont="1" applyFill="1" applyBorder="1" applyAlignment="1">
      <alignment vertical="center"/>
    </xf>
    <xf numFmtId="231" fontId="204" fillId="0" borderId="0" xfId="120" applyNumberFormat="1" applyFont="1" applyFill="1" applyBorder="1" applyAlignment="1" applyProtection="1"/>
    <xf numFmtId="231" fontId="204" fillId="0" borderId="0" xfId="105" applyNumberFormat="1" applyFont="1"/>
    <xf numFmtId="239" fontId="42" fillId="77" borderId="0" xfId="105" applyNumberFormat="1" applyFont="1" applyFill="1" applyAlignment="1">
      <alignment horizontal="left"/>
    </xf>
    <xf numFmtId="231" fontId="29" fillId="77" borderId="0" xfId="105" applyNumberFormat="1" applyFont="1" applyFill="1" applyAlignment="1">
      <alignment horizontal="right"/>
    </xf>
    <xf numFmtId="231" fontId="29" fillId="77" borderId="0" xfId="105" applyNumberFormat="1" applyFont="1" applyFill="1"/>
    <xf numFmtId="245" fontId="29" fillId="77" borderId="0" xfId="105" applyNumberFormat="1" applyFont="1" applyFill="1" applyAlignment="1">
      <alignment horizontal="right"/>
    </xf>
    <xf numFmtId="239" fontId="29" fillId="76" borderId="0" xfId="105" applyNumberFormat="1" applyFont="1" applyFill="1" applyAlignment="1">
      <alignment horizontal="left"/>
    </xf>
    <xf numFmtId="231" fontId="29" fillId="76" borderId="0" xfId="105" applyNumberFormat="1" applyFont="1" applyFill="1" applyAlignment="1">
      <alignment horizontal="right"/>
    </xf>
    <xf numFmtId="245" fontId="29" fillId="76" borderId="0" xfId="105" applyNumberFormat="1" applyFont="1" applyFill="1" applyAlignment="1">
      <alignment horizontal="right"/>
    </xf>
    <xf numFmtId="231" fontId="65" fillId="0" borderId="0" xfId="105" applyNumberFormat="1" applyFont="1"/>
    <xf numFmtId="0" fontId="44" fillId="0" borderId="0" xfId="105" applyFont="1" applyAlignment="1">
      <alignment horizontal="left" indent="1"/>
    </xf>
    <xf numFmtId="231" fontId="55" fillId="0" borderId="0" xfId="105" applyNumberFormat="1" applyFont="1"/>
    <xf numFmtId="9" fontId="44" fillId="0" borderId="0" xfId="121" applyFont="1" applyFill="1" applyBorder="1" applyAlignment="1"/>
    <xf numFmtId="9" fontId="55" fillId="0" borderId="0" xfId="121" applyFont="1" applyFill="1" applyBorder="1" applyAlignment="1"/>
    <xf numFmtId="0" fontId="44" fillId="75" borderId="0" xfId="105" applyFont="1" applyFill="1"/>
    <xf numFmtId="231" fontId="44" fillId="75" borderId="0" xfId="105" applyNumberFormat="1" applyFont="1" applyFill="1"/>
    <xf numFmtId="231" fontId="65" fillId="75" borderId="0" xfId="105" applyNumberFormat="1" applyFont="1" applyFill="1"/>
    <xf numFmtId="246" fontId="44" fillId="25" borderId="0" xfId="119" applyNumberFormat="1" applyFont="1" applyFill="1" applyBorder="1" applyAlignment="1" applyProtection="1"/>
    <xf numFmtId="246" fontId="44" fillId="25" borderId="182" xfId="119" applyNumberFormat="1" applyFont="1" applyFill="1" applyBorder="1" applyAlignment="1" applyProtection="1"/>
    <xf numFmtId="246" fontId="44" fillId="25" borderId="29" xfId="105" applyNumberFormat="1" applyFont="1" applyFill="1" applyBorder="1"/>
    <xf numFmtId="246" fontId="44" fillId="25" borderId="0" xfId="105" applyNumberFormat="1" applyFont="1" applyFill="1"/>
    <xf numFmtId="246" fontId="44" fillId="25" borderId="182" xfId="105" applyNumberFormat="1" applyFont="1" applyFill="1" applyBorder="1"/>
    <xf numFmtId="246" fontId="44" fillId="25" borderId="188" xfId="105" applyNumberFormat="1" applyFont="1" applyFill="1" applyBorder="1"/>
    <xf numFmtId="246" fontId="44" fillId="25" borderId="213" xfId="105" applyNumberFormat="1" applyFont="1" applyFill="1" applyBorder="1"/>
    <xf numFmtId="246" fontId="44" fillId="25" borderId="214" xfId="105" applyNumberFormat="1" applyFont="1" applyFill="1" applyBorder="1"/>
    <xf numFmtId="246" fontId="71" fillId="25" borderId="215" xfId="105" applyNumberFormat="1" applyFont="1" applyFill="1" applyBorder="1" applyAlignment="1">
      <alignment vertical="center"/>
    </xf>
    <xf numFmtId="246" fontId="71" fillId="25" borderId="216" xfId="105" applyNumberFormat="1" applyFont="1" applyFill="1" applyBorder="1" applyAlignment="1">
      <alignment vertical="center"/>
    </xf>
    <xf numFmtId="246" fontId="71" fillId="25" borderId="217" xfId="105" applyNumberFormat="1" applyFont="1" applyFill="1" applyBorder="1" applyAlignment="1">
      <alignment vertical="center"/>
    </xf>
    <xf numFmtId="231" fontId="63" fillId="25" borderId="184" xfId="105" applyNumberFormat="1" applyFont="1" applyFill="1" applyBorder="1"/>
    <xf numFmtId="246" fontId="44" fillId="25" borderId="0" xfId="105" applyNumberFormat="1" applyFont="1" applyFill="1" applyAlignment="1">
      <alignment vertical="center"/>
    </xf>
    <xf numFmtId="246" fontId="44" fillId="25" borderId="182" xfId="105" applyNumberFormat="1" applyFont="1" applyFill="1" applyBorder="1" applyAlignment="1">
      <alignment vertical="center"/>
    </xf>
    <xf numFmtId="246" fontId="44" fillId="25" borderId="174" xfId="105" applyNumberFormat="1" applyFont="1" applyFill="1" applyBorder="1"/>
    <xf numFmtId="246" fontId="71" fillId="25" borderId="0" xfId="105" applyNumberFormat="1" applyFont="1" applyFill="1"/>
    <xf numFmtId="246" fontId="71" fillId="25" borderId="29" xfId="105" applyNumberFormat="1" applyFont="1" applyFill="1" applyBorder="1"/>
    <xf numFmtId="246" fontId="71" fillId="25" borderId="182" xfId="105" applyNumberFormat="1" applyFont="1" applyFill="1" applyBorder="1"/>
    <xf numFmtId="246" fontId="71" fillId="25" borderId="208" xfId="105" applyNumberFormat="1" applyFont="1" applyFill="1" applyBorder="1"/>
    <xf numFmtId="246" fontId="71" fillId="25" borderId="23" xfId="105" applyNumberFormat="1" applyFont="1" applyFill="1" applyBorder="1"/>
    <xf numFmtId="246" fontId="71" fillId="25" borderId="180" xfId="105" applyNumberFormat="1" applyFont="1" applyFill="1" applyBorder="1"/>
    <xf numFmtId="246" fontId="71" fillId="25" borderId="0" xfId="105" applyNumberFormat="1" applyFont="1" applyFill="1" applyAlignment="1">
      <alignment vertical="center"/>
    </xf>
    <xf numFmtId="246" fontId="71" fillId="25" borderId="182" xfId="105" applyNumberFormat="1" applyFont="1" applyFill="1" applyBorder="1" applyAlignment="1">
      <alignment vertical="center"/>
    </xf>
    <xf numFmtId="246" fontId="71" fillId="25" borderId="212" xfId="105" applyNumberFormat="1" applyFont="1" applyFill="1" applyBorder="1"/>
    <xf numFmtId="1" fontId="206" fillId="0" borderId="0" xfId="105" applyNumberFormat="1" applyFont="1"/>
    <xf numFmtId="1" fontId="29" fillId="0" borderId="0" xfId="105" applyNumberFormat="1" applyFont="1"/>
    <xf numFmtId="0" fontId="206" fillId="0" borderId="0" xfId="105" applyFont="1"/>
    <xf numFmtId="0" fontId="207" fillId="78" borderId="0" xfId="105" applyFont="1" applyFill="1"/>
    <xf numFmtId="0" fontId="206" fillId="78" borderId="0" xfId="105" applyFont="1" applyFill="1"/>
    <xf numFmtId="0" fontId="71" fillId="71" borderId="218" xfId="105" applyFont="1" applyFill="1" applyBorder="1"/>
    <xf numFmtId="0" fontId="168" fillId="0" borderId="148" xfId="105" applyFont="1" applyBorder="1"/>
    <xf numFmtId="1" fontId="181" fillId="25" borderId="184" xfId="105" applyNumberFormat="1" applyFont="1" applyFill="1" applyBorder="1" applyAlignment="1">
      <alignment horizontal="right"/>
    </xf>
    <xf numFmtId="1" fontId="181" fillId="25" borderId="183" xfId="105" applyNumberFormat="1" applyFont="1" applyFill="1" applyBorder="1" applyAlignment="1">
      <alignment horizontal="right"/>
    </xf>
    <xf numFmtId="1" fontId="181" fillId="0" borderId="183" xfId="105" applyNumberFormat="1" applyFont="1" applyBorder="1" applyAlignment="1">
      <alignment horizontal="right"/>
    </xf>
    <xf numFmtId="1" fontId="181" fillId="0" borderId="181" xfId="105" applyNumberFormat="1" applyFont="1" applyBorder="1" applyAlignment="1">
      <alignment horizontal="right"/>
    </xf>
    <xf numFmtId="17" fontId="46" fillId="0" borderId="182" xfId="105" applyNumberFormat="1" applyFont="1" applyBorder="1" applyAlignment="1">
      <alignment horizontal="right"/>
    </xf>
    <xf numFmtId="0" fontId="71" fillId="0" borderId="148" xfId="105" applyFont="1" applyBorder="1"/>
    <xf numFmtId="0" fontId="44" fillId="25" borderId="184" xfId="105" applyFont="1" applyFill="1" applyBorder="1"/>
    <xf numFmtId="0" fontId="44" fillId="0" borderId="184" xfId="105" applyFont="1" applyBorder="1"/>
    <xf numFmtId="0" fontId="44" fillId="0" borderId="183" xfId="105" applyFont="1" applyBorder="1"/>
    <xf numFmtId="0" fontId="44" fillId="0" borderId="173" xfId="105" applyFont="1" applyBorder="1"/>
    <xf numFmtId="0" fontId="44" fillId="25" borderId="148" xfId="105" applyFont="1" applyFill="1" applyBorder="1"/>
    <xf numFmtId="231" fontId="44" fillId="25" borderId="183" xfId="105" applyNumberFormat="1" applyFont="1" applyFill="1" applyBorder="1"/>
    <xf numFmtId="43" fontId="29" fillId="0" borderId="0" xfId="105" applyNumberFormat="1" applyFont="1"/>
    <xf numFmtId="231" fontId="44" fillId="25" borderId="173" xfId="105" applyNumberFormat="1" applyFont="1" applyFill="1" applyBorder="1"/>
    <xf numFmtId="231" fontId="44" fillId="0" borderId="183" xfId="105" applyNumberFormat="1" applyFont="1" applyBorder="1"/>
    <xf numFmtId="231" fontId="44" fillId="0" borderId="182" xfId="105" applyNumberFormat="1" applyFont="1" applyBorder="1"/>
    <xf numFmtId="231" fontId="44" fillId="0" borderId="173" xfId="105" applyNumberFormat="1" applyFont="1" applyBorder="1"/>
    <xf numFmtId="231" fontId="71" fillId="25" borderId="183" xfId="105" applyNumberFormat="1" applyFont="1" applyFill="1" applyBorder="1"/>
    <xf numFmtId="231" fontId="71" fillId="25" borderId="173" xfId="105" applyNumberFormat="1" applyFont="1" applyFill="1" applyBorder="1"/>
    <xf numFmtId="43" fontId="42" fillId="0" borderId="0" xfId="105" applyNumberFormat="1" applyFont="1"/>
    <xf numFmtId="231" fontId="71" fillId="0" borderId="183" xfId="105" applyNumberFormat="1" applyFont="1" applyBorder="1"/>
    <xf numFmtId="231" fontId="71" fillId="0" borderId="182" xfId="105" applyNumberFormat="1" applyFont="1" applyBorder="1"/>
    <xf numFmtId="231" fontId="71" fillId="0" borderId="173" xfId="105" applyNumberFormat="1" applyFont="1" applyBorder="1"/>
    <xf numFmtId="0" fontId="71" fillId="25" borderId="211" xfId="105" applyFont="1" applyFill="1" applyBorder="1"/>
    <xf numFmtId="231" fontId="71" fillId="25" borderId="221" xfId="105" applyNumberFormat="1" applyFont="1" applyFill="1" applyBorder="1"/>
    <xf numFmtId="231" fontId="71" fillId="25" borderId="222" xfId="105" applyNumberFormat="1" applyFont="1" applyFill="1" applyBorder="1"/>
    <xf numFmtId="231" fontId="71" fillId="25" borderId="179" xfId="105" applyNumberFormat="1" applyFont="1" applyFill="1" applyBorder="1"/>
    <xf numFmtId="167" fontId="44" fillId="25" borderId="184" xfId="121" applyNumberFormat="1" applyFont="1" applyFill="1" applyBorder="1"/>
    <xf numFmtId="0" fontId="44" fillId="25" borderId="182" xfId="105" applyFont="1" applyFill="1" applyBorder="1"/>
    <xf numFmtId="0" fontId="71" fillId="25" borderId="148" xfId="105" applyFont="1" applyFill="1" applyBorder="1"/>
    <xf numFmtId="0" fontId="44" fillId="25" borderId="148" xfId="105" applyFont="1" applyFill="1" applyBorder="1" applyAlignment="1">
      <alignment horizontal="left" indent="1"/>
    </xf>
    <xf numFmtId="0" fontId="44" fillId="0" borderId="181" xfId="105" applyFont="1" applyBorder="1"/>
    <xf numFmtId="0" fontId="44" fillId="68" borderId="173" xfId="105" applyFont="1" applyFill="1" applyBorder="1"/>
    <xf numFmtId="0" fontId="44" fillId="68" borderId="184" xfId="105" applyFont="1" applyFill="1" applyBorder="1"/>
    <xf numFmtId="0" fontId="44" fillId="68" borderId="183" xfId="105" applyFont="1" applyFill="1" applyBorder="1"/>
    <xf numFmtId="0" fontId="44" fillId="79" borderId="148" xfId="105" applyFont="1" applyFill="1" applyBorder="1"/>
    <xf numFmtId="0" fontId="44" fillId="79" borderId="173" xfId="105" applyFont="1" applyFill="1" applyBorder="1"/>
    <xf numFmtId="0" fontId="44" fillId="79" borderId="184" xfId="105" applyFont="1" applyFill="1" applyBorder="1"/>
    <xf numFmtId="0" fontId="44" fillId="25" borderId="185" xfId="105" applyFont="1" applyFill="1" applyBorder="1" applyAlignment="1">
      <alignment horizontal="left" indent="1"/>
    </xf>
    <xf numFmtId="0" fontId="44" fillId="0" borderId="148" xfId="105" applyFont="1" applyBorder="1"/>
    <xf numFmtId="0" fontId="71" fillId="0" borderId="148" xfId="105" applyFont="1" applyBorder="1" applyAlignment="1">
      <alignment wrapText="1"/>
    </xf>
    <xf numFmtId="0" fontId="44" fillId="0" borderId="148" xfId="105" applyFont="1" applyBorder="1" applyAlignment="1">
      <alignment wrapText="1"/>
    </xf>
    <xf numFmtId="231" fontId="44" fillId="0" borderId="224" xfId="105" applyNumberFormat="1" applyFont="1" applyBorder="1"/>
    <xf numFmtId="0" fontId="44" fillId="0" borderId="189" xfId="105" applyFont="1" applyBorder="1"/>
    <xf numFmtId="231" fontId="44" fillId="25" borderId="136" xfId="105" applyNumberFormat="1" applyFont="1" applyFill="1" applyBorder="1"/>
    <xf numFmtId="231" fontId="44" fillId="25" borderId="225" xfId="105" applyNumberFormat="1" applyFont="1" applyFill="1" applyBorder="1"/>
    <xf numFmtId="231" fontId="44" fillId="25" borderId="227" xfId="105" applyNumberFormat="1" applyFont="1" applyFill="1" applyBorder="1"/>
    <xf numFmtId="231" fontId="55" fillId="25" borderId="228" xfId="105" applyNumberFormat="1" applyFont="1" applyFill="1" applyBorder="1"/>
    <xf numFmtId="231" fontId="44" fillId="0" borderId="228" xfId="105" applyNumberFormat="1" applyFont="1" applyBorder="1"/>
    <xf numFmtId="231" fontId="44" fillId="0" borderId="225" xfId="105" applyNumberFormat="1" applyFont="1" applyBorder="1"/>
    <xf numFmtId="231" fontId="44" fillId="0" borderId="136" xfId="105" applyNumberFormat="1" applyFont="1" applyBorder="1"/>
    <xf numFmtId="231" fontId="44" fillId="0" borderId="227" xfId="105" applyNumberFormat="1" applyFont="1" applyBorder="1"/>
    <xf numFmtId="0" fontId="42" fillId="0" borderId="148" xfId="105" applyFont="1" applyBorder="1"/>
    <xf numFmtId="231" fontId="29" fillId="25" borderId="182" xfId="105" applyNumberFormat="1" applyFont="1" applyFill="1" applyBorder="1"/>
    <xf numFmtId="0" fontId="71" fillId="25" borderId="229" xfId="105" applyFont="1" applyFill="1" applyBorder="1"/>
    <xf numFmtId="231" fontId="29" fillId="25" borderId="210" xfId="105" applyNumberFormat="1" applyFont="1" applyFill="1" applyBorder="1"/>
    <xf numFmtId="231" fontId="29" fillId="25" borderId="28" xfId="105" applyNumberFormat="1" applyFont="1" applyFill="1" applyBorder="1"/>
    <xf numFmtId="231" fontId="29" fillId="0" borderId="210" xfId="105" applyNumberFormat="1" applyFont="1" applyBorder="1"/>
    <xf numFmtId="231" fontId="29" fillId="0" borderId="28" xfId="105" applyNumberFormat="1" applyFont="1" applyBorder="1"/>
    <xf numFmtId="231" fontId="29" fillId="0" borderId="230" xfId="105" applyNumberFormat="1" applyFont="1" applyBorder="1"/>
    <xf numFmtId="231" fontId="29" fillId="0" borderId="231" xfId="105" applyNumberFormat="1" applyFont="1" applyBorder="1"/>
    <xf numFmtId="231" fontId="29" fillId="0" borderId="148" xfId="105" applyNumberFormat="1" applyFont="1" applyBorder="1"/>
    <xf numFmtId="231" fontId="29" fillId="25" borderId="232" xfId="105" applyNumberFormat="1" applyFont="1" applyFill="1" applyBorder="1"/>
    <xf numFmtId="231" fontId="29" fillId="0" borderId="232" xfId="105" applyNumberFormat="1" applyFont="1" applyBorder="1"/>
    <xf numFmtId="231" fontId="29" fillId="80" borderId="231" xfId="105" applyNumberFormat="1" applyFont="1" applyFill="1" applyBorder="1"/>
    <xf numFmtId="231" fontId="29" fillId="80" borderId="28" xfId="105" applyNumberFormat="1" applyFont="1" applyFill="1" applyBorder="1"/>
    <xf numFmtId="231" fontId="29" fillId="80" borderId="230" xfId="105" applyNumberFormat="1" applyFont="1" applyFill="1" applyBorder="1"/>
    <xf numFmtId="231" fontId="44" fillId="0" borderId="28" xfId="105" applyNumberFormat="1" applyFont="1" applyBorder="1"/>
    <xf numFmtId="231" fontId="29" fillId="0" borderId="182" xfId="105" applyNumberFormat="1" applyFont="1" applyBorder="1"/>
    <xf numFmtId="231" fontId="29" fillId="0" borderId="174" xfId="105" applyNumberFormat="1" applyFont="1" applyBorder="1"/>
    <xf numFmtId="231" fontId="29" fillId="25" borderId="148" xfId="105" applyNumberFormat="1" applyFont="1" applyFill="1" applyBorder="1"/>
    <xf numFmtId="231" fontId="44" fillId="0" borderId="174" xfId="105" applyNumberFormat="1" applyFont="1" applyBorder="1"/>
    <xf numFmtId="231" fontId="44" fillId="80" borderId="182" xfId="105" applyNumberFormat="1" applyFont="1" applyFill="1" applyBorder="1"/>
    <xf numFmtId="231" fontId="44" fillId="80" borderId="0" xfId="105" applyNumberFormat="1" applyFont="1" applyFill="1"/>
    <xf numFmtId="231" fontId="44" fillId="80" borderId="174" xfId="105" applyNumberFormat="1" applyFont="1" applyFill="1" applyBorder="1"/>
    <xf numFmtId="0" fontId="44" fillId="25" borderId="194" xfId="105" applyFont="1" applyFill="1" applyBorder="1" applyAlignment="1">
      <alignment horizontal="left" indent="1"/>
    </xf>
    <xf numFmtId="231" fontId="29" fillId="25" borderId="195" xfId="105" applyNumberFormat="1" applyFont="1" applyFill="1" applyBorder="1"/>
    <xf numFmtId="231" fontId="29" fillId="25" borderId="137" xfId="105" applyNumberFormat="1" applyFont="1" applyFill="1" applyBorder="1"/>
    <xf numFmtId="231" fontId="44" fillId="25" borderId="233" xfId="105" applyNumberFormat="1" applyFont="1" applyFill="1" applyBorder="1"/>
    <xf numFmtId="231" fontId="44" fillId="25" borderId="137" xfId="105" applyNumberFormat="1" applyFont="1" applyFill="1" applyBorder="1"/>
    <xf numFmtId="231" fontId="44" fillId="25" borderId="186" xfId="105" applyNumberFormat="1" applyFont="1" applyFill="1" applyBorder="1"/>
    <xf numFmtId="231" fontId="29" fillId="0" borderId="195" xfId="105" applyNumberFormat="1" applyFont="1" applyBorder="1"/>
    <xf numFmtId="231" fontId="29" fillId="0" borderId="137" xfId="105" applyNumberFormat="1" applyFont="1" applyBorder="1"/>
    <xf numFmtId="231" fontId="29" fillId="0" borderId="147" xfId="105" applyNumberFormat="1" applyFont="1" applyBorder="1"/>
    <xf numFmtId="231" fontId="29" fillId="25" borderId="194" xfId="105" applyNumberFormat="1" applyFont="1" applyFill="1" applyBorder="1"/>
    <xf numFmtId="231" fontId="44" fillId="0" borderId="194" xfId="105" applyNumberFormat="1" applyFont="1" applyBorder="1"/>
    <xf numFmtId="231" fontId="44" fillId="0" borderId="186" xfId="105" applyNumberFormat="1" applyFont="1" applyBorder="1"/>
    <xf numFmtId="231" fontId="44" fillId="0" borderId="147" xfId="105" applyNumberFormat="1" applyFont="1" applyBorder="1"/>
    <xf numFmtId="231" fontId="29" fillId="0" borderId="194" xfId="105" applyNumberFormat="1" applyFont="1" applyBorder="1"/>
    <xf numFmtId="231" fontId="44" fillId="80" borderId="195" xfId="105" applyNumberFormat="1" applyFont="1" applyFill="1" applyBorder="1"/>
    <xf numFmtId="231" fontId="44" fillId="80" borderId="137" xfId="105" applyNumberFormat="1" applyFont="1" applyFill="1" applyBorder="1"/>
    <xf numFmtId="231" fontId="44" fillId="80" borderId="147" xfId="105" applyNumberFormat="1" applyFont="1" applyFill="1" applyBorder="1"/>
    <xf numFmtId="231" fontId="44" fillId="0" borderId="195" xfId="105" applyNumberFormat="1" applyFont="1" applyBorder="1"/>
    <xf numFmtId="231" fontId="44" fillId="0" borderId="137" xfId="105" applyNumberFormat="1" applyFont="1" applyBorder="1"/>
    <xf numFmtId="231" fontId="44" fillId="25" borderId="147" xfId="105" applyNumberFormat="1" applyFont="1" applyFill="1" applyBorder="1"/>
    <xf numFmtId="0" fontId="71" fillId="25" borderId="232" xfId="105" applyFont="1" applyFill="1" applyBorder="1"/>
    <xf numFmtId="230" fontId="71" fillId="25" borderId="232" xfId="105" applyNumberFormat="1" applyFont="1" applyFill="1" applyBorder="1"/>
    <xf numFmtId="230" fontId="71" fillId="25" borderId="0" xfId="105" applyNumberFormat="1" applyFont="1" applyFill="1"/>
    <xf numFmtId="241" fontId="67" fillId="25" borderId="148" xfId="105" applyNumberFormat="1" applyFont="1" applyFill="1" applyBorder="1" applyAlignment="1">
      <alignment horizontal="left"/>
    </xf>
    <xf numFmtId="230" fontId="67" fillId="25" borderId="182" xfId="105" applyNumberFormat="1" applyFont="1" applyFill="1" applyBorder="1"/>
    <xf numFmtId="165" fontId="168" fillId="25" borderId="148" xfId="104" applyNumberFormat="1" applyFont="1" applyFill="1" applyBorder="1" applyAlignment="1">
      <alignment horizontal="left" indent="1"/>
    </xf>
    <xf numFmtId="242" fontId="168" fillId="0" borderId="0" xfId="111" applyNumberFormat="1" applyFont="1" applyFill="1" applyBorder="1" applyAlignment="1" applyProtection="1">
      <alignment horizontal="right"/>
    </xf>
    <xf numFmtId="242" fontId="168" fillId="25" borderId="0" xfId="111" applyNumberFormat="1" applyFont="1" applyFill="1" applyBorder="1" applyAlignment="1" applyProtection="1">
      <alignment horizontal="right"/>
    </xf>
    <xf numFmtId="242" fontId="168" fillId="25" borderId="174" xfId="111" applyNumberFormat="1" applyFont="1" applyFill="1" applyBorder="1" applyAlignment="1" applyProtection="1">
      <alignment horizontal="right"/>
    </xf>
    <xf numFmtId="0" fontId="208" fillId="25" borderId="181" xfId="104" applyFont="1" applyFill="1" applyBorder="1" applyAlignment="1">
      <alignment horizontal="right"/>
    </xf>
    <xf numFmtId="167" fontId="168" fillId="25" borderId="173" xfId="104" applyNumberFormat="1" applyFont="1" applyFill="1" applyBorder="1" applyAlignment="1">
      <alignment horizontal="right"/>
    </xf>
    <xf numFmtId="165" fontId="168" fillId="0" borderId="181" xfId="104" applyNumberFormat="1" applyFont="1" applyBorder="1" applyAlignment="1">
      <alignment horizontal="right"/>
    </xf>
    <xf numFmtId="242" fontId="168" fillId="0" borderId="181" xfId="104" applyNumberFormat="1" applyFont="1" applyBorder="1" applyAlignment="1">
      <alignment horizontal="right"/>
    </xf>
    <xf numFmtId="0" fontId="208" fillId="25" borderId="0" xfId="104" applyFont="1" applyFill="1" applyAlignment="1">
      <alignment horizontal="right"/>
    </xf>
    <xf numFmtId="167" fontId="168" fillId="25" borderId="184" xfId="104" applyNumberFormat="1" applyFont="1" applyFill="1" applyBorder="1" applyAlignment="1">
      <alignment horizontal="right"/>
    </xf>
    <xf numFmtId="167" fontId="168" fillId="25" borderId="184" xfId="104" applyNumberFormat="1" applyFont="1" applyFill="1" applyBorder="1"/>
    <xf numFmtId="167" fontId="168" fillId="0" borderId="184" xfId="104" applyNumberFormat="1" applyFont="1" applyBorder="1"/>
    <xf numFmtId="167" fontId="209" fillId="0" borderId="184" xfId="104" applyNumberFormat="1" applyFont="1" applyBorder="1"/>
    <xf numFmtId="167" fontId="209" fillId="25" borderId="181" xfId="104" applyNumberFormat="1" applyFont="1" applyFill="1" applyBorder="1" applyAlignment="1">
      <alignment horizontal="right"/>
    </xf>
    <xf numFmtId="167" fontId="209" fillId="25" borderId="174" xfId="104" applyNumberFormat="1" applyFont="1" applyFill="1" applyBorder="1" applyAlignment="1">
      <alignment horizontal="right"/>
    </xf>
    <xf numFmtId="241" fontId="44" fillId="25" borderId="182" xfId="105" applyNumberFormat="1" applyFont="1" applyFill="1" applyBorder="1"/>
    <xf numFmtId="230" fontId="44" fillId="25" borderId="148" xfId="105" applyNumberFormat="1" applyFont="1" applyFill="1" applyBorder="1"/>
    <xf numFmtId="0" fontId="44" fillId="25" borderId="194" xfId="105" applyFont="1" applyFill="1" applyBorder="1"/>
    <xf numFmtId="230" fontId="44" fillId="25" borderId="137" xfId="105" applyNumberFormat="1" applyFont="1" applyFill="1" applyBorder="1"/>
    <xf numFmtId="171" fontId="44" fillId="25" borderId="195" xfId="105" applyNumberFormat="1" applyFont="1" applyFill="1" applyBorder="1"/>
    <xf numFmtId="9" fontId="44" fillId="25" borderId="137" xfId="121" applyFont="1" applyFill="1" applyBorder="1"/>
    <xf numFmtId="9" fontId="44" fillId="25" borderId="195" xfId="121" applyFont="1" applyFill="1" applyBorder="1"/>
    <xf numFmtId="9" fontId="44" fillId="25" borderId="147" xfId="121" applyFont="1" applyFill="1" applyBorder="1"/>
    <xf numFmtId="9" fontId="44" fillId="25" borderId="194" xfId="121" applyFont="1" applyFill="1" applyBorder="1"/>
    <xf numFmtId="167" fontId="44" fillId="0" borderId="0" xfId="104" applyNumberFormat="1" applyFont="1" applyAlignment="1">
      <alignment horizontal="right"/>
    </xf>
    <xf numFmtId="167" fontId="54" fillId="0" borderId="0" xfId="104" applyNumberFormat="1" applyFont="1" applyAlignment="1">
      <alignment horizontal="right"/>
    </xf>
    <xf numFmtId="0" fontId="210" fillId="0" borderId="0" xfId="104" applyFont="1" applyAlignment="1">
      <alignment horizontal="right"/>
    </xf>
    <xf numFmtId="0" fontId="44" fillId="68" borderId="0" xfId="105" applyFont="1" applyFill="1"/>
    <xf numFmtId="0" fontId="42" fillId="81" borderId="0" xfId="105" applyFont="1" applyFill="1"/>
    <xf numFmtId="0" fontId="29" fillId="81" borderId="0" xfId="105" applyFont="1" applyFill="1" applyAlignment="1">
      <alignment horizontal="right"/>
    </xf>
    <xf numFmtId="0" fontId="44" fillId="0" borderId="0" xfId="104" applyFont="1" applyAlignment="1">
      <alignment horizontal="left"/>
    </xf>
    <xf numFmtId="43" fontId="44" fillId="0" borderId="0" xfId="119" applyFont="1" applyFill="1" applyBorder="1" applyAlignment="1">
      <alignment horizontal="right"/>
    </xf>
    <xf numFmtId="9" fontId="44" fillId="0" borderId="0" xfId="121" applyFont="1" applyBorder="1"/>
    <xf numFmtId="167" fontId="44" fillId="0" borderId="0" xfId="121" applyNumberFormat="1" applyFont="1" applyBorder="1"/>
    <xf numFmtId="167" fontId="55" fillId="0" borderId="0" xfId="121" applyNumberFormat="1" applyFont="1" applyBorder="1"/>
    <xf numFmtId="0" fontId="55" fillId="0" borderId="0" xfId="105" applyFont="1"/>
    <xf numFmtId="246" fontId="65" fillId="25" borderId="0" xfId="105" applyNumberFormat="1" applyFont="1" applyFill="1"/>
    <xf numFmtId="246" fontId="65" fillId="25" borderId="173" xfId="105" applyNumberFormat="1" applyFont="1" applyFill="1" applyBorder="1"/>
    <xf numFmtId="246" fontId="65" fillId="25" borderId="183" xfId="105" applyNumberFormat="1" applyFont="1" applyFill="1" applyBorder="1"/>
    <xf numFmtId="246" fontId="44" fillId="25" borderId="173" xfId="105" applyNumberFormat="1" applyFont="1" applyFill="1" applyBorder="1"/>
    <xf numFmtId="246" fontId="44" fillId="25" borderId="183" xfId="105" applyNumberFormat="1" applyFont="1" applyFill="1" applyBorder="1"/>
    <xf numFmtId="246" fontId="55" fillId="25" borderId="0" xfId="105" applyNumberFormat="1" applyFont="1" applyFill="1"/>
    <xf numFmtId="246" fontId="55" fillId="25" borderId="173" xfId="105" applyNumberFormat="1" applyFont="1" applyFill="1" applyBorder="1"/>
    <xf numFmtId="246" fontId="55" fillId="25" borderId="183" xfId="105" applyNumberFormat="1" applyFont="1" applyFill="1" applyBorder="1"/>
    <xf numFmtId="246" fontId="71" fillId="25" borderId="173" xfId="105" applyNumberFormat="1" applyFont="1" applyFill="1" applyBorder="1"/>
    <xf numFmtId="246" fontId="71" fillId="25" borderId="183" xfId="105" applyNumberFormat="1" applyFont="1" applyFill="1" applyBorder="1"/>
    <xf numFmtId="246" fontId="71" fillId="25" borderId="215" xfId="105" applyNumberFormat="1" applyFont="1" applyFill="1" applyBorder="1"/>
    <xf numFmtId="246" fontId="71" fillId="25" borderId="222" xfId="105" applyNumberFormat="1" applyFont="1" applyFill="1" applyBorder="1"/>
    <xf numFmtId="246" fontId="71" fillId="25" borderId="221" xfId="105" applyNumberFormat="1" applyFont="1" applyFill="1" applyBorder="1"/>
    <xf numFmtId="246" fontId="44" fillId="0" borderId="0" xfId="105" applyNumberFormat="1" applyFont="1"/>
    <xf numFmtId="246" fontId="44" fillId="0" borderId="183" xfId="105" applyNumberFormat="1" applyFont="1" applyBorder="1"/>
    <xf numFmtId="0" fontId="71" fillId="0" borderId="148" xfId="105" applyFont="1" applyBorder="1" applyAlignment="1">
      <alignment horizontal="left" indent="1"/>
    </xf>
    <xf numFmtId="246" fontId="71" fillId="0" borderId="0" xfId="105" applyNumberFormat="1" applyFont="1"/>
    <xf numFmtId="246" fontId="71" fillId="0" borderId="183" xfId="105" applyNumberFormat="1" applyFont="1" applyBorder="1"/>
    <xf numFmtId="0" fontId="44" fillId="0" borderId="148" xfId="105" applyFont="1" applyBorder="1" applyAlignment="1">
      <alignment horizontal="left" indent="2"/>
    </xf>
    <xf numFmtId="0" fontId="71" fillId="0" borderId="211" xfId="105" applyFont="1" applyBorder="1"/>
    <xf numFmtId="246" fontId="71" fillId="0" borderId="215" xfId="105" applyNumberFormat="1" applyFont="1" applyBorder="1"/>
    <xf numFmtId="246" fontId="71" fillId="0" borderId="221" xfId="105" applyNumberFormat="1" applyFont="1" applyBorder="1"/>
    <xf numFmtId="183" fontId="44" fillId="0" borderId="0" xfId="105" applyNumberFormat="1" applyFont="1"/>
    <xf numFmtId="183" fontId="44" fillId="0" borderId="183" xfId="105" applyNumberFormat="1" applyFont="1" applyBorder="1"/>
    <xf numFmtId="0" fontId="44" fillId="0" borderId="148" xfId="105" applyFont="1" applyBorder="1" applyAlignment="1">
      <alignment horizontal="left" indent="1"/>
    </xf>
    <xf numFmtId="246" fontId="44" fillId="25" borderId="223" xfId="105" applyNumberFormat="1" applyFont="1" applyFill="1" applyBorder="1"/>
    <xf numFmtId="246" fontId="71" fillId="25" borderId="174" xfId="105" applyNumberFormat="1" applyFont="1" applyFill="1" applyBorder="1"/>
    <xf numFmtId="246" fontId="44" fillId="25" borderId="136" xfId="105" applyNumberFormat="1" applyFont="1" applyFill="1" applyBorder="1"/>
    <xf numFmtId="246" fontId="44" fillId="25" borderId="225" xfId="105" applyNumberFormat="1" applyFont="1" applyFill="1" applyBorder="1"/>
    <xf numFmtId="246" fontId="44" fillId="25" borderId="226" xfId="105" applyNumberFormat="1" applyFont="1" applyFill="1" applyBorder="1"/>
    <xf numFmtId="246" fontId="44" fillId="25" borderId="227" xfId="105" applyNumberFormat="1" applyFont="1" applyFill="1" applyBorder="1"/>
    <xf numFmtId="244" fontId="71" fillId="25" borderId="28" xfId="105" applyNumberFormat="1" applyFont="1" applyFill="1" applyBorder="1"/>
    <xf numFmtId="244" fontId="71" fillId="25" borderId="230" xfId="105" applyNumberFormat="1" applyFont="1" applyFill="1" applyBorder="1"/>
    <xf numFmtId="244" fontId="71" fillId="25" borderId="231" xfId="105" applyNumberFormat="1" applyFont="1" applyFill="1" applyBorder="1"/>
    <xf numFmtId="246" fontId="65" fillId="0" borderId="0" xfId="105" applyNumberFormat="1" applyFont="1"/>
    <xf numFmtId="246" fontId="44" fillId="0" borderId="29" xfId="105" applyNumberFormat="1" applyFont="1" applyBorder="1"/>
    <xf numFmtId="246" fontId="44" fillId="0" borderId="182" xfId="105" applyNumberFormat="1" applyFont="1" applyBorder="1"/>
    <xf numFmtId="246" fontId="44" fillId="0" borderId="0" xfId="105" applyNumberFormat="1" applyFont="1" applyAlignment="1">
      <alignment vertical="center"/>
    </xf>
    <xf numFmtId="246" fontId="44" fillId="0" borderId="174" xfId="105" applyNumberFormat="1" applyFont="1" applyBorder="1" applyAlignment="1">
      <alignment vertical="center"/>
    </xf>
    <xf numFmtId="246" fontId="44" fillId="0" borderId="182" xfId="105" applyNumberFormat="1" applyFont="1" applyBorder="1" applyAlignment="1">
      <alignment vertical="center"/>
    </xf>
    <xf numFmtId="246" fontId="44" fillId="0" borderId="174" xfId="105" applyNumberFormat="1" applyFont="1" applyBorder="1"/>
    <xf numFmtId="246" fontId="65" fillId="25" borderId="174" xfId="105" applyNumberFormat="1" applyFont="1" applyFill="1" applyBorder="1"/>
    <xf numFmtId="246" fontId="65" fillId="25" borderId="182" xfId="105" applyNumberFormat="1" applyFont="1" applyFill="1" applyBorder="1"/>
    <xf numFmtId="246" fontId="44" fillId="25" borderId="29" xfId="105" applyNumberFormat="1" applyFont="1" applyFill="1" applyBorder="1" applyAlignment="1">
      <alignment vertical="center"/>
    </xf>
    <xf numFmtId="246" fontId="65" fillId="25" borderId="29" xfId="105" applyNumberFormat="1" applyFont="1" applyFill="1" applyBorder="1"/>
    <xf numFmtId="246" fontId="71" fillId="25" borderId="29" xfId="105" applyNumberFormat="1" applyFont="1" applyFill="1" applyBorder="1" applyAlignment="1">
      <alignment vertical="center"/>
    </xf>
    <xf numFmtId="171" fontId="44" fillId="0" borderId="0" xfId="105" applyNumberFormat="1" applyFont="1"/>
    <xf numFmtId="171" fontId="44" fillId="0" borderId="174" xfId="105" applyNumberFormat="1" applyFont="1" applyBorder="1"/>
    <xf numFmtId="246" fontId="29" fillId="76" borderId="0" xfId="105" applyNumberFormat="1" applyFont="1" applyFill="1" applyAlignment="1">
      <alignment horizontal="right"/>
    </xf>
    <xf numFmtId="244" fontId="67" fillId="26" borderId="182" xfId="105" applyNumberFormat="1" applyFont="1" applyFill="1" applyBorder="1"/>
    <xf numFmtId="244" fontId="67" fillId="25" borderId="182" xfId="105" applyNumberFormat="1" applyFont="1" applyFill="1" applyBorder="1"/>
    <xf numFmtId="244" fontId="71" fillId="25" borderId="232" xfId="105" applyNumberFormat="1" applyFont="1" applyFill="1" applyBorder="1"/>
    <xf numFmtId="244" fontId="67" fillId="25" borderId="148" xfId="119" applyNumberFormat="1" applyFont="1" applyFill="1" applyBorder="1" applyAlignment="1" applyProtection="1"/>
    <xf numFmtId="244" fontId="67" fillId="25" borderId="182" xfId="119" applyNumberFormat="1" applyFont="1" applyFill="1" applyBorder="1" applyAlignment="1" applyProtection="1"/>
    <xf numFmtId="246" fontId="44" fillId="25" borderId="184" xfId="105" applyNumberFormat="1" applyFont="1" applyFill="1" applyBorder="1"/>
    <xf numFmtId="246" fontId="71" fillId="25" borderId="184" xfId="105" applyNumberFormat="1" applyFont="1" applyFill="1" applyBorder="1"/>
    <xf numFmtId="246" fontId="71" fillId="25" borderId="209" xfId="105" applyNumberFormat="1" applyFont="1" applyFill="1" applyBorder="1"/>
    <xf numFmtId="246" fontId="44" fillId="25" borderId="184" xfId="119" applyNumberFormat="1" applyFont="1" applyFill="1" applyBorder="1" applyAlignment="1" applyProtection="1"/>
    <xf numFmtId="246" fontId="44" fillId="25" borderId="209" xfId="105" applyNumberFormat="1" applyFont="1" applyFill="1" applyBorder="1"/>
    <xf numFmtId="246" fontId="71" fillId="25" borderId="209" xfId="105" applyNumberFormat="1" applyFont="1" applyFill="1" applyBorder="1" applyAlignment="1">
      <alignment vertical="center"/>
    </xf>
    <xf numFmtId="184" fontId="44" fillId="0" borderId="148" xfId="105" applyNumberFormat="1" applyFont="1" applyBorder="1" applyAlignment="1">
      <alignment horizontal="left" indent="1"/>
    </xf>
    <xf numFmtId="172" fontId="0" fillId="0" borderId="16" xfId="44" applyNumberFormat="1" applyFont="1" applyBorder="1"/>
    <xf numFmtId="234" fontId="71" fillId="0" borderId="148" xfId="105" applyNumberFormat="1" applyFont="1" applyBorder="1" applyAlignment="1">
      <alignment horizontal="left"/>
    </xf>
    <xf numFmtId="184" fontId="44" fillId="0" borderId="148" xfId="105" applyNumberFormat="1" applyFont="1" applyBorder="1" applyAlignment="1">
      <alignment horizontal="left" vertical="center" indent="1"/>
    </xf>
    <xf numFmtId="184" fontId="71" fillId="0" borderId="207" xfId="105" applyNumberFormat="1" applyFont="1" applyBorder="1" applyAlignment="1">
      <alignment horizontal="left" indent="2"/>
    </xf>
    <xf numFmtId="184" fontId="71" fillId="0" borderId="148" xfId="105" applyNumberFormat="1" applyFont="1" applyBorder="1" applyAlignment="1">
      <alignment horizontal="left"/>
    </xf>
    <xf numFmtId="17" fontId="46" fillId="27" borderId="178" xfId="105" applyNumberFormat="1" applyFont="1" applyFill="1" applyBorder="1" applyAlignment="1">
      <alignment horizontal="right"/>
    </xf>
    <xf numFmtId="0" fontId="168" fillId="27" borderId="232" xfId="105" applyFont="1" applyFill="1" applyBorder="1"/>
    <xf numFmtId="0" fontId="71" fillId="0" borderId="234" xfId="105" applyFont="1" applyBorder="1"/>
    <xf numFmtId="0" fontId="44" fillId="25" borderId="234" xfId="105" applyFont="1" applyFill="1" applyBorder="1" applyAlignment="1">
      <alignment horizontal="left" indent="1"/>
    </xf>
    <xf numFmtId="0" fontId="44" fillId="0" borderId="234" xfId="105" applyFont="1" applyBorder="1" applyAlignment="1">
      <alignment horizontal="left" indent="1"/>
    </xf>
    <xf numFmtId="0" fontId="71" fillId="0" borderId="234" xfId="105" applyFont="1" applyBorder="1" applyAlignment="1">
      <alignment horizontal="left" indent="2"/>
    </xf>
    <xf numFmtId="0" fontId="71" fillId="0" borderId="232" xfId="105" applyFont="1" applyBorder="1" applyAlignment="1">
      <alignment horizontal="left"/>
    </xf>
    <xf numFmtId="0" fontId="71" fillId="0" borderId="234" xfId="105" applyFont="1" applyBorder="1" applyAlignment="1">
      <alignment horizontal="left"/>
    </xf>
    <xf numFmtId="0" fontId="71" fillId="25" borderId="234" xfId="105" applyFont="1" applyFill="1" applyBorder="1"/>
    <xf numFmtId="0" fontId="71" fillId="0" borderId="32" xfId="105" applyFont="1" applyBorder="1" applyAlignment="1">
      <alignment horizontal="left"/>
    </xf>
    <xf numFmtId="0" fontId="168" fillId="25" borderId="234" xfId="3379" applyNumberFormat="1" applyFont="1" applyFill="1" applyBorder="1" applyAlignment="1" applyProtection="1">
      <alignment horizontal="left" indent="2"/>
    </xf>
    <xf numFmtId="184" fontId="44" fillId="25" borderId="234" xfId="105" applyNumberFormat="1" applyFont="1" applyFill="1" applyBorder="1" applyAlignment="1">
      <alignment horizontal="left" indent="1"/>
    </xf>
    <xf numFmtId="184" fontId="44" fillId="25" borderId="234" xfId="105" applyNumberFormat="1" applyFont="1" applyFill="1" applyBorder="1" applyAlignment="1">
      <alignment horizontal="left"/>
    </xf>
    <xf numFmtId="0" fontId="67" fillId="25" borderId="234" xfId="105" applyFont="1" applyFill="1" applyBorder="1"/>
    <xf numFmtId="241" fontId="71" fillId="25" borderId="234" xfId="105" applyNumberFormat="1" applyFont="1" applyFill="1" applyBorder="1" applyAlignment="1">
      <alignment horizontal="left"/>
    </xf>
    <xf numFmtId="241" fontId="67" fillId="25" borderId="234" xfId="105" applyNumberFormat="1" applyFont="1" applyFill="1" applyBorder="1" applyAlignment="1">
      <alignment horizontal="left"/>
    </xf>
    <xf numFmtId="184" fontId="71" fillId="25" borderId="234" xfId="105" applyNumberFormat="1" applyFont="1" applyFill="1" applyBorder="1" applyAlignment="1">
      <alignment horizontal="left" indent="1"/>
    </xf>
    <xf numFmtId="184" fontId="71" fillId="25" borderId="234" xfId="105" applyNumberFormat="1" applyFont="1" applyFill="1" applyBorder="1" applyAlignment="1">
      <alignment horizontal="left"/>
    </xf>
    <xf numFmtId="0" fontId="71" fillId="25" borderId="234" xfId="105" applyFont="1" applyFill="1" applyBorder="1" applyAlignment="1">
      <alignment horizontal="left" indent="1"/>
    </xf>
    <xf numFmtId="0" fontId="44" fillId="0" borderId="234" xfId="105" applyFont="1" applyBorder="1" applyAlignment="1">
      <alignment horizontal="left"/>
    </xf>
    <xf numFmtId="246" fontId="44" fillId="0" borderId="184" xfId="105" applyNumberFormat="1" applyFont="1" applyBorder="1"/>
    <xf numFmtId="246" fontId="71" fillId="0" borderId="209" xfId="105" applyNumberFormat="1" applyFont="1" applyBorder="1"/>
    <xf numFmtId="246" fontId="44" fillId="25" borderId="184" xfId="121" applyNumberFormat="1" applyFont="1" applyFill="1" applyBorder="1"/>
    <xf numFmtId="246" fontId="44" fillId="0" borderId="184" xfId="121" applyNumberFormat="1" applyFont="1" applyBorder="1"/>
    <xf numFmtId="246" fontId="71" fillId="0" borderId="211" xfId="105" applyNumberFormat="1" applyFont="1" applyBorder="1"/>
    <xf numFmtId="246" fontId="71" fillId="0" borderId="222" xfId="105" applyNumberFormat="1" applyFont="1" applyBorder="1"/>
    <xf numFmtId="246" fontId="44" fillId="0" borderId="148" xfId="105" applyNumberFormat="1" applyFont="1" applyBorder="1"/>
    <xf numFmtId="246" fontId="44" fillId="0" borderId="173" xfId="105" applyNumberFormat="1" applyFont="1" applyBorder="1"/>
    <xf numFmtId="246" fontId="71" fillId="0" borderId="148" xfId="105" applyNumberFormat="1" applyFont="1" applyBorder="1"/>
    <xf numFmtId="246" fontId="71" fillId="0" borderId="173" xfId="105" applyNumberFormat="1" applyFont="1" applyBorder="1"/>
    <xf numFmtId="246" fontId="71" fillId="0" borderId="184" xfId="105" applyNumberFormat="1" applyFont="1" applyBorder="1"/>
    <xf numFmtId="246" fontId="44" fillId="0" borderId="224" xfId="105" applyNumberFormat="1" applyFont="1" applyBorder="1"/>
    <xf numFmtId="246" fontId="44" fillId="0" borderId="228" xfId="105" applyNumberFormat="1" applyFont="1" applyBorder="1"/>
    <xf numFmtId="0" fontId="71" fillId="71" borderId="235" xfId="105" applyFont="1" applyFill="1" applyBorder="1"/>
    <xf numFmtId="17" fontId="181" fillId="0" borderId="182" xfId="105" applyNumberFormat="1" applyFont="1" applyBorder="1" applyAlignment="1">
      <alignment horizontal="right"/>
    </xf>
    <xf numFmtId="17" fontId="181" fillId="0" borderId="234" xfId="105" applyNumberFormat="1" applyFont="1" applyBorder="1" applyAlignment="1">
      <alignment horizontal="right"/>
    </xf>
    <xf numFmtId="0" fontId="168" fillId="0" borderId="234" xfId="105" applyFont="1" applyBorder="1"/>
    <xf numFmtId="17" fontId="181" fillId="25" borderId="182" xfId="105" applyNumberFormat="1" applyFont="1" applyFill="1" applyBorder="1" applyAlignment="1">
      <alignment horizontal="right"/>
    </xf>
    <xf numFmtId="236" fontId="182" fillId="0" borderId="0" xfId="105" applyNumberFormat="1" applyFont="1"/>
    <xf numFmtId="236" fontId="182" fillId="0" borderId="174" xfId="105" applyNumberFormat="1" applyFont="1" applyBorder="1"/>
    <xf numFmtId="0" fontId="181" fillId="0" borderId="183" xfId="105" applyFont="1" applyBorder="1" applyAlignment="1">
      <alignment horizontal="right"/>
    </xf>
    <xf numFmtId="0" fontId="71" fillId="25" borderId="234" xfId="104" applyFont="1" applyFill="1" applyBorder="1"/>
    <xf numFmtId="247" fontId="211" fillId="25" borderId="0" xfId="104" applyNumberFormat="1" applyFont="1" applyFill="1"/>
    <xf numFmtId="236" fontId="71" fillId="25" borderId="181" xfId="105" applyNumberFormat="1" applyFont="1" applyFill="1" applyBorder="1"/>
    <xf numFmtId="236" fontId="71" fillId="0" borderId="181" xfId="105" applyNumberFormat="1" applyFont="1" applyBorder="1"/>
    <xf numFmtId="0" fontId="211" fillId="25" borderId="0" xfId="104" applyFont="1" applyFill="1"/>
    <xf numFmtId="165" fontId="168" fillId="0" borderId="234" xfId="104" applyNumberFormat="1" applyFont="1" applyBorder="1" applyAlignment="1">
      <alignment horizontal="left" indent="1"/>
    </xf>
    <xf numFmtId="242" fontId="168" fillId="0" borderId="0" xfId="104" applyNumberFormat="1" applyFont="1" applyAlignment="1">
      <alignment horizontal="right"/>
    </xf>
    <xf numFmtId="242" fontId="168" fillId="0" borderId="174" xfId="104" applyNumberFormat="1" applyFont="1" applyBorder="1" applyAlignment="1">
      <alignment horizontal="right"/>
    </xf>
    <xf numFmtId="242" fontId="168" fillId="0" borderId="182" xfId="104" applyNumberFormat="1" applyFont="1" applyBorder="1" applyAlignment="1">
      <alignment horizontal="right"/>
    </xf>
    <xf numFmtId="242" fontId="168" fillId="25" borderId="0" xfId="104" applyNumberFormat="1" applyFont="1" applyFill="1" applyAlignment="1">
      <alignment horizontal="right"/>
    </xf>
    <xf numFmtId="165" fontId="208" fillId="0" borderId="0" xfId="104" applyNumberFormat="1" applyFont="1" applyAlignment="1">
      <alignment horizontal="right"/>
    </xf>
    <xf numFmtId="165" fontId="168" fillId="25" borderId="181" xfId="104" applyNumberFormat="1" applyFont="1" applyFill="1" applyBorder="1" applyAlignment="1">
      <alignment horizontal="right"/>
    </xf>
    <xf numFmtId="165" fontId="168" fillId="0" borderId="0" xfId="104" applyNumberFormat="1" applyFont="1" applyAlignment="1">
      <alignment horizontal="right"/>
    </xf>
    <xf numFmtId="165" fontId="168" fillId="0" borderId="174" xfId="104" applyNumberFormat="1" applyFont="1" applyBorder="1" applyAlignment="1">
      <alignment horizontal="right"/>
    </xf>
    <xf numFmtId="165" fontId="168" fillId="0" borderId="182" xfId="104" applyNumberFormat="1" applyFont="1" applyBorder="1" applyAlignment="1">
      <alignment horizontal="right"/>
    </xf>
    <xf numFmtId="168" fontId="168" fillId="25" borderId="174" xfId="104" applyNumberFormat="1" applyFont="1" applyFill="1" applyBorder="1" applyAlignment="1">
      <alignment horizontal="right"/>
    </xf>
    <xf numFmtId="168" fontId="168" fillId="25" borderId="0" xfId="104" applyNumberFormat="1" applyFont="1" applyFill="1" applyAlignment="1">
      <alignment horizontal="right"/>
    </xf>
    <xf numFmtId="39" fontId="168" fillId="25" borderId="0" xfId="104" applyNumberFormat="1" applyFont="1" applyFill="1" applyAlignment="1">
      <alignment horizontal="right"/>
    </xf>
    <xf numFmtId="168" fontId="168" fillId="25" borderId="182" xfId="104" applyNumberFormat="1" applyFont="1" applyFill="1" applyBorder="1" applyAlignment="1">
      <alignment horizontal="right"/>
    </xf>
    <xf numFmtId="236" fontId="44" fillId="0" borderId="182" xfId="105" applyNumberFormat="1" applyFont="1" applyBorder="1"/>
    <xf numFmtId="242" fontId="168" fillId="25" borderId="174" xfId="104" applyNumberFormat="1" applyFont="1" applyFill="1" applyBorder="1" applyAlignment="1">
      <alignment horizontal="right"/>
    </xf>
    <xf numFmtId="242" fontId="168" fillId="25" borderId="182" xfId="104" applyNumberFormat="1" applyFont="1" applyFill="1" applyBorder="1" applyAlignment="1">
      <alignment horizontal="right"/>
    </xf>
    <xf numFmtId="0" fontId="210" fillId="0" borderId="0" xfId="104" applyFont="1"/>
    <xf numFmtId="167" fontId="44" fillId="0" borderId="184" xfId="104" applyNumberFormat="1" applyFont="1" applyBorder="1"/>
    <xf numFmtId="0" fontId="71" fillId="0" borderId="234" xfId="178" applyFont="1" applyBorder="1" applyAlignment="1">
      <alignment horizontal="left"/>
    </xf>
    <xf numFmtId="179" fontId="71" fillId="0" borderId="0" xfId="111" applyNumberFormat="1" applyFont="1" applyFill="1" applyBorder="1" applyProtection="1"/>
    <xf numFmtId="179" fontId="71" fillId="0" borderId="174" xfId="111" applyNumberFormat="1" applyFont="1" applyFill="1" applyBorder="1" applyProtection="1"/>
    <xf numFmtId="171" fontId="71" fillId="0" borderId="0" xfId="110" applyNumberFormat="1" applyFont="1" applyFill="1" applyBorder="1" applyProtection="1"/>
    <xf numFmtId="171" fontId="180" fillId="0" borderId="0" xfId="110" applyNumberFormat="1" applyFont="1" applyFill="1" applyBorder="1" applyProtection="1"/>
    <xf numFmtId="0" fontId="180" fillId="0" borderId="0" xfId="105" applyFont="1"/>
    <xf numFmtId="9" fontId="168" fillId="0" borderId="0" xfId="121" applyFont="1" applyFill="1" applyBorder="1" applyProtection="1"/>
    <xf numFmtId="9" fontId="168" fillId="0" borderId="174" xfId="121" applyFont="1" applyFill="1" applyBorder="1" applyProtection="1"/>
    <xf numFmtId="9" fontId="168" fillId="25" borderId="0" xfId="121" applyFont="1" applyFill="1" applyBorder="1" applyProtection="1"/>
    <xf numFmtId="242" fontId="168" fillId="0" borderId="184" xfId="104" applyNumberFormat="1" applyFont="1" applyBorder="1"/>
    <xf numFmtId="167" fontId="44" fillId="0" borderId="181" xfId="104" applyNumberFormat="1" applyFont="1" applyBorder="1"/>
    <xf numFmtId="171" fontId="168" fillId="0" borderId="0" xfId="110" applyNumberFormat="1" applyFont="1" applyFill="1" applyBorder="1" applyProtection="1"/>
    <xf numFmtId="0" fontId="168" fillId="0" borderId="0" xfId="105" applyFont="1"/>
    <xf numFmtId="242" fontId="168" fillId="0" borderId="0" xfId="111" applyNumberFormat="1" applyFont="1" applyFill="1" applyBorder="1" applyProtection="1"/>
    <xf numFmtId="242" fontId="168" fillId="0" borderId="174" xfId="111" applyNumberFormat="1" applyFont="1" applyFill="1" applyBorder="1" applyProtection="1"/>
    <xf numFmtId="242" fontId="168" fillId="25" borderId="184" xfId="104" applyNumberFormat="1" applyFont="1" applyFill="1" applyBorder="1"/>
    <xf numFmtId="0" fontId="71" fillId="0" borderId="32" xfId="178" applyFont="1" applyBorder="1" applyAlignment="1">
      <alignment horizontal="left"/>
    </xf>
    <xf numFmtId="179" fontId="44" fillId="25" borderId="0" xfId="111" applyNumberFormat="1" applyFont="1" applyFill="1" applyBorder="1" applyProtection="1"/>
    <xf numFmtId="179" fontId="44" fillId="25" borderId="174" xfId="111" applyNumberFormat="1" applyFont="1" applyFill="1" applyBorder="1" applyProtection="1"/>
    <xf numFmtId="179" fontId="44" fillId="0" borderId="0" xfId="111" applyNumberFormat="1" applyFont="1" applyFill="1" applyBorder="1" applyProtection="1"/>
    <xf numFmtId="179" fontId="44" fillId="0" borderId="174" xfId="111" applyNumberFormat="1" applyFont="1" applyFill="1" applyBorder="1" applyProtection="1"/>
    <xf numFmtId="179" fontId="44" fillId="0" borderId="147" xfId="111" applyNumberFormat="1" applyFont="1" applyFill="1" applyBorder="1" applyProtection="1"/>
    <xf numFmtId="171" fontId="44" fillId="0" borderId="0" xfId="110" applyNumberFormat="1" applyFont="1" applyFill="1" applyBorder="1" applyProtection="1"/>
    <xf numFmtId="167" fontId="44" fillId="25" borderId="236" xfId="104" applyNumberFormat="1" applyFont="1" applyFill="1" applyBorder="1"/>
    <xf numFmtId="167" fontId="44" fillId="25" borderId="237" xfId="104" applyNumberFormat="1" applyFont="1" applyFill="1" applyBorder="1"/>
    <xf numFmtId="179" fontId="44" fillId="0" borderId="28" xfId="111" applyNumberFormat="1" applyFont="1" applyFill="1" applyBorder="1" applyProtection="1"/>
    <xf numFmtId="179" fontId="44" fillId="25" borderId="28" xfId="111" applyNumberFormat="1" applyFont="1" applyFill="1" applyBorder="1" applyProtection="1"/>
    <xf numFmtId="0" fontId="42" fillId="0" borderId="182" xfId="105" applyFont="1" applyBorder="1"/>
    <xf numFmtId="0" fontId="181" fillId="25" borderId="185" xfId="105" applyFont="1" applyFill="1" applyBorder="1" applyAlignment="1">
      <alignment horizontal="left"/>
    </xf>
    <xf numFmtId="17" fontId="181" fillId="25" borderId="179" xfId="105" applyNumberFormat="1" applyFont="1" applyFill="1" applyBorder="1" applyAlignment="1">
      <alignment horizontal="right"/>
    </xf>
    <xf numFmtId="0" fontId="42" fillId="0" borderId="0" xfId="105" applyFont="1" applyAlignment="1">
      <alignment horizontal="right"/>
    </xf>
    <xf numFmtId="0" fontId="29" fillId="0" borderId="0" xfId="105" applyFont="1" applyAlignment="1">
      <alignment horizontal="right"/>
    </xf>
    <xf numFmtId="165" fontId="168" fillId="25" borderId="185" xfId="104" applyNumberFormat="1" applyFont="1" applyFill="1" applyBorder="1" applyAlignment="1">
      <alignment horizontal="left" indent="1"/>
    </xf>
    <xf numFmtId="0" fontId="213" fillId="0" borderId="0" xfId="105" applyFont="1" applyAlignment="1">
      <alignment horizontal="right"/>
    </xf>
    <xf numFmtId="242" fontId="198" fillId="0" borderId="0" xfId="111" applyNumberFormat="1" applyFont="1" applyFill="1" applyBorder="1" applyAlignment="1" applyProtection="1">
      <alignment horizontal="right"/>
    </xf>
    <xf numFmtId="165" fontId="168" fillId="25" borderId="234" xfId="104" applyNumberFormat="1" applyFont="1" applyFill="1" applyBorder="1" applyAlignment="1">
      <alignment horizontal="left" indent="1"/>
    </xf>
    <xf numFmtId="0" fontId="165" fillId="0" borderId="0" xfId="105" applyFont="1" applyAlignment="1">
      <alignment horizontal="right"/>
    </xf>
    <xf numFmtId="187" fontId="71" fillId="25" borderId="224" xfId="104" applyNumberFormat="1" applyFont="1" applyFill="1" applyBorder="1" applyAlignment="1">
      <alignment horizontal="right"/>
    </xf>
    <xf numFmtId="17" fontId="214" fillId="0" borderId="0" xfId="105" applyNumberFormat="1" applyFont="1" applyAlignment="1">
      <alignment horizontal="right"/>
    </xf>
    <xf numFmtId="242" fontId="168" fillId="0" borderId="174" xfId="111" applyNumberFormat="1" applyFont="1" applyFill="1" applyBorder="1" applyAlignment="1" applyProtection="1">
      <alignment horizontal="right"/>
    </xf>
    <xf numFmtId="17" fontId="44" fillId="0" borderId="0" xfId="105" applyNumberFormat="1" applyFont="1" applyAlignment="1">
      <alignment horizontal="right"/>
    </xf>
    <xf numFmtId="0" fontId="44" fillId="25" borderId="181" xfId="105" applyFont="1" applyFill="1" applyBorder="1" applyAlignment="1">
      <alignment horizontal="right"/>
    </xf>
    <xf numFmtId="242" fontId="168" fillId="25" borderId="179" xfId="111" applyNumberFormat="1" applyFont="1" applyFill="1" applyBorder="1" applyAlignment="1" applyProtection="1">
      <alignment horizontal="right"/>
    </xf>
    <xf numFmtId="242" fontId="198" fillId="0" borderId="174" xfId="111" applyNumberFormat="1" applyFont="1" applyFill="1" applyBorder="1" applyAlignment="1" applyProtection="1">
      <alignment horizontal="right"/>
    </xf>
    <xf numFmtId="165" fontId="168" fillId="25" borderId="183" xfId="104" applyNumberFormat="1" applyFont="1" applyFill="1" applyBorder="1" applyAlignment="1">
      <alignment horizontal="right"/>
    </xf>
    <xf numFmtId="165" fontId="168" fillId="25" borderId="174" xfId="104" applyNumberFormat="1" applyFont="1" applyFill="1" applyBorder="1" applyAlignment="1">
      <alignment horizontal="right"/>
    </xf>
    <xf numFmtId="0" fontId="44" fillId="0" borderId="0" xfId="104" applyFont="1"/>
    <xf numFmtId="165" fontId="168" fillId="25" borderId="239" xfId="104" applyNumberFormat="1" applyFont="1" applyFill="1" applyBorder="1" applyAlignment="1">
      <alignment horizontal="left" indent="1"/>
    </xf>
    <xf numFmtId="0" fontId="181" fillId="25" borderId="234" xfId="105" applyFont="1" applyFill="1" applyBorder="1" applyAlignment="1">
      <alignment horizontal="right"/>
    </xf>
    <xf numFmtId="187" fontId="71" fillId="25" borderId="182" xfId="104" applyNumberFormat="1" applyFont="1" applyFill="1" applyBorder="1" applyAlignment="1">
      <alignment horizontal="right"/>
    </xf>
    <xf numFmtId="187" fontId="71" fillId="25" borderId="234" xfId="104" applyNumberFormat="1" applyFont="1" applyFill="1" applyBorder="1" applyAlignment="1">
      <alignment horizontal="right"/>
    </xf>
    <xf numFmtId="187" fontId="71" fillId="25" borderId="174" xfId="104" applyNumberFormat="1" applyFont="1" applyFill="1" applyBorder="1" applyAlignment="1">
      <alignment horizontal="right"/>
    </xf>
    <xf numFmtId="187" fontId="71" fillId="25" borderId="173" xfId="104" applyNumberFormat="1" applyFont="1" applyFill="1" applyBorder="1" applyAlignment="1">
      <alignment horizontal="right"/>
    </xf>
    <xf numFmtId="17" fontId="181" fillId="0" borderId="181" xfId="105" applyNumberFormat="1" applyFont="1" applyBorder="1" applyAlignment="1">
      <alignment horizontal="right"/>
    </xf>
    <xf numFmtId="185" fontId="71" fillId="0" borderId="182" xfId="105" applyNumberFormat="1" applyFont="1" applyBorder="1"/>
    <xf numFmtId="185" fontId="71" fillId="0" borderId="174" xfId="105" applyNumberFormat="1" applyFont="1" applyBorder="1"/>
    <xf numFmtId="248" fontId="71" fillId="0" borderId="0" xfId="111" applyNumberFormat="1" applyFont="1" applyFill="1" applyBorder="1" applyProtection="1"/>
    <xf numFmtId="248" fontId="71" fillId="0" borderId="174" xfId="111" applyNumberFormat="1" applyFont="1" applyFill="1" applyBorder="1" applyProtection="1"/>
    <xf numFmtId="185" fontId="71" fillId="0" borderId="0" xfId="111" applyNumberFormat="1" applyFont="1" applyFill="1" applyBorder="1" applyProtection="1"/>
    <xf numFmtId="185" fontId="71" fillId="0" borderId="174" xfId="111" applyNumberFormat="1" applyFont="1" applyFill="1" applyBorder="1" applyProtection="1"/>
    <xf numFmtId="242" fontId="168" fillId="25" borderId="183" xfId="104" applyNumberFormat="1" applyFont="1" applyFill="1" applyBorder="1"/>
    <xf numFmtId="0" fontId="71" fillId="0" borderId="234" xfId="178" applyFont="1" applyBorder="1" applyAlignment="1">
      <alignment horizontal="left" indent="1"/>
    </xf>
    <xf numFmtId="165" fontId="168" fillId="0" borderId="234" xfId="104" applyNumberFormat="1" applyFont="1" applyBorder="1" applyAlignment="1">
      <alignment horizontal="left" indent="3"/>
    </xf>
    <xf numFmtId="179" fontId="44" fillId="25" borderId="147" xfId="111" applyNumberFormat="1" applyFont="1" applyFill="1" applyBorder="1" applyProtection="1"/>
    <xf numFmtId="0" fontId="71" fillId="0" borderId="234" xfId="178" applyFont="1" applyBorder="1" applyAlignment="1">
      <alignment horizontal="left" indent="2"/>
    </xf>
    <xf numFmtId="170" fontId="30" fillId="0" borderId="0" xfId="32" applyNumberFormat="1" applyFont="1" applyFill="1" applyBorder="1" applyProtection="1"/>
    <xf numFmtId="170" fontId="30" fillId="0" borderId="174" xfId="32" applyNumberFormat="1" applyFont="1" applyFill="1" applyBorder="1" applyProtection="1"/>
    <xf numFmtId="242" fontId="198" fillId="0" borderId="0" xfId="111" applyNumberFormat="1" applyFont="1" applyFill="1" applyBorder="1" applyProtection="1"/>
    <xf numFmtId="242" fontId="198" fillId="0" borderId="174" xfId="111" applyNumberFormat="1" applyFont="1" applyFill="1" applyBorder="1" applyProtection="1"/>
    <xf numFmtId="170" fontId="9" fillId="0" borderId="0" xfId="32" applyNumberFormat="1" applyFill="1" applyBorder="1" applyProtection="1"/>
    <xf numFmtId="170" fontId="9" fillId="0" borderId="174" xfId="32" applyNumberFormat="1" applyFill="1" applyBorder="1" applyProtection="1"/>
    <xf numFmtId="185" fontId="44" fillId="0" borderId="0" xfId="111" applyNumberFormat="1" applyFont="1" applyFill="1" applyBorder="1" applyProtection="1"/>
    <xf numFmtId="185" fontId="44" fillId="0" borderId="174" xfId="111" applyNumberFormat="1" applyFont="1" applyFill="1" applyBorder="1" applyProtection="1"/>
    <xf numFmtId="167" fontId="168" fillId="0" borderId="183" xfId="104" applyNumberFormat="1" applyFont="1" applyBorder="1"/>
    <xf numFmtId="242" fontId="168" fillId="0" borderId="183" xfId="104" applyNumberFormat="1" applyFont="1" applyBorder="1"/>
    <xf numFmtId="185" fontId="71" fillId="0" borderId="183" xfId="105" applyNumberFormat="1" applyFont="1" applyBorder="1"/>
    <xf numFmtId="168" fontId="168" fillId="0" borderId="174" xfId="104" applyNumberFormat="1" applyFont="1" applyBorder="1" applyAlignment="1">
      <alignment horizontal="right"/>
    </xf>
    <xf numFmtId="179" fontId="71" fillId="0" borderId="182" xfId="111" applyNumberFormat="1" applyFont="1" applyFill="1" applyBorder="1" applyProtection="1"/>
    <xf numFmtId="167" fontId="44" fillId="25" borderId="233" xfId="104" applyNumberFormat="1" applyFont="1" applyFill="1" applyBorder="1"/>
    <xf numFmtId="0" fontId="168" fillId="0" borderId="182" xfId="105" applyFont="1" applyBorder="1"/>
    <xf numFmtId="185" fontId="71" fillId="25" borderId="181" xfId="105" applyNumberFormat="1" applyFont="1" applyFill="1" applyBorder="1"/>
    <xf numFmtId="185" fontId="71" fillId="0" borderId="181" xfId="105" applyNumberFormat="1" applyFont="1" applyBorder="1"/>
    <xf numFmtId="0" fontId="181" fillId="25" borderId="173" xfId="105" applyFont="1" applyFill="1" applyBorder="1" applyAlignment="1">
      <alignment horizontal="right"/>
    </xf>
    <xf numFmtId="0" fontId="181" fillId="25" borderId="234" xfId="105" applyFont="1" applyFill="1" applyBorder="1" applyAlignment="1">
      <alignment horizontal="left"/>
    </xf>
    <xf numFmtId="0" fontId="214" fillId="25" borderId="173" xfId="105" applyFont="1" applyFill="1" applyBorder="1" applyAlignment="1">
      <alignment horizontal="right"/>
    </xf>
    <xf numFmtId="0" fontId="44" fillId="25" borderId="174" xfId="105" applyFont="1" applyFill="1" applyBorder="1" applyAlignment="1">
      <alignment horizontal="right"/>
    </xf>
    <xf numFmtId="248" fontId="71" fillId="0" borderId="0" xfId="111" applyNumberFormat="1" applyFont="1" applyFill="1" applyBorder="1" applyAlignment="1" applyProtection="1">
      <alignment horizontal="left" indent="1"/>
    </xf>
    <xf numFmtId="170" fontId="30" fillId="0" borderId="0" xfId="32" applyNumberFormat="1" applyFont="1" applyFill="1" applyBorder="1" applyAlignment="1" applyProtection="1">
      <alignment horizontal="left" indent="1"/>
    </xf>
    <xf numFmtId="170" fontId="30" fillId="0" borderId="174" xfId="32" applyNumberFormat="1" applyFont="1" applyFill="1" applyBorder="1" applyAlignment="1" applyProtection="1">
      <alignment horizontal="left" indent="1"/>
    </xf>
    <xf numFmtId="242" fontId="168" fillId="0" borderId="0" xfId="104" applyNumberFormat="1" applyFont="1" applyAlignment="1">
      <alignment horizontal="left" indent="1"/>
    </xf>
    <xf numFmtId="242" fontId="168" fillId="0" borderId="174" xfId="104" applyNumberFormat="1" applyFont="1" applyBorder="1" applyAlignment="1">
      <alignment horizontal="left" indent="1"/>
    </xf>
    <xf numFmtId="242" fontId="168" fillId="0" borderId="0" xfId="111" applyNumberFormat="1" applyFont="1" applyFill="1" applyBorder="1" applyAlignment="1" applyProtection="1">
      <alignment horizontal="left" indent="1"/>
    </xf>
    <xf numFmtId="242" fontId="168" fillId="0" borderId="174" xfId="111" applyNumberFormat="1" applyFont="1" applyFill="1" applyBorder="1" applyAlignment="1" applyProtection="1">
      <alignment horizontal="left" indent="1"/>
    </xf>
    <xf numFmtId="0" fontId="168" fillId="0" borderId="182" xfId="105" applyFont="1" applyBorder="1" applyAlignment="1">
      <alignment horizontal="left" indent="1"/>
    </xf>
    <xf numFmtId="0" fontId="168" fillId="0" borderId="0" xfId="105" applyFont="1" applyAlignment="1">
      <alignment horizontal="left" indent="1"/>
    </xf>
    <xf numFmtId="4" fontId="71" fillId="25" borderId="224" xfId="104" applyNumberFormat="1" applyFont="1" applyFill="1" applyBorder="1" applyAlignment="1">
      <alignment horizontal="right"/>
    </xf>
    <xf numFmtId="165" fontId="168" fillId="0" borderId="234" xfId="104" applyNumberFormat="1" applyFont="1" applyBorder="1" applyAlignment="1">
      <alignment horizontal="left"/>
    </xf>
    <xf numFmtId="242" fontId="198" fillId="25" borderId="184" xfId="104" applyNumberFormat="1" applyFont="1" applyFill="1" applyBorder="1"/>
    <xf numFmtId="242" fontId="198" fillId="25" borderId="183" xfId="104" applyNumberFormat="1" applyFont="1" applyFill="1" applyBorder="1"/>
    <xf numFmtId="4" fontId="71" fillId="25" borderId="182" xfId="104" applyNumberFormat="1" applyFont="1" applyFill="1" applyBorder="1" applyAlignment="1">
      <alignment horizontal="right"/>
    </xf>
    <xf numFmtId="183" fontId="44" fillId="25" borderId="173" xfId="105" applyNumberFormat="1" applyFont="1" applyFill="1" applyBorder="1" applyAlignment="1">
      <alignment horizontal="right"/>
    </xf>
    <xf numFmtId="183" fontId="44" fillId="25" borderId="181" xfId="105" applyNumberFormat="1" applyFont="1" applyFill="1" applyBorder="1" applyAlignment="1">
      <alignment horizontal="right"/>
    </xf>
    <xf numFmtId="183" fontId="44" fillId="25" borderId="174" xfId="105" applyNumberFormat="1" applyFont="1" applyFill="1" applyBorder="1" applyAlignment="1">
      <alignment horizontal="right"/>
    </xf>
    <xf numFmtId="183" fontId="44" fillId="25" borderId="0" xfId="105" applyNumberFormat="1" applyFont="1" applyFill="1" applyAlignment="1">
      <alignment horizontal="right"/>
    </xf>
    <xf numFmtId="0" fontId="44" fillId="25" borderId="234" xfId="105" applyFont="1" applyFill="1" applyBorder="1" applyAlignment="1">
      <alignment horizontal="right"/>
    </xf>
    <xf numFmtId="165" fontId="180" fillId="25" borderId="239" xfId="104" applyNumberFormat="1" applyFont="1" applyFill="1" applyBorder="1" applyAlignment="1">
      <alignment horizontal="left" indent="1"/>
    </xf>
    <xf numFmtId="242" fontId="180" fillId="25" borderId="0" xfId="111" applyNumberFormat="1" applyFont="1" applyFill="1" applyBorder="1" applyAlignment="1" applyProtection="1">
      <alignment horizontal="right"/>
    </xf>
    <xf numFmtId="242" fontId="180" fillId="25" borderId="174" xfId="111" applyNumberFormat="1" applyFont="1" applyFill="1" applyBorder="1" applyAlignment="1" applyProtection="1">
      <alignment horizontal="right"/>
    </xf>
    <xf numFmtId="242" fontId="180" fillId="0" borderId="0" xfId="111" applyNumberFormat="1" applyFont="1" applyFill="1" applyBorder="1" applyAlignment="1" applyProtection="1">
      <alignment horizontal="right"/>
    </xf>
    <xf numFmtId="242" fontId="180" fillId="0" borderId="174" xfId="111" applyNumberFormat="1" applyFont="1" applyFill="1" applyBorder="1" applyAlignment="1" applyProtection="1">
      <alignment horizontal="right"/>
    </xf>
    <xf numFmtId="183" fontId="71" fillId="25" borderId="181" xfId="105" applyNumberFormat="1" applyFont="1" applyFill="1" applyBorder="1" applyAlignment="1">
      <alignment horizontal="right"/>
    </xf>
    <xf numFmtId="183" fontId="71" fillId="25" borderId="234" xfId="105" applyNumberFormat="1" applyFont="1" applyFill="1" applyBorder="1" applyAlignment="1">
      <alignment horizontal="right"/>
    </xf>
    <xf numFmtId="183" fontId="44" fillId="25" borderId="234" xfId="105" applyNumberFormat="1" applyFont="1" applyFill="1" applyBorder="1" applyAlignment="1">
      <alignment horizontal="right"/>
    </xf>
    <xf numFmtId="183" fontId="71" fillId="25" borderId="173" xfId="105" applyNumberFormat="1" applyFont="1" applyFill="1" applyBorder="1" applyAlignment="1">
      <alignment horizontal="right"/>
    </xf>
    <xf numFmtId="183" fontId="71" fillId="25" borderId="174" xfId="105" applyNumberFormat="1" applyFont="1" applyFill="1" applyBorder="1" applyAlignment="1">
      <alignment horizontal="right"/>
    </xf>
    <xf numFmtId="183" fontId="71" fillId="25" borderId="0" xfId="105" applyNumberFormat="1" applyFont="1" applyFill="1" applyAlignment="1">
      <alignment horizontal="right"/>
    </xf>
    <xf numFmtId="165" fontId="198" fillId="0" borderId="181" xfId="104" applyNumberFormat="1" applyFont="1" applyBorder="1" applyAlignment="1">
      <alignment horizontal="right"/>
    </xf>
    <xf numFmtId="165" fontId="198" fillId="0" borderId="174" xfId="104" applyNumberFormat="1" applyFont="1" applyBorder="1" applyAlignment="1">
      <alignment horizontal="right"/>
    </xf>
    <xf numFmtId="183" fontId="63" fillId="25" borderId="234" xfId="105" applyNumberFormat="1" applyFont="1" applyFill="1" applyBorder="1" applyAlignment="1">
      <alignment horizontal="right"/>
    </xf>
    <xf numFmtId="4" fontId="44" fillId="25" borderId="224" xfId="104" applyNumberFormat="1" applyFont="1" applyFill="1" applyBorder="1" applyAlignment="1">
      <alignment horizontal="right"/>
    </xf>
    <xf numFmtId="4" fontId="55" fillId="25" borderId="224" xfId="104" applyNumberFormat="1" applyFont="1" applyFill="1" applyBorder="1" applyAlignment="1">
      <alignment horizontal="right"/>
    </xf>
    <xf numFmtId="0" fontId="71" fillId="25" borderId="234" xfId="105" applyFont="1" applyFill="1" applyBorder="1" applyAlignment="1">
      <alignment horizontal="left"/>
    </xf>
    <xf numFmtId="185" fontId="71" fillId="25" borderId="174" xfId="105" applyNumberFormat="1" applyFont="1" applyFill="1" applyBorder="1" applyAlignment="1">
      <alignment horizontal="right"/>
    </xf>
    <xf numFmtId="242" fontId="44" fillId="25" borderId="0" xfId="111" applyNumberFormat="1" applyFont="1" applyFill="1" applyBorder="1" applyAlignment="1" applyProtection="1">
      <alignment horizontal="right"/>
    </xf>
    <xf numFmtId="242" fontId="44" fillId="25" borderId="174" xfId="111" applyNumberFormat="1" applyFont="1" applyFill="1" applyBorder="1" applyAlignment="1" applyProtection="1">
      <alignment horizontal="right"/>
    </xf>
    <xf numFmtId="242" fontId="44" fillId="0" borderId="0" xfId="111" applyNumberFormat="1" applyFont="1" applyFill="1" applyBorder="1" applyAlignment="1" applyProtection="1">
      <alignment horizontal="right"/>
    </xf>
    <xf numFmtId="242" fontId="44" fillId="0" borderId="174" xfId="111" applyNumberFormat="1" applyFont="1" applyFill="1" applyBorder="1" applyAlignment="1" applyProtection="1">
      <alignment horizontal="right"/>
    </xf>
    <xf numFmtId="17" fontId="44" fillId="0" borderId="174" xfId="105" applyNumberFormat="1" applyFont="1" applyBorder="1" applyAlignment="1">
      <alignment horizontal="right"/>
    </xf>
    <xf numFmtId="185" fontId="44" fillId="0" borderId="181" xfId="105" applyNumberFormat="1" applyFont="1" applyBorder="1"/>
    <xf numFmtId="185" fontId="44" fillId="25" borderId="174" xfId="105" applyNumberFormat="1" applyFont="1" applyFill="1" applyBorder="1" applyAlignment="1">
      <alignment horizontal="right"/>
    </xf>
    <xf numFmtId="185" fontId="168" fillId="0" borderId="174" xfId="105" applyNumberFormat="1" applyFont="1" applyBorder="1"/>
    <xf numFmtId="185" fontId="168" fillId="25" borderId="174" xfId="105" applyNumberFormat="1" applyFont="1" applyFill="1" applyBorder="1" applyAlignment="1">
      <alignment horizontal="right"/>
    </xf>
    <xf numFmtId="0" fontId="158" fillId="0" borderId="0" xfId="105" applyFont="1" applyAlignment="1">
      <alignment horizontal="right"/>
    </xf>
    <xf numFmtId="248" fontId="205" fillId="0" borderId="0" xfId="111" applyNumberFormat="1" applyFont="1" applyFill="1" applyBorder="1" applyProtection="1"/>
    <xf numFmtId="185" fontId="205" fillId="0" borderId="0" xfId="111" applyNumberFormat="1" applyFont="1" applyFill="1" applyBorder="1" applyProtection="1"/>
    <xf numFmtId="185" fontId="205" fillId="0" borderId="174" xfId="111" applyNumberFormat="1" applyFont="1" applyFill="1" applyBorder="1" applyProtection="1"/>
    <xf numFmtId="248" fontId="63" fillId="0" borderId="0" xfId="111" applyNumberFormat="1" applyFont="1" applyFill="1" applyBorder="1" applyProtection="1"/>
    <xf numFmtId="248" fontId="63" fillId="0" borderId="174" xfId="111" applyNumberFormat="1" applyFont="1" applyFill="1" applyBorder="1" applyProtection="1"/>
    <xf numFmtId="165" fontId="208" fillId="0" borderId="224" xfId="104" applyNumberFormat="1" applyFont="1" applyBorder="1" applyAlignment="1">
      <alignment horizontal="right"/>
    </xf>
    <xf numFmtId="0" fontId="210" fillId="0" borderId="224" xfId="104" applyFont="1" applyBorder="1"/>
    <xf numFmtId="249" fontId="71" fillId="0" borderId="0" xfId="111" applyNumberFormat="1" applyFont="1" applyFill="1" applyBorder="1" applyProtection="1"/>
    <xf numFmtId="249" fontId="71" fillId="0" borderId="174" xfId="111" applyNumberFormat="1" applyFont="1" applyFill="1" applyBorder="1" applyProtection="1"/>
    <xf numFmtId="249" fontId="9" fillId="0" borderId="0" xfId="32" applyNumberFormat="1" applyFill="1" applyBorder="1" applyProtection="1"/>
    <xf numFmtId="17" fontId="203" fillId="0" borderId="174" xfId="105" applyNumberFormat="1" applyFont="1" applyBorder="1" applyAlignment="1">
      <alignment horizontal="right"/>
    </xf>
    <xf numFmtId="0" fontId="203" fillId="25" borderId="173" xfId="105" applyFont="1" applyFill="1" applyBorder="1" applyAlignment="1">
      <alignment horizontal="right"/>
    </xf>
    <xf numFmtId="249" fontId="44" fillId="0" borderId="0" xfId="32" applyNumberFormat="1" applyFont="1" applyFill="1" applyBorder="1" applyProtection="1"/>
    <xf numFmtId="249" fontId="44" fillId="0" borderId="174" xfId="32" applyNumberFormat="1" applyFont="1" applyFill="1" applyBorder="1" applyProtection="1"/>
    <xf numFmtId="249" fontId="55" fillId="0" borderId="0" xfId="32" applyNumberFormat="1" applyFont="1" applyFill="1" applyBorder="1" applyProtection="1"/>
    <xf numFmtId="249" fontId="55" fillId="0" borderId="174" xfId="32" applyNumberFormat="1" applyFont="1" applyFill="1" applyBorder="1" applyProtection="1"/>
    <xf numFmtId="249" fontId="71" fillId="0" borderId="0" xfId="32" applyNumberFormat="1" applyFont="1" applyFill="1" applyBorder="1" applyProtection="1"/>
    <xf numFmtId="249" fontId="71" fillId="0" borderId="174" xfId="32" applyNumberFormat="1" applyFont="1" applyFill="1" applyBorder="1" applyProtection="1"/>
    <xf numFmtId="165" fontId="168" fillId="0" borderId="239" xfId="104" applyNumberFormat="1" applyFont="1" applyBorder="1" applyAlignment="1">
      <alignment horizontal="right"/>
    </xf>
    <xf numFmtId="242" fontId="168" fillId="82" borderId="0" xfId="111" applyNumberFormat="1" applyFont="1" applyFill="1" applyBorder="1" applyAlignment="1" applyProtection="1">
      <alignment horizontal="right"/>
    </xf>
    <xf numFmtId="242" fontId="168" fillId="82" borderId="174" xfId="111" applyNumberFormat="1" applyFont="1" applyFill="1" applyBorder="1" applyAlignment="1" applyProtection="1">
      <alignment horizontal="right"/>
    </xf>
    <xf numFmtId="0" fontId="181" fillId="82" borderId="234" xfId="105" applyFont="1" applyFill="1" applyBorder="1" applyAlignment="1">
      <alignment horizontal="left"/>
    </xf>
    <xf numFmtId="17" fontId="181" fillId="82" borderId="0" xfId="105" applyNumberFormat="1" applyFont="1" applyFill="1" applyAlignment="1">
      <alignment horizontal="right"/>
    </xf>
    <xf numFmtId="17" fontId="181" fillId="82" borderId="174" xfId="105" applyNumberFormat="1" applyFont="1" applyFill="1" applyBorder="1" applyAlignment="1">
      <alignment horizontal="right"/>
    </xf>
    <xf numFmtId="165" fontId="71" fillId="25" borderId="234" xfId="104" applyNumberFormat="1" applyFont="1" applyFill="1" applyBorder="1" applyAlignment="1">
      <alignment horizontal="left"/>
    </xf>
    <xf numFmtId="183" fontId="63" fillId="25" borderId="174" xfId="105" applyNumberFormat="1" applyFont="1" applyFill="1" applyBorder="1" applyAlignment="1">
      <alignment horizontal="right"/>
    </xf>
    <xf numFmtId="0" fontId="181" fillId="82" borderId="173" xfId="105" applyFont="1" applyFill="1" applyBorder="1" applyAlignment="1">
      <alignment horizontal="right"/>
    </xf>
    <xf numFmtId="165" fontId="168" fillId="82" borderId="181" xfId="104" applyNumberFormat="1" applyFont="1" applyFill="1" applyBorder="1" applyAlignment="1">
      <alignment horizontal="right"/>
    </xf>
    <xf numFmtId="165" fontId="168" fillId="82" borderId="174" xfId="104" applyNumberFormat="1" applyFont="1" applyFill="1" applyBorder="1" applyAlignment="1">
      <alignment horizontal="right"/>
    </xf>
    <xf numFmtId="165" fontId="168" fillId="82" borderId="239" xfId="104" applyNumberFormat="1" applyFont="1" applyFill="1" applyBorder="1" applyAlignment="1">
      <alignment horizontal="right"/>
    </xf>
    <xf numFmtId="165" fontId="198" fillId="82" borderId="181" xfId="104" applyNumberFormat="1" applyFont="1" applyFill="1" applyBorder="1" applyAlignment="1">
      <alignment horizontal="right"/>
    </xf>
    <xf numFmtId="0" fontId="181" fillId="82" borderId="181" xfId="105" applyFont="1" applyFill="1" applyBorder="1" applyAlignment="1">
      <alignment horizontal="right"/>
    </xf>
    <xf numFmtId="0" fontId="181" fillId="82" borderId="174" xfId="105" applyFont="1" applyFill="1" applyBorder="1" applyAlignment="1">
      <alignment horizontal="right"/>
    </xf>
    <xf numFmtId="179" fontId="30" fillId="0" borderId="0" xfId="32" applyNumberFormat="1" applyFont="1" applyFill="1" applyBorder="1" applyProtection="1"/>
    <xf numFmtId="179" fontId="30" fillId="0" borderId="174" xfId="32" applyNumberFormat="1" applyFont="1" applyFill="1" applyBorder="1" applyProtection="1"/>
    <xf numFmtId="165" fontId="168" fillId="0" borderId="242" xfId="104" applyNumberFormat="1" applyFont="1" applyBorder="1" applyAlignment="1">
      <alignment horizontal="right"/>
    </xf>
    <xf numFmtId="165" fontId="198" fillId="0" borderId="242" xfId="104" applyNumberFormat="1" applyFont="1" applyBorder="1" applyAlignment="1">
      <alignment horizontal="right"/>
    </xf>
    <xf numFmtId="165" fontId="168" fillId="25" borderId="243" xfId="104" applyNumberFormat="1" applyFont="1" applyFill="1" applyBorder="1" applyAlignment="1">
      <alignment horizontal="left" indent="1"/>
    </xf>
    <xf numFmtId="17" fontId="214" fillId="0" borderId="174" xfId="105" applyNumberFormat="1" applyFont="1" applyBorder="1" applyAlignment="1">
      <alignment horizontal="right"/>
    </xf>
    <xf numFmtId="169" fontId="168" fillId="25" borderId="181" xfId="105" applyNumberFormat="1" applyFont="1" applyFill="1" applyBorder="1" applyAlignment="1">
      <alignment horizontal="right"/>
    </xf>
    <xf numFmtId="17" fontId="212" fillId="0" borderId="0" xfId="105" applyNumberFormat="1" applyFont="1" applyAlignment="1">
      <alignment horizontal="right"/>
    </xf>
    <xf numFmtId="17" fontId="212" fillId="0" borderId="174" xfId="105" applyNumberFormat="1" applyFont="1" applyBorder="1" applyAlignment="1">
      <alignment horizontal="right"/>
    </xf>
    <xf numFmtId="167" fontId="168" fillId="25" borderId="173" xfId="52" applyNumberFormat="1" applyFont="1" applyFill="1" applyBorder="1" applyAlignment="1" applyProtection="1">
      <alignment horizontal="right"/>
    </xf>
    <xf numFmtId="169" fontId="168" fillId="25" borderId="173" xfId="105" applyNumberFormat="1" applyFont="1" applyFill="1" applyBorder="1" applyAlignment="1">
      <alignment horizontal="right"/>
    </xf>
    <xf numFmtId="169" fontId="168" fillId="25" borderId="174" xfId="105" applyNumberFormat="1" applyFont="1" applyFill="1" applyBorder="1" applyAlignment="1">
      <alignment horizontal="right"/>
    </xf>
    <xf numFmtId="0" fontId="42" fillId="0" borderId="244" xfId="104" applyFont="1" applyBorder="1" applyAlignment="1">
      <alignment horizontal="left"/>
    </xf>
    <xf numFmtId="165" fontId="44" fillId="0" borderId="244" xfId="104" applyNumberFormat="1" applyFont="1" applyBorder="1" applyAlignment="1">
      <alignment horizontal="right"/>
    </xf>
    <xf numFmtId="167" fontId="44" fillId="0" borderId="244" xfId="104" applyNumberFormat="1" applyFont="1" applyBorder="1" applyAlignment="1">
      <alignment horizontal="right"/>
    </xf>
    <xf numFmtId="184" fontId="71" fillId="0" borderId="0" xfId="105" applyNumberFormat="1" applyFont="1" applyAlignment="1">
      <alignment horizontal="left" vertical="center" indent="2"/>
    </xf>
    <xf numFmtId="246" fontId="71" fillId="25" borderId="244" xfId="105" applyNumberFormat="1" applyFont="1" applyFill="1" applyBorder="1" applyAlignment="1">
      <alignment vertical="center"/>
    </xf>
    <xf numFmtId="246" fontId="71" fillId="25" borderId="162" xfId="105" applyNumberFormat="1" applyFont="1" applyFill="1" applyBorder="1" applyAlignment="1">
      <alignment vertical="center"/>
    </xf>
    <xf numFmtId="165" fontId="168" fillId="0" borderId="243" xfId="104" applyNumberFormat="1" applyFont="1" applyBorder="1" applyAlignment="1">
      <alignment horizontal="right"/>
    </xf>
    <xf numFmtId="242" fontId="168" fillId="0" borderId="242" xfId="104" applyNumberFormat="1" applyFont="1" applyBorder="1" applyAlignment="1">
      <alignment horizontal="right"/>
    </xf>
    <xf numFmtId="165" fontId="168" fillId="25" borderId="242" xfId="104" applyNumberFormat="1" applyFont="1" applyFill="1" applyBorder="1" applyAlignment="1">
      <alignment horizontal="right"/>
    </xf>
    <xf numFmtId="231" fontId="71" fillId="25" borderId="238" xfId="105" applyNumberFormat="1" applyFont="1" applyFill="1" applyBorder="1" applyAlignment="1">
      <alignment vertical="center"/>
    </xf>
    <xf numFmtId="167" fontId="168" fillId="0" borderId="243" xfId="104" applyNumberFormat="1" applyFont="1" applyBorder="1"/>
    <xf numFmtId="184" fontId="71" fillId="0" borderId="231" xfId="105" applyNumberFormat="1" applyFont="1" applyBorder="1" applyAlignment="1">
      <alignment horizontal="left" vertical="center"/>
    </xf>
    <xf numFmtId="184" fontId="44" fillId="0" borderId="195" xfId="105" applyNumberFormat="1" applyFont="1" applyBorder="1" applyAlignment="1">
      <alignment horizontal="left" vertical="center" indent="1"/>
    </xf>
    <xf numFmtId="231" fontId="44" fillId="25" borderId="194" xfId="105" applyNumberFormat="1" applyFont="1" applyFill="1" applyBorder="1" applyAlignment="1">
      <alignment vertical="center"/>
    </xf>
    <xf numFmtId="44" fontId="44" fillId="25" borderId="137" xfId="3380" applyFont="1" applyFill="1" applyBorder="1" applyAlignment="1" applyProtection="1">
      <alignment vertical="center"/>
    </xf>
    <xf numFmtId="44" fontId="44" fillId="25" borderId="240" xfId="3380" applyFont="1" applyFill="1" applyBorder="1" applyAlignment="1" applyProtection="1">
      <alignment vertical="center"/>
    </xf>
    <xf numFmtId="44" fontId="44" fillId="25" borderId="174" xfId="3380" applyFont="1" applyFill="1" applyBorder="1" applyAlignment="1" applyProtection="1">
      <alignment vertical="center"/>
    </xf>
    <xf numFmtId="231" fontId="44" fillId="0" borderId="243" xfId="105" applyNumberFormat="1" applyFont="1" applyBorder="1"/>
    <xf numFmtId="171" fontId="168" fillId="0" borderId="243" xfId="110" applyNumberFormat="1" applyFont="1" applyFill="1" applyBorder="1" applyProtection="1"/>
    <xf numFmtId="231" fontId="71" fillId="0" borderId="0" xfId="105" applyNumberFormat="1" applyFont="1" applyAlignment="1">
      <alignment vertical="center"/>
    </xf>
    <xf numFmtId="231" fontId="63" fillId="25" borderId="184" xfId="105" applyNumberFormat="1" applyFont="1" applyFill="1" applyBorder="1" applyAlignment="1">
      <alignment vertical="center"/>
    </xf>
    <xf numFmtId="231" fontId="46" fillId="0" borderId="0" xfId="105" applyNumberFormat="1" applyFont="1" applyAlignment="1">
      <alignment vertical="center"/>
    </xf>
    <xf numFmtId="231" fontId="42" fillId="0" borderId="0" xfId="105" applyNumberFormat="1" applyFont="1" applyAlignment="1">
      <alignment vertical="center"/>
    </xf>
    <xf numFmtId="179" fontId="158" fillId="0" borderId="174" xfId="32" applyNumberFormat="1" applyFont="1" applyFill="1" applyBorder="1" applyProtection="1"/>
    <xf numFmtId="246" fontId="68" fillId="25" borderId="0" xfId="105" applyNumberFormat="1" applyFont="1" applyFill="1"/>
    <xf numFmtId="170" fontId="30" fillId="25" borderId="0" xfId="32" applyNumberFormat="1" applyFont="1" applyFill="1" applyBorder="1" applyProtection="1"/>
    <xf numFmtId="248" fontId="71" fillId="25" borderId="0" xfId="111" applyNumberFormat="1" applyFont="1" applyFill="1" applyBorder="1" applyProtection="1"/>
    <xf numFmtId="249" fontId="44" fillId="25" borderId="0" xfId="32" applyNumberFormat="1" applyFont="1" applyFill="1" applyBorder="1" applyProtection="1"/>
    <xf numFmtId="234" fontId="71" fillId="25" borderId="188" xfId="105" applyNumberFormat="1" applyFont="1" applyFill="1" applyBorder="1" applyAlignment="1">
      <alignment horizontal="left"/>
    </xf>
    <xf numFmtId="236" fontId="44" fillId="25" borderId="188" xfId="105" applyNumberFormat="1" applyFont="1" applyFill="1" applyBorder="1"/>
    <xf numFmtId="186" fontId="44" fillId="0" borderId="245" xfId="105" applyNumberFormat="1" applyFont="1" applyBorder="1"/>
    <xf numFmtId="168" fontId="44" fillId="25" borderId="243" xfId="105" applyNumberFormat="1" applyFont="1" applyFill="1" applyBorder="1"/>
    <xf numFmtId="184" fontId="44" fillId="25" borderId="243" xfId="105" applyNumberFormat="1" applyFont="1" applyFill="1" applyBorder="1" applyAlignment="1">
      <alignment horizontal="left"/>
    </xf>
    <xf numFmtId="185" fontId="44" fillId="25" borderId="246" xfId="105" applyNumberFormat="1" applyFont="1" applyFill="1" applyBorder="1"/>
    <xf numFmtId="184" fontId="44" fillId="25" borderId="243" xfId="105" applyNumberFormat="1" applyFont="1" applyFill="1" applyBorder="1" applyAlignment="1">
      <alignment horizontal="left" indent="1"/>
    </xf>
    <xf numFmtId="241" fontId="71" fillId="25" borderId="243" xfId="105" applyNumberFormat="1" applyFont="1" applyFill="1" applyBorder="1" applyAlignment="1">
      <alignment horizontal="left"/>
    </xf>
    <xf numFmtId="241" fontId="67" fillId="25" borderId="243" xfId="105" applyNumberFormat="1" applyFont="1" applyFill="1" applyBorder="1" applyAlignment="1">
      <alignment horizontal="left"/>
    </xf>
    <xf numFmtId="7" fontId="44" fillId="25" borderId="0" xfId="105" applyNumberFormat="1" applyFont="1" applyFill="1"/>
    <xf numFmtId="165" fontId="44" fillId="25" borderId="27" xfId="105" applyNumberFormat="1" applyFont="1" applyFill="1" applyBorder="1" applyAlignment="1">
      <alignment horizontal="right"/>
    </xf>
    <xf numFmtId="239" fontId="44" fillId="0" borderId="243" xfId="105" applyNumberFormat="1" applyFont="1" applyBorder="1" applyAlignment="1">
      <alignment horizontal="left"/>
    </xf>
    <xf numFmtId="165" fontId="44" fillId="25" borderId="245" xfId="105" applyNumberFormat="1" applyFont="1" applyFill="1" applyBorder="1" applyAlignment="1">
      <alignment horizontal="right"/>
    </xf>
    <xf numFmtId="165" fontId="44" fillId="25" borderId="240" xfId="105" applyNumberFormat="1" applyFont="1" applyFill="1" applyBorder="1" applyAlignment="1">
      <alignment horizontal="right"/>
    </xf>
    <xf numFmtId="0" fontId="181" fillId="0" borderId="244" xfId="105" applyFont="1" applyBorder="1" applyAlignment="1">
      <alignment horizontal="right"/>
    </xf>
    <xf numFmtId="186" fontId="44" fillId="0" borderId="174" xfId="105" applyNumberFormat="1" applyFont="1" applyBorder="1"/>
    <xf numFmtId="168" fontId="44" fillId="25" borderId="174" xfId="105" applyNumberFormat="1" applyFont="1" applyFill="1" applyBorder="1"/>
    <xf numFmtId="241" fontId="44" fillId="25" borderId="185" xfId="105" applyNumberFormat="1" applyFont="1" applyFill="1" applyBorder="1"/>
    <xf numFmtId="246" fontId="65" fillId="75" borderId="0" xfId="105" applyNumberFormat="1" applyFont="1" applyFill="1"/>
    <xf numFmtId="0" fontId="44" fillId="83" borderId="0" xfId="105" applyFont="1" applyFill="1" applyAlignment="1">
      <alignment horizontal="left" indent="1"/>
    </xf>
    <xf numFmtId="9" fontId="44" fillId="83" borderId="0" xfId="121" applyFont="1" applyFill="1" applyBorder="1" applyAlignment="1"/>
    <xf numFmtId="9" fontId="55" fillId="83" borderId="0" xfId="121" applyFont="1" applyFill="1" applyBorder="1" applyAlignment="1"/>
    <xf numFmtId="231" fontId="68" fillId="25" borderId="0" xfId="105" applyNumberFormat="1" applyFont="1" applyFill="1"/>
    <xf numFmtId="239" fontId="44" fillId="0" borderId="140" xfId="105" applyNumberFormat="1" applyFont="1" applyBorder="1" applyAlignment="1">
      <alignment horizontal="left"/>
    </xf>
    <xf numFmtId="165" fontId="44" fillId="25" borderId="140" xfId="105" applyNumberFormat="1" applyFont="1" applyFill="1" applyBorder="1" applyAlignment="1">
      <alignment horizontal="right"/>
    </xf>
    <xf numFmtId="0" fontId="29" fillId="0" borderId="140" xfId="105" applyFont="1" applyBorder="1"/>
    <xf numFmtId="0" fontId="42" fillId="0" borderId="0" xfId="104" applyFont="1" applyAlignment="1">
      <alignment horizontal="left"/>
    </xf>
    <xf numFmtId="246" fontId="71" fillId="0" borderId="0" xfId="105" applyNumberFormat="1" applyFont="1" applyAlignment="1">
      <alignment vertical="center"/>
    </xf>
    <xf numFmtId="246" fontId="71" fillId="0" borderId="208" xfId="105" applyNumberFormat="1" applyFont="1" applyBorder="1"/>
    <xf numFmtId="171" fontId="71" fillId="0" borderId="0" xfId="105" applyNumberFormat="1" applyFont="1"/>
    <xf numFmtId="236" fontId="71" fillId="0" borderId="0" xfId="105" applyNumberFormat="1" applyFont="1"/>
    <xf numFmtId="9" fontId="168" fillId="0" borderId="0" xfId="121" applyFont="1" applyFill="1" applyBorder="1" applyAlignment="1" applyProtection="1"/>
    <xf numFmtId="243" fontId="71" fillId="0" borderId="0" xfId="105" applyNumberFormat="1" applyFont="1"/>
    <xf numFmtId="241" fontId="44" fillId="0" borderId="0" xfId="105" applyNumberFormat="1" applyFont="1"/>
    <xf numFmtId="195" fontId="29" fillId="0" borderId="0" xfId="105" applyNumberFormat="1" applyFont="1"/>
    <xf numFmtId="241" fontId="71" fillId="0" borderId="185" xfId="105" applyNumberFormat="1" applyFont="1" applyBorder="1"/>
    <xf numFmtId="241" fontId="71" fillId="0" borderId="29" xfId="105" applyNumberFormat="1" applyFont="1" applyBorder="1"/>
    <xf numFmtId="165" fontId="71" fillId="0" borderId="171" xfId="105" applyNumberFormat="1" applyFont="1" applyBorder="1" applyAlignment="1">
      <alignment horizontal="right"/>
    </xf>
    <xf numFmtId="165" fontId="44" fillId="0" borderId="171" xfId="105" applyNumberFormat="1" applyFont="1" applyBorder="1" applyAlignment="1">
      <alignment horizontal="right"/>
    </xf>
    <xf numFmtId="246" fontId="65" fillId="0" borderId="173" xfId="105" applyNumberFormat="1" applyFont="1" applyBorder="1"/>
    <xf numFmtId="244" fontId="71" fillId="0" borderId="230" xfId="105" applyNumberFormat="1" applyFont="1" applyBorder="1"/>
    <xf numFmtId="241" fontId="44" fillId="0" borderId="182" xfId="105" applyNumberFormat="1" applyFont="1" applyBorder="1"/>
    <xf numFmtId="241" fontId="44" fillId="0" borderId="148" xfId="105" applyNumberFormat="1" applyFont="1" applyBorder="1"/>
    <xf numFmtId="9" fontId="44" fillId="0" borderId="195" xfId="121" applyFont="1" applyFill="1" applyBorder="1"/>
    <xf numFmtId="242" fontId="168" fillId="0" borderId="0" xfId="121" applyNumberFormat="1" applyFont="1" applyFill="1" applyBorder="1" applyProtection="1"/>
    <xf numFmtId="242" fontId="168" fillId="0" borderId="174" xfId="121" applyNumberFormat="1" applyFont="1" applyFill="1" applyBorder="1" applyProtection="1"/>
    <xf numFmtId="242" fontId="168" fillId="25" borderId="0" xfId="121" applyNumberFormat="1" applyFont="1" applyFill="1" applyBorder="1" applyProtection="1"/>
    <xf numFmtId="0" fontId="71" fillId="0" borderId="245" xfId="105" applyFont="1" applyBorder="1"/>
    <xf numFmtId="241" fontId="71" fillId="0" borderId="174" xfId="105" applyNumberFormat="1" applyFont="1" applyBorder="1"/>
    <xf numFmtId="170" fontId="9" fillId="0" borderId="0" xfId="32" applyNumberFormat="1"/>
    <xf numFmtId="9" fontId="9" fillId="25" borderId="185" xfId="52" applyFill="1" applyBorder="1" applyAlignment="1" applyProtection="1"/>
    <xf numFmtId="170" fontId="9" fillId="0" borderId="0" xfId="32" applyNumberFormat="1" applyBorder="1" applyAlignment="1"/>
    <xf numFmtId="170" fontId="9" fillId="0" borderId="0" xfId="32" applyNumberFormat="1" applyBorder="1" applyAlignment="1">
      <alignment horizontal="right"/>
    </xf>
    <xf numFmtId="170" fontId="9" fillId="25" borderId="0" xfId="32" applyNumberFormat="1" applyFill="1"/>
    <xf numFmtId="170" fontId="9" fillId="0" borderId="0" xfId="32" applyNumberFormat="1" applyFill="1" applyAlignment="1">
      <alignment horizontal="right"/>
    </xf>
    <xf numFmtId="170" fontId="9" fillId="0" borderId="0" xfId="32" applyNumberFormat="1" applyFill="1" applyBorder="1"/>
    <xf numFmtId="170" fontId="9" fillId="0" borderId="0" xfId="32" applyNumberFormat="1" applyFill="1" applyBorder="1" applyAlignment="1">
      <alignment horizontal="left" indent="1"/>
    </xf>
    <xf numFmtId="170" fontId="9" fillId="0" borderId="0" xfId="32" applyNumberFormat="1" applyFill="1"/>
    <xf numFmtId="165" fontId="44" fillId="25" borderId="246" xfId="105" applyNumberFormat="1" applyFont="1" applyFill="1" applyBorder="1" applyAlignment="1">
      <alignment horizontal="right"/>
    </xf>
    <xf numFmtId="165" fontId="71" fillId="25" borderId="246" xfId="105" applyNumberFormat="1" applyFont="1" applyFill="1" applyBorder="1" applyAlignment="1">
      <alignment horizontal="right"/>
    </xf>
    <xf numFmtId="165" fontId="44" fillId="25" borderId="247" xfId="105" applyNumberFormat="1" applyFont="1" applyFill="1" applyBorder="1" applyAlignment="1">
      <alignment horizontal="right"/>
    </xf>
    <xf numFmtId="185" fontId="71" fillId="0" borderId="246" xfId="105" applyNumberFormat="1" applyFont="1" applyBorder="1"/>
    <xf numFmtId="242" fontId="168" fillId="0" borderId="246" xfId="104" applyNumberFormat="1" applyFont="1" applyBorder="1" applyAlignment="1">
      <alignment horizontal="right"/>
    </xf>
    <xf numFmtId="165" fontId="168" fillId="0" borderId="246" xfId="104" applyNumberFormat="1" applyFont="1" applyBorder="1" applyAlignment="1">
      <alignment horizontal="right"/>
    </xf>
    <xf numFmtId="185" fontId="71" fillId="0" borderId="246" xfId="111" applyNumberFormat="1" applyFont="1" applyFill="1" applyBorder="1" applyProtection="1"/>
    <xf numFmtId="179" fontId="71" fillId="0" borderId="246" xfId="111" applyNumberFormat="1" applyFont="1" applyFill="1" applyBorder="1" applyProtection="1"/>
    <xf numFmtId="242" fontId="168" fillId="25" borderId="246" xfId="104" applyNumberFormat="1" applyFont="1" applyFill="1" applyBorder="1" applyAlignment="1">
      <alignment horizontal="right"/>
    </xf>
    <xf numFmtId="246" fontId="44" fillId="0" borderId="214" xfId="105" applyNumberFormat="1" applyFont="1" applyBorder="1"/>
    <xf numFmtId="236" fontId="71" fillId="0" borderId="182" xfId="105" applyNumberFormat="1" applyFont="1" applyBorder="1"/>
    <xf numFmtId="236" fontId="44" fillId="0" borderId="179" xfId="105" applyNumberFormat="1" applyFont="1" applyBorder="1"/>
    <xf numFmtId="236" fontId="71" fillId="0" borderId="179" xfId="105" applyNumberFormat="1" applyFont="1" applyBorder="1"/>
    <xf numFmtId="9" fontId="168" fillId="0" borderId="182" xfId="121" applyFont="1" applyFill="1" applyBorder="1" applyAlignment="1" applyProtection="1"/>
    <xf numFmtId="241" fontId="44" fillId="0" borderId="179" xfId="105" applyNumberFormat="1" applyFont="1" applyBorder="1"/>
    <xf numFmtId="241" fontId="71" fillId="0" borderId="179" xfId="105" applyNumberFormat="1" applyFont="1" applyBorder="1"/>
    <xf numFmtId="17" fontId="46" fillId="0" borderId="28" xfId="105" applyNumberFormat="1" applyFont="1" applyBorder="1" applyAlignment="1">
      <alignment horizontal="right"/>
    </xf>
    <xf numFmtId="172" fontId="71" fillId="0" borderId="0" xfId="105" applyNumberFormat="1" applyFont="1"/>
    <xf numFmtId="235" fontId="44" fillId="0" borderId="182" xfId="120" applyNumberFormat="1" applyFont="1" applyFill="1" applyBorder="1" applyAlignment="1" applyProtection="1"/>
    <xf numFmtId="246" fontId="71" fillId="0" borderId="180" xfId="105" applyNumberFormat="1" applyFont="1" applyBorder="1"/>
    <xf numFmtId="231" fontId="44" fillId="0" borderId="182" xfId="119" applyNumberFormat="1" applyFont="1" applyFill="1" applyBorder="1" applyAlignment="1" applyProtection="1"/>
    <xf numFmtId="165" fontId="168" fillId="0" borderId="243" xfId="104" applyNumberFormat="1" applyFont="1" applyBorder="1" applyAlignment="1">
      <alignment horizontal="left" indent="6"/>
    </xf>
    <xf numFmtId="242" fontId="168" fillId="0" borderId="179" xfId="104" applyNumberFormat="1" applyFont="1" applyBorder="1" applyAlignment="1">
      <alignment horizontal="right"/>
    </xf>
    <xf numFmtId="167" fontId="168" fillId="0" borderId="248" xfId="104" applyNumberFormat="1" applyFont="1" applyBorder="1"/>
    <xf numFmtId="242" fontId="168" fillId="0" borderId="248" xfId="104" applyNumberFormat="1" applyFont="1" applyBorder="1"/>
    <xf numFmtId="242" fontId="168" fillId="25" borderId="248" xfId="104" applyNumberFormat="1" applyFont="1" applyFill="1" applyBorder="1"/>
    <xf numFmtId="242" fontId="168" fillId="25" borderId="245" xfId="104" applyNumberFormat="1" applyFont="1" applyFill="1" applyBorder="1"/>
    <xf numFmtId="165" fontId="168" fillId="0" borderId="234" xfId="104" applyNumberFormat="1" applyFont="1" applyBorder="1" applyAlignment="1">
      <alignment horizontal="left" indent="5"/>
    </xf>
    <xf numFmtId="9" fontId="44" fillId="0" borderId="0" xfId="52" applyFont="1" applyFill="1" applyBorder="1" applyAlignment="1" applyProtection="1">
      <alignment horizontal="right"/>
    </xf>
    <xf numFmtId="1" fontId="44" fillId="0" borderId="0" xfId="111" applyNumberFormat="1" applyFont="1" applyFill="1" applyBorder="1" applyProtection="1"/>
    <xf numFmtId="1" fontId="44" fillId="0" borderId="174" xfId="111" applyNumberFormat="1" applyFont="1" applyFill="1" applyBorder="1" applyProtection="1"/>
    <xf numFmtId="170" fontId="71" fillId="0" borderId="0" xfId="111" applyNumberFormat="1" applyFont="1" applyFill="1" applyBorder="1" applyProtection="1"/>
    <xf numFmtId="39" fontId="44" fillId="25" borderId="174" xfId="105" applyNumberFormat="1" applyFont="1" applyFill="1" applyBorder="1"/>
    <xf numFmtId="244" fontId="71" fillId="0" borderId="231" xfId="105" applyNumberFormat="1" applyFont="1" applyBorder="1"/>
    <xf numFmtId="244" fontId="71" fillId="0" borderId="28" xfId="105" applyNumberFormat="1" applyFont="1" applyBorder="1"/>
    <xf numFmtId="167" fontId="9" fillId="0" borderId="0" xfId="52" applyNumberFormat="1" applyFill="1" applyBorder="1" applyAlignment="1"/>
    <xf numFmtId="246" fontId="71" fillId="0" borderId="212" xfId="105" applyNumberFormat="1" applyFont="1" applyBorder="1"/>
    <xf numFmtId="9" fontId="9" fillId="0" borderId="0" xfId="52" applyFill="1" applyBorder="1" applyAlignment="1"/>
    <xf numFmtId="170" fontId="44" fillId="0" borderId="0" xfId="32" applyNumberFormat="1" applyFont="1" applyFill="1" applyBorder="1" applyProtection="1"/>
    <xf numFmtId="170" fontId="9" fillId="25" borderId="184" xfId="32" applyNumberFormat="1" applyFill="1" applyBorder="1"/>
    <xf numFmtId="236" fontId="65" fillId="0" borderId="0" xfId="105" applyNumberFormat="1" applyFont="1"/>
    <xf numFmtId="9" fontId="9" fillId="0" borderId="0" xfId="52" applyFill="1" applyBorder="1" applyProtection="1"/>
    <xf numFmtId="9" fontId="9" fillId="0" borderId="174" xfId="52" applyFill="1" applyBorder="1" applyProtection="1"/>
    <xf numFmtId="1" fontId="168" fillId="0" borderId="179" xfId="104" applyNumberFormat="1" applyFont="1" applyBorder="1" applyAlignment="1">
      <alignment horizontal="right"/>
    </xf>
    <xf numFmtId="246" fontId="71" fillId="0" borderId="29" xfId="105" applyNumberFormat="1" applyFont="1" applyBorder="1" applyAlignment="1">
      <alignment vertical="center"/>
    </xf>
    <xf numFmtId="246" fontId="44" fillId="0" borderId="29" xfId="105" applyNumberFormat="1" applyFont="1" applyBorder="1" applyAlignment="1">
      <alignment vertical="center"/>
    </xf>
    <xf numFmtId="246" fontId="71" fillId="0" borderId="29" xfId="105" applyNumberFormat="1" applyFont="1" applyBorder="1"/>
    <xf numFmtId="246" fontId="71" fillId="0" borderId="23" xfId="105" applyNumberFormat="1" applyFont="1" applyBorder="1"/>
    <xf numFmtId="236" fontId="44" fillId="0" borderId="174" xfId="105" applyNumberFormat="1" applyFont="1" applyBorder="1"/>
    <xf numFmtId="236" fontId="71" fillId="0" borderId="174" xfId="105" applyNumberFormat="1" applyFont="1" applyBorder="1"/>
    <xf numFmtId="9" fontId="168" fillId="0" borderId="174" xfId="121" applyFont="1" applyFill="1" applyBorder="1" applyAlignment="1" applyProtection="1"/>
    <xf numFmtId="171" fontId="71" fillId="0" borderId="174" xfId="105" applyNumberFormat="1" applyFont="1" applyBorder="1"/>
    <xf numFmtId="167" fontId="9" fillId="25" borderId="171" xfId="52" applyNumberFormat="1" applyFill="1" applyBorder="1" applyAlignment="1" applyProtection="1"/>
    <xf numFmtId="246" fontId="44" fillId="0" borderId="188" xfId="105" applyNumberFormat="1" applyFont="1" applyBorder="1"/>
    <xf numFmtId="230" fontId="44" fillId="0" borderId="0" xfId="105" applyNumberFormat="1" applyFont="1"/>
    <xf numFmtId="241" fontId="67" fillId="0" borderId="0" xfId="105" applyNumberFormat="1" applyFont="1"/>
    <xf numFmtId="185" fontId="44" fillId="0" borderId="174" xfId="105" applyNumberFormat="1" applyFont="1" applyBorder="1"/>
    <xf numFmtId="244" fontId="67" fillId="0" borderId="179" xfId="105" applyNumberFormat="1" applyFont="1" applyBorder="1"/>
    <xf numFmtId="244" fontId="67" fillId="0" borderId="0" xfId="105" applyNumberFormat="1" applyFont="1"/>
    <xf numFmtId="244" fontId="67" fillId="0" borderId="174" xfId="105" applyNumberFormat="1" applyFont="1" applyBorder="1"/>
    <xf numFmtId="185" fontId="67" fillId="0" borderId="174" xfId="105" applyNumberFormat="1" applyFont="1" applyBorder="1"/>
    <xf numFmtId="170" fontId="198" fillId="25" borderId="174" xfId="105" applyNumberFormat="1" applyFont="1" applyFill="1" applyBorder="1"/>
    <xf numFmtId="170" fontId="55" fillId="25" borderId="174" xfId="105" applyNumberFormat="1" applyFont="1" applyFill="1" applyBorder="1"/>
    <xf numFmtId="170" fontId="44" fillId="25" borderId="174" xfId="105" applyNumberFormat="1" applyFont="1" applyFill="1" applyBorder="1"/>
    <xf numFmtId="236" fontId="216" fillId="25" borderId="185" xfId="105" applyNumberFormat="1" applyFont="1" applyFill="1" applyBorder="1"/>
    <xf numFmtId="9" fontId="49" fillId="25" borderId="185" xfId="52" applyFont="1" applyFill="1" applyBorder="1" applyAlignment="1"/>
    <xf numFmtId="167" fontId="49" fillId="25" borderId="185" xfId="52" applyNumberFormat="1" applyFont="1" applyFill="1" applyBorder="1" applyAlignment="1"/>
    <xf numFmtId="251" fontId="216" fillId="25" borderId="174" xfId="105" applyNumberFormat="1" applyFont="1" applyFill="1" applyBorder="1"/>
    <xf numFmtId="39" fontId="216" fillId="25" borderId="174" xfId="105" applyNumberFormat="1" applyFont="1" applyFill="1" applyBorder="1"/>
    <xf numFmtId="246" fontId="65" fillId="0" borderId="182" xfId="105" applyNumberFormat="1" applyFont="1" applyBorder="1"/>
    <xf numFmtId="246" fontId="71" fillId="0" borderId="182" xfId="105" applyNumberFormat="1" applyFont="1" applyBorder="1" applyAlignment="1">
      <alignment vertical="center"/>
    </xf>
    <xf numFmtId="246" fontId="71" fillId="0" borderId="182" xfId="105" applyNumberFormat="1" applyFont="1" applyBorder="1"/>
    <xf numFmtId="172" fontId="44" fillId="0" borderId="0" xfId="105" applyNumberFormat="1" applyFont="1"/>
    <xf numFmtId="9" fontId="9" fillId="25" borderId="137" xfId="52" applyFill="1" applyBorder="1"/>
    <xf numFmtId="246" fontId="65" fillId="0" borderId="183" xfId="105" applyNumberFormat="1" applyFont="1" applyBorder="1"/>
    <xf numFmtId="172" fontId="71" fillId="0" borderId="137" xfId="105" applyNumberFormat="1" applyFont="1" applyBorder="1"/>
    <xf numFmtId="9" fontId="44" fillId="0" borderId="194" xfId="121" applyFont="1" applyFill="1" applyBorder="1"/>
    <xf numFmtId="236" fontId="71" fillId="25" borderId="250" xfId="105" applyNumberFormat="1" applyFont="1" applyFill="1" applyBorder="1"/>
    <xf numFmtId="172" fontId="71" fillId="25" borderId="243" xfId="105" applyNumberFormat="1" applyFont="1" applyFill="1" applyBorder="1"/>
    <xf numFmtId="236" fontId="44" fillId="25" borderId="243" xfId="105" applyNumberFormat="1" applyFont="1" applyFill="1" applyBorder="1"/>
    <xf numFmtId="246" fontId="44" fillId="0" borderId="213" xfId="105" applyNumberFormat="1" applyFont="1" applyBorder="1"/>
    <xf numFmtId="1" fontId="64" fillId="0" borderId="0" xfId="111" applyNumberFormat="1" applyFont="1" applyFill="1" applyBorder="1" applyProtection="1"/>
    <xf numFmtId="172" fontId="29" fillId="0" borderId="0" xfId="105" applyNumberFormat="1" applyFont="1"/>
    <xf numFmtId="0" fontId="71" fillId="71" borderId="162" xfId="105" applyFont="1" applyFill="1" applyBorder="1" applyAlignment="1">
      <alignment horizontal="center"/>
    </xf>
    <xf numFmtId="0" fontId="71" fillId="71" borderId="249" xfId="105" applyFont="1" applyFill="1" applyBorder="1"/>
    <xf numFmtId="0" fontId="71" fillId="71" borderId="178" xfId="105" applyFont="1" applyFill="1" applyBorder="1"/>
    <xf numFmtId="0" fontId="181" fillId="25" borderId="204" xfId="105" applyFont="1" applyFill="1" applyBorder="1" applyAlignment="1">
      <alignment horizontal="right"/>
    </xf>
    <xf numFmtId="0" fontId="181" fillId="25" borderId="236" xfId="105" applyFont="1" applyFill="1" applyBorder="1" applyAlignment="1">
      <alignment horizontal="right"/>
    </xf>
    <xf numFmtId="0" fontId="181" fillId="25" borderId="233" xfId="105" applyFont="1" applyFill="1" applyBorder="1" applyAlignment="1">
      <alignment horizontal="right"/>
    </xf>
    <xf numFmtId="0" fontId="181" fillId="25" borderId="251" xfId="105" applyFont="1" applyFill="1" applyBorder="1" applyAlignment="1">
      <alignment horizontal="right"/>
    </xf>
    <xf numFmtId="0" fontId="181" fillId="25" borderId="237" xfId="105" applyFont="1" applyFill="1" applyBorder="1" applyAlignment="1">
      <alignment horizontal="right"/>
    </xf>
    <xf numFmtId="0" fontId="181" fillId="25" borderId="247" xfId="105" applyFont="1" applyFill="1" applyBorder="1" applyAlignment="1">
      <alignment horizontal="right"/>
    </xf>
    <xf numFmtId="0" fontId="71" fillId="0" borderId="246" xfId="105" applyFont="1" applyBorder="1"/>
    <xf numFmtId="0" fontId="71" fillId="71" borderId="253" xfId="105" applyFont="1" applyFill="1" applyBorder="1" applyAlignment="1">
      <alignment horizontal="center"/>
    </xf>
    <xf numFmtId="170" fontId="9" fillId="25" borderId="174" xfId="32" applyNumberFormat="1" applyFill="1" applyBorder="1" applyAlignment="1" applyProtection="1"/>
    <xf numFmtId="244" fontId="71" fillId="0" borderId="232" xfId="105" applyNumberFormat="1" applyFont="1" applyBorder="1"/>
    <xf numFmtId="0" fontId="181" fillId="0" borderId="254" xfId="105" applyFont="1" applyBorder="1" applyAlignment="1">
      <alignment horizontal="right"/>
    </xf>
    <xf numFmtId="0" fontId="181" fillId="0" borderId="242" xfId="105" applyFont="1" applyBorder="1" applyAlignment="1">
      <alignment horizontal="right"/>
    </xf>
    <xf numFmtId="185" fontId="71" fillId="0" borderId="242" xfId="105" applyNumberFormat="1" applyFont="1" applyBorder="1"/>
    <xf numFmtId="236" fontId="71" fillId="0" borderId="242" xfId="105" applyNumberFormat="1" applyFont="1" applyBorder="1"/>
    <xf numFmtId="167" fontId="44" fillId="0" borderId="242" xfId="104" applyNumberFormat="1" applyFont="1" applyBorder="1"/>
    <xf numFmtId="242" fontId="168" fillId="0" borderId="242" xfId="104" applyNumberFormat="1" applyFont="1" applyBorder="1"/>
    <xf numFmtId="242" fontId="168" fillId="25" borderId="242" xfId="104" applyNumberFormat="1" applyFont="1" applyFill="1" applyBorder="1"/>
    <xf numFmtId="172" fontId="44" fillId="0" borderId="174" xfId="105" applyNumberFormat="1" applyFont="1" applyBorder="1"/>
    <xf numFmtId="243" fontId="71" fillId="0" borderId="179" xfId="105" applyNumberFormat="1" applyFont="1" applyBorder="1"/>
    <xf numFmtId="170" fontId="44" fillId="0" borderId="0" xfId="119" applyNumberFormat="1" applyFont="1" applyFill="1" applyBorder="1" applyAlignment="1" applyProtection="1"/>
    <xf numFmtId="172" fontId="71" fillId="0" borderId="147" xfId="105" applyNumberFormat="1" applyFont="1" applyBorder="1"/>
    <xf numFmtId="172" fontId="71" fillId="0" borderId="174" xfId="105" applyNumberFormat="1" applyFont="1" applyBorder="1"/>
    <xf numFmtId="9" fontId="9" fillId="0" borderId="183" xfId="52" applyFill="1" applyBorder="1" applyAlignment="1" applyProtection="1"/>
    <xf numFmtId="9" fontId="9" fillId="0" borderId="242" xfId="52" applyFill="1" applyBorder="1" applyAlignment="1" applyProtection="1"/>
    <xf numFmtId="0" fontId="216" fillId="78" borderId="0" xfId="105" applyFont="1" applyFill="1"/>
    <xf numFmtId="0" fontId="179" fillId="78" borderId="0" xfId="105" applyFont="1" applyFill="1"/>
    <xf numFmtId="0" fontId="217" fillId="0" borderId="0" xfId="105" applyFont="1"/>
    <xf numFmtId="0" fontId="218" fillId="0" borderId="0" xfId="105" applyFont="1" applyAlignment="1">
      <alignment horizontal="right"/>
    </xf>
    <xf numFmtId="17" fontId="219" fillId="0" borderId="183" xfId="105" applyNumberFormat="1" applyFont="1" applyBorder="1" applyAlignment="1">
      <alignment horizontal="right"/>
    </xf>
    <xf numFmtId="17" fontId="219" fillId="0" borderId="0" xfId="105" applyNumberFormat="1" applyFont="1" applyAlignment="1">
      <alignment horizontal="right"/>
    </xf>
    <xf numFmtId="0" fontId="216" fillId="25" borderId="183" xfId="105" applyFont="1" applyFill="1" applyBorder="1"/>
    <xf numFmtId="0" fontId="216" fillId="25" borderId="0" xfId="105" applyFont="1" applyFill="1"/>
    <xf numFmtId="231" fontId="216" fillId="25" borderId="183" xfId="105" applyNumberFormat="1" applyFont="1" applyFill="1" applyBorder="1"/>
    <xf numFmtId="231" fontId="216" fillId="25" borderId="0" xfId="105" applyNumberFormat="1" applyFont="1" applyFill="1"/>
    <xf numFmtId="0" fontId="179" fillId="0" borderId="174" xfId="105" applyFont="1" applyBorder="1"/>
    <xf numFmtId="0" fontId="217" fillId="0" borderId="174" xfId="105" applyFont="1" applyBorder="1"/>
    <xf numFmtId="231" fontId="179" fillId="0" borderId="174" xfId="105" applyNumberFormat="1" applyFont="1" applyBorder="1"/>
    <xf numFmtId="231" fontId="179" fillId="0" borderId="0" xfId="105" applyNumberFormat="1" applyFont="1"/>
    <xf numFmtId="231" fontId="182" fillId="25" borderId="183" xfId="105" applyNumberFormat="1" applyFont="1" applyFill="1" applyBorder="1"/>
    <xf numFmtId="0" fontId="217" fillId="0" borderId="29" xfId="105" applyFont="1" applyBorder="1"/>
    <xf numFmtId="231" fontId="216" fillId="25" borderId="225" xfId="105" applyNumberFormat="1" applyFont="1" applyFill="1" applyBorder="1"/>
    <xf numFmtId="231" fontId="216" fillId="25" borderId="136" xfId="105" applyNumberFormat="1" applyFont="1" applyFill="1" applyBorder="1"/>
    <xf numFmtId="231" fontId="179" fillId="80" borderId="231" xfId="105" applyNumberFormat="1" applyFont="1" applyFill="1" applyBorder="1"/>
    <xf numFmtId="231" fontId="179" fillId="80" borderId="28" xfId="105" applyNumberFormat="1" applyFont="1" applyFill="1" applyBorder="1"/>
    <xf numFmtId="231" fontId="216" fillId="80" borderId="182" xfId="105" applyNumberFormat="1" applyFont="1" applyFill="1" applyBorder="1"/>
    <xf numFmtId="231" fontId="216" fillId="80" borderId="0" xfId="105" applyNumberFormat="1" applyFont="1" applyFill="1"/>
    <xf numFmtId="231" fontId="216" fillId="80" borderId="195" xfId="105" applyNumberFormat="1" applyFont="1" applyFill="1" applyBorder="1"/>
    <xf numFmtId="231" fontId="216" fillId="80" borderId="137" xfId="105" applyNumberFormat="1" applyFont="1" applyFill="1" applyBorder="1"/>
    <xf numFmtId="230" fontId="182" fillId="25" borderId="0" xfId="105" applyNumberFormat="1" applyFont="1" applyFill="1"/>
    <xf numFmtId="239" fontId="179" fillId="0" borderId="0" xfId="105" applyNumberFormat="1" applyFont="1"/>
    <xf numFmtId="0" fontId="220" fillId="25" borderId="0" xfId="104" applyFont="1" applyFill="1" applyAlignment="1">
      <alignment horizontal="right"/>
    </xf>
    <xf numFmtId="230" fontId="216" fillId="25" borderId="0" xfId="105" applyNumberFormat="1" applyFont="1" applyFill="1"/>
    <xf numFmtId="0" fontId="221" fillId="0" borderId="0" xfId="104" applyFont="1" applyAlignment="1">
      <alignment horizontal="right"/>
    </xf>
    <xf numFmtId="231" fontId="216" fillId="0" borderId="0" xfId="105" applyNumberFormat="1" applyFont="1"/>
    <xf numFmtId="0" fontId="216" fillId="0" borderId="0" xfId="105" applyFont="1"/>
    <xf numFmtId="0" fontId="179" fillId="0" borderId="0" xfId="105" applyFont="1" applyAlignment="1">
      <alignment horizontal="center"/>
    </xf>
    <xf numFmtId="17" fontId="218" fillId="0" borderId="0" xfId="105" applyNumberFormat="1" applyFont="1" applyAlignment="1">
      <alignment horizontal="right"/>
    </xf>
    <xf numFmtId="234" fontId="217" fillId="0" borderId="0" xfId="105" applyNumberFormat="1" applyFont="1"/>
    <xf numFmtId="245" fontId="179" fillId="0" borderId="0" xfId="105" applyNumberFormat="1" applyFont="1"/>
    <xf numFmtId="231" fontId="179" fillId="0" borderId="0" xfId="105" applyNumberFormat="1" applyFont="1" applyAlignment="1">
      <alignment vertical="center"/>
    </xf>
    <xf numFmtId="245" fontId="217" fillId="0" borderId="0" xfId="105" applyNumberFormat="1" applyFont="1"/>
    <xf numFmtId="231" fontId="217" fillId="0" borderId="0" xfId="105" applyNumberFormat="1" applyFont="1" applyAlignment="1">
      <alignment vertical="center"/>
    </xf>
    <xf numFmtId="245" fontId="218" fillId="0" borderId="0" xfId="105" applyNumberFormat="1" applyFont="1"/>
    <xf numFmtId="231" fontId="218" fillId="0" borderId="0" xfId="105" applyNumberFormat="1" applyFont="1"/>
    <xf numFmtId="231" fontId="222" fillId="0" borderId="0" xfId="105" applyNumberFormat="1" applyFont="1"/>
    <xf numFmtId="245" fontId="179" fillId="25" borderId="0" xfId="105" applyNumberFormat="1" applyFont="1" applyFill="1"/>
    <xf numFmtId="231" fontId="222" fillId="25" borderId="0" xfId="105" applyNumberFormat="1" applyFont="1" applyFill="1"/>
    <xf numFmtId="231" fontId="217" fillId="0" borderId="0" xfId="105" applyNumberFormat="1" applyFont="1"/>
    <xf numFmtId="245" fontId="222" fillId="0" borderId="0" xfId="105" applyNumberFormat="1" applyFont="1"/>
    <xf numFmtId="245" fontId="179" fillId="0" borderId="0" xfId="119" applyNumberFormat="1" applyFont="1" applyFill="1" applyBorder="1" applyAlignment="1" applyProtection="1"/>
    <xf numFmtId="231" fontId="179" fillId="0" borderId="0" xfId="119" applyNumberFormat="1" applyFont="1" applyFill="1" applyBorder="1" applyAlignment="1" applyProtection="1"/>
    <xf numFmtId="245" fontId="223" fillId="0" borderId="0" xfId="105" applyNumberFormat="1" applyFont="1"/>
    <xf numFmtId="231" fontId="223" fillId="0" borderId="0" xfId="105" applyNumberFormat="1" applyFont="1"/>
    <xf numFmtId="0" fontId="224" fillId="0" borderId="0" xfId="105" applyFont="1"/>
    <xf numFmtId="231" fontId="179" fillId="25" borderId="0" xfId="105" applyNumberFormat="1" applyFont="1" applyFill="1"/>
    <xf numFmtId="0" fontId="225" fillId="25" borderId="0" xfId="104" applyFont="1" applyFill="1"/>
    <xf numFmtId="165" fontId="220" fillId="0" borderId="0" xfId="104" applyNumberFormat="1" applyFont="1" applyAlignment="1">
      <alignment horizontal="right"/>
    </xf>
    <xf numFmtId="0" fontId="182" fillId="0" borderId="0" xfId="105" applyFont="1"/>
    <xf numFmtId="0" fontId="226" fillId="0" borderId="0" xfId="105" applyFont="1"/>
    <xf numFmtId="170" fontId="49" fillId="0" borderId="0" xfId="32" applyNumberFormat="1" applyFont="1" applyFill="1" applyBorder="1"/>
    <xf numFmtId="9" fontId="49" fillId="0" borderId="0" xfId="52" applyFont="1" applyFill="1" applyBorder="1"/>
    <xf numFmtId="185" fontId="224" fillId="0" borderId="0" xfId="105" applyNumberFormat="1" applyFont="1"/>
    <xf numFmtId="43" fontId="224" fillId="0" borderId="0" xfId="105" applyNumberFormat="1" applyFont="1"/>
    <xf numFmtId="0" fontId="179" fillId="0" borderId="0" xfId="105" applyFont="1" applyAlignment="1">
      <alignment horizontal="right"/>
    </xf>
    <xf numFmtId="0" fontId="217" fillId="0" borderId="0" xfId="105" applyFont="1" applyAlignment="1">
      <alignment horizontal="right"/>
    </xf>
    <xf numFmtId="0" fontId="227" fillId="0" borderId="0" xfId="105" applyFont="1" applyAlignment="1">
      <alignment horizontal="right"/>
    </xf>
    <xf numFmtId="0" fontId="224" fillId="0" borderId="0" xfId="105" applyFont="1" applyAlignment="1">
      <alignment horizontal="left" indent="1"/>
    </xf>
    <xf numFmtId="0" fontId="228" fillId="0" borderId="0" xfId="105" applyFont="1" applyAlignment="1">
      <alignment horizontal="right"/>
    </xf>
    <xf numFmtId="0" fontId="222" fillId="0" borderId="0" xfId="105" applyFont="1" applyAlignment="1">
      <alignment horizontal="right"/>
    </xf>
    <xf numFmtId="0" fontId="229" fillId="0" borderId="0" xfId="105" applyFont="1" applyAlignment="1">
      <alignment horizontal="right"/>
    </xf>
    <xf numFmtId="0" fontId="221" fillId="0" borderId="0" xfId="104" applyFont="1"/>
    <xf numFmtId="0" fontId="218" fillId="25" borderId="0" xfId="105" applyFont="1" applyFill="1" applyAlignment="1">
      <alignment horizontal="right"/>
    </xf>
    <xf numFmtId="238" fontId="217" fillId="25" borderId="0" xfId="105" applyNumberFormat="1" applyFont="1" applyFill="1"/>
    <xf numFmtId="238" fontId="179" fillId="25" borderId="0" xfId="105" applyNumberFormat="1" applyFont="1" applyFill="1"/>
    <xf numFmtId="184" fontId="179" fillId="0" borderId="0" xfId="105" applyNumberFormat="1" applyFont="1"/>
    <xf numFmtId="184" fontId="217" fillId="0" borderId="0" xfId="105" applyNumberFormat="1" applyFont="1"/>
    <xf numFmtId="0" fontId="227" fillId="0" borderId="0" xfId="105" applyFont="1"/>
    <xf numFmtId="239" fontId="217" fillId="0" borderId="0" xfId="105" applyNumberFormat="1" applyFont="1"/>
    <xf numFmtId="9" fontId="49" fillId="0" borderId="0" xfId="52" applyFont="1" applyFill="1" applyBorder="1" applyAlignment="1"/>
    <xf numFmtId="239" fontId="230" fillId="0" borderId="0" xfId="105" applyNumberFormat="1" applyFont="1"/>
    <xf numFmtId="167" fontId="49" fillId="0" borderId="0" xfId="52" applyNumberFormat="1" applyFont="1" applyFill="1" applyBorder="1" applyAlignment="1"/>
    <xf numFmtId="184" fontId="222" fillId="0" borderId="0" xfId="105" applyNumberFormat="1" applyFont="1"/>
    <xf numFmtId="250" fontId="179" fillId="0" borderId="0" xfId="105" applyNumberFormat="1" applyFont="1"/>
    <xf numFmtId="0" fontId="228" fillId="0" borderId="0" xfId="105" applyFont="1"/>
    <xf numFmtId="234" fontId="230" fillId="0" borderId="0" xfId="105" applyNumberFormat="1" applyFont="1"/>
    <xf numFmtId="0" fontId="231" fillId="0" borderId="0" xfId="69" applyFont="1"/>
    <xf numFmtId="0" fontId="231" fillId="25" borderId="0" xfId="69" applyFont="1" applyFill="1"/>
    <xf numFmtId="43" fontId="180" fillId="0" borderId="0" xfId="105" applyNumberFormat="1" applyFont="1"/>
    <xf numFmtId="246" fontId="71" fillId="0" borderId="215" xfId="105" applyNumberFormat="1" applyFont="1" applyBorder="1" applyAlignment="1">
      <alignment vertical="center"/>
    </xf>
    <xf numFmtId="185" fontId="71" fillId="0" borderId="185" xfId="105" applyNumberFormat="1" applyFont="1" applyBorder="1"/>
    <xf numFmtId="246" fontId="216" fillId="25" borderId="0" xfId="105" applyNumberFormat="1" applyFont="1" applyFill="1"/>
    <xf numFmtId="231" fontId="216" fillId="25" borderId="184" xfId="105" applyNumberFormat="1" applyFont="1" applyFill="1" applyBorder="1"/>
    <xf numFmtId="246" fontId="216" fillId="0" borderId="184" xfId="105" applyNumberFormat="1" applyFont="1" applyBorder="1"/>
    <xf numFmtId="246" fontId="216" fillId="0" borderId="29" xfId="105" applyNumberFormat="1" applyFont="1" applyBorder="1"/>
    <xf numFmtId="246" fontId="216" fillId="0" borderId="182" xfId="105" applyNumberFormat="1" applyFont="1" applyBorder="1"/>
    <xf numFmtId="246" fontId="216" fillId="0" borderId="0" xfId="105" applyNumberFormat="1" applyFont="1"/>
    <xf numFmtId="246" fontId="216" fillId="25" borderId="184" xfId="105" applyNumberFormat="1" applyFont="1" applyFill="1" applyBorder="1"/>
    <xf numFmtId="246" fontId="216" fillId="0" borderId="174" xfId="105" applyNumberFormat="1" applyFont="1" applyBorder="1" applyAlignment="1">
      <alignment vertical="center"/>
    </xf>
    <xf numFmtId="246" fontId="216" fillId="0" borderId="182" xfId="105" applyNumberFormat="1" applyFont="1" applyBorder="1" applyAlignment="1">
      <alignment vertical="center"/>
    </xf>
    <xf numFmtId="246" fontId="216" fillId="0" borderId="0" xfId="105" applyNumberFormat="1" applyFont="1" applyAlignment="1">
      <alignment vertical="center"/>
    </xf>
    <xf numFmtId="231" fontId="216" fillId="0" borderId="0" xfId="105" applyNumberFormat="1" applyFont="1" applyAlignment="1">
      <alignment vertical="center"/>
    </xf>
    <xf numFmtId="231" fontId="216" fillId="25" borderId="184" xfId="105" applyNumberFormat="1" applyFont="1" applyFill="1" applyBorder="1" applyAlignment="1">
      <alignment vertical="center"/>
    </xf>
    <xf numFmtId="171" fontId="182" fillId="0" borderId="224" xfId="110" applyNumberFormat="1" applyFont="1" applyFill="1" applyBorder="1" applyProtection="1"/>
    <xf numFmtId="236" fontId="182" fillId="0" borderId="181" xfId="105" applyNumberFormat="1" applyFont="1" applyBorder="1"/>
    <xf numFmtId="185" fontId="182" fillId="0" borderId="181" xfId="105" applyNumberFormat="1" applyFont="1" applyBorder="1"/>
    <xf numFmtId="171" fontId="226" fillId="0" borderId="0" xfId="110" applyNumberFormat="1" applyFont="1" applyFill="1" applyBorder="1" applyProtection="1"/>
    <xf numFmtId="165" fontId="224" fillId="0" borderId="181" xfId="104" applyNumberFormat="1" applyFont="1" applyBorder="1" applyAlignment="1">
      <alignment horizontal="right"/>
    </xf>
    <xf numFmtId="242" fontId="224" fillId="0" borderId="181" xfId="104" applyNumberFormat="1" applyFont="1" applyBorder="1" applyAlignment="1">
      <alignment horizontal="right"/>
    </xf>
    <xf numFmtId="167" fontId="49" fillId="25" borderId="174" xfId="52" applyNumberFormat="1" applyFont="1" applyFill="1" applyBorder="1" applyAlignment="1" applyProtection="1"/>
    <xf numFmtId="236" fontId="216" fillId="25" borderId="0" xfId="105" applyNumberFormat="1" applyFont="1" applyFill="1"/>
    <xf numFmtId="236" fontId="216" fillId="25" borderId="174" xfId="105" applyNumberFormat="1" applyFont="1" applyFill="1" applyBorder="1"/>
    <xf numFmtId="0" fontId="219" fillId="0" borderId="0" xfId="105" applyFont="1" applyAlignment="1">
      <alignment horizontal="right"/>
    </xf>
    <xf numFmtId="236" fontId="182" fillId="25" borderId="0" xfId="105" applyNumberFormat="1" applyFont="1" applyFill="1"/>
    <xf numFmtId="236" fontId="182" fillId="25" borderId="174" xfId="105" applyNumberFormat="1" applyFont="1" applyFill="1" applyBorder="1"/>
    <xf numFmtId="237" fontId="182" fillId="25" borderId="0" xfId="120" applyNumberFormat="1" applyFont="1" applyFill="1" applyBorder="1" applyProtection="1"/>
    <xf numFmtId="236" fontId="182" fillId="25" borderId="185" xfId="105" applyNumberFormat="1" applyFont="1" applyFill="1" applyBorder="1"/>
    <xf numFmtId="183" fontId="71" fillId="0" borderId="181" xfId="105" applyNumberFormat="1" applyFont="1" applyBorder="1" applyAlignment="1">
      <alignment horizontal="right"/>
    </xf>
    <xf numFmtId="241" fontId="44" fillId="0" borderId="174" xfId="105" applyNumberFormat="1" applyFont="1" applyBorder="1"/>
    <xf numFmtId="183" fontId="44" fillId="0" borderId="181" xfId="105" applyNumberFormat="1" applyFont="1" applyBorder="1" applyAlignment="1">
      <alignment horizontal="right"/>
    </xf>
    <xf numFmtId="0" fontId="44" fillId="0" borderId="181" xfId="105" applyFont="1" applyBorder="1" applyAlignment="1">
      <alignment horizontal="right"/>
    </xf>
    <xf numFmtId="187" fontId="71" fillId="0" borderId="224" xfId="104" applyNumberFormat="1" applyFont="1" applyBorder="1" applyAlignment="1">
      <alignment horizontal="right"/>
    </xf>
    <xf numFmtId="246" fontId="71" fillId="0" borderId="216" xfId="105" applyNumberFormat="1" applyFont="1" applyBorder="1" applyAlignment="1">
      <alignment vertical="center"/>
    </xf>
    <xf numFmtId="246" fontId="216" fillId="25" borderId="174" xfId="105" applyNumberFormat="1" applyFont="1" applyFill="1" applyBorder="1"/>
    <xf numFmtId="170" fontId="67" fillId="0" borderId="148" xfId="119" applyNumberFormat="1" applyFont="1" applyFill="1" applyBorder="1" applyAlignment="1" applyProtection="1"/>
    <xf numFmtId="185" fontId="55" fillId="0" borderId="0" xfId="105" applyNumberFormat="1" applyFont="1"/>
    <xf numFmtId="185" fontId="55" fillId="0" borderId="174" xfId="105" applyNumberFormat="1" applyFont="1" applyBorder="1"/>
    <xf numFmtId="0" fontId="29" fillId="0" borderId="243" xfId="105" applyFont="1" applyBorder="1"/>
    <xf numFmtId="236" fontId="71" fillId="25" borderId="243" xfId="105" applyNumberFormat="1" applyFont="1" applyFill="1" applyBorder="1"/>
    <xf numFmtId="172" fontId="71" fillId="25" borderId="251" xfId="105" applyNumberFormat="1" applyFont="1" applyFill="1" applyBorder="1"/>
    <xf numFmtId="170" fontId="55" fillId="0" borderId="0" xfId="119" applyNumberFormat="1" applyFont="1" applyFill="1" applyBorder="1" applyAlignment="1" applyProtection="1"/>
    <xf numFmtId="170" fontId="55" fillId="0" borderId="174" xfId="119" applyNumberFormat="1" applyFont="1" applyFill="1" applyBorder="1" applyAlignment="1" applyProtection="1"/>
    <xf numFmtId="231" fontId="44" fillId="84" borderId="0" xfId="105" applyNumberFormat="1" applyFont="1" applyFill="1"/>
    <xf numFmtId="231" fontId="71" fillId="84" borderId="0" xfId="105" applyNumberFormat="1" applyFont="1" applyFill="1"/>
    <xf numFmtId="0" fontId="44" fillId="84" borderId="0" xfId="105" applyFont="1" applyFill="1"/>
    <xf numFmtId="242" fontId="198" fillId="0" borderId="0" xfId="104" applyNumberFormat="1" applyFont="1" applyAlignment="1">
      <alignment horizontal="right"/>
    </xf>
    <xf numFmtId="242" fontId="198" fillId="0" borderId="174" xfId="104" applyNumberFormat="1" applyFont="1" applyBorder="1" applyAlignment="1">
      <alignment horizontal="right"/>
    </xf>
    <xf numFmtId="9" fontId="9" fillId="25" borderId="185" xfId="52" applyFill="1" applyBorder="1" applyAlignment="1"/>
    <xf numFmtId="0" fontId="71" fillId="25" borderId="243" xfId="105" applyFont="1" applyFill="1" applyBorder="1" applyAlignment="1">
      <alignment horizontal="left"/>
    </xf>
    <xf numFmtId="0" fontId="168" fillId="25" borderId="243" xfId="105" applyFont="1" applyFill="1" applyBorder="1" applyAlignment="1">
      <alignment horizontal="left"/>
    </xf>
    <xf numFmtId="167" fontId="215" fillId="0" borderId="0" xfId="52" applyNumberFormat="1" applyFont="1" applyFill="1" applyBorder="1" applyAlignment="1" applyProtection="1">
      <alignment horizontal="right"/>
    </xf>
    <xf numFmtId="165" fontId="168" fillId="25" borderId="174" xfId="111" applyNumberFormat="1" applyFont="1" applyFill="1" applyBorder="1" applyAlignment="1" applyProtection="1">
      <alignment horizontal="right"/>
    </xf>
    <xf numFmtId="181" fontId="181" fillId="0" borderId="0" xfId="105" applyNumberFormat="1" applyFont="1" applyAlignment="1">
      <alignment horizontal="right"/>
    </xf>
    <xf numFmtId="165" fontId="168" fillId="0" borderId="174" xfId="111" applyNumberFormat="1" applyFont="1" applyFill="1" applyBorder="1" applyAlignment="1" applyProtection="1">
      <alignment horizontal="right"/>
    </xf>
    <xf numFmtId="252" fontId="168" fillId="0" borderId="174" xfId="111" applyNumberFormat="1" applyFont="1" applyFill="1" applyBorder="1" applyAlignment="1" applyProtection="1">
      <alignment horizontal="right"/>
    </xf>
    <xf numFmtId="170" fontId="9" fillId="25" borderId="174" xfId="32" applyNumberFormat="1" applyFill="1" applyBorder="1" applyAlignment="1" applyProtection="1">
      <alignment horizontal="right"/>
    </xf>
    <xf numFmtId="165" fontId="198" fillId="0" borderId="174" xfId="111" applyNumberFormat="1" applyFont="1" applyFill="1" applyBorder="1" applyAlignment="1" applyProtection="1">
      <alignment horizontal="right"/>
    </xf>
    <xf numFmtId="174" fontId="168" fillId="25" borderId="174" xfId="111" applyNumberFormat="1" applyFont="1" applyFill="1" applyBorder="1" applyAlignment="1" applyProtection="1">
      <alignment horizontal="right"/>
    </xf>
    <xf numFmtId="169" fontId="168" fillId="0" borderId="174" xfId="111" applyNumberFormat="1" applyFont="1" applyFill="1" applyBorder="1" applyAlignment="1" applyProtection="1">
      <alignment horizontal="right"/>
    </xf>
    <xf numFmtId="1" fontId="168" fillId="0" borderId="174" xfId="111" applyNumberFormat="1" applyFont="1" applyFill="1" applyBorder="1" applyAlignment="1" applyProtection="1">
      <alignment horizontal="right"/>
    </xf>
    <xf numFmtId="169" fontId="44" fillId="0" borderId="174" xfId="105" applyNumberFormat="1" applyFont="1" applyBorder="1" applyAlignment="1">
      <alignment horizontal="right"/>
    </xf>
    <xf numFmtId="169" fontId="181" fillId="0" borderId="0" xfId="105" applyNumberFormat="1" applyFont="1" applyAlignment="1">
      <alignment horizontal="right"/>
    </xf>
    <xf numFmtId="249" fontId="44" fillId="0" borderId="29" xfId="32" applyNumberFormat="1" applyFont="1" applyFill="1" applyBorder="1" applyProtection="1"/>
    <xf numFmtId="17" fontId="203" fillId="0" borderId="29" xfId="105" applyNumberFormat="1" applyFont="1" applyBorder="1" applyAlignment="1">
      <alignment horizontal="right"/>
    </xf>
    <xf numFmtId="0" fontId="180" fillId="25" borderId="243" xfId="105" applyFont="1" applyFill="1" applyBorder="1" applyAlignment="1">
      <alignment horizontal="left"/>
    </xf>
    <xf numFmtId="17" fontId="203" fillId="0" borderId="0" xfId="105" applyNumberFormat="1" applyFont="1" applyAlignment="1">
      <alignment horizontal="right"/>
    </xf>
    <xf numFmtId="0" fontId="203" fillId="25" borderId="174" xfId="105" applyFont="1" applyFill="1" applyBorder="1" applyAlignment="1">
      <alignment horizontal="right"/>
    </xf>
    <xf numFmtId="1" fontId="71" fillId="25" borderId="174" xfId="111" applyNumberFormat="1" applyFont="1" applyFill="1" applyBorder="1" applyAlignment="1" applyProtection="1">
      <alignment horizontal="right"/>
    </xf>
    <xf numFmtId="1" fontId="71" fillId="0" borderId="0" xfId="111" applyNumberFormat="1" applyFont="1" applyFill="1" applyBorder="1" applyAlignment="1" applyProtection="1">
      <alignment horizontal="right"/>
    </xf>
    <xf numFmtId="1" fontId="71" fillId="0" borderId="174" xfId="111" applyNumberFormat="1" applyFont="1" applyFill="1" applyBorder="1" applyAlignment="1" applyProtection="1">
      <alignment horizontal="right"/>
    </xf>
    <xf numFmtId="1" fontId="71" fillId="0" borderId="0" xfId="105" applyNumberFormat="1" applyFont="1" applyAlignment="1">
      <alignment horizontal="right"/>
    </xf>
    <xf numFmtId="1" fontId="71" fillId="0" borderId="174" xfId="105" applyNumberFormat="1" applyFont="1" applyBorder="1" applyAlignment="1">
      <alignment horizontal="right"/>
    </xf>
    <xf numFmtId="170" fontId="30" fillId="0" borderId="0" xfId="32" applyNumberFormat="1" applyFont="1" applyBorder="1" applyAlignment="1">
      <alignment horizontal="right"/>
    </xf>
    <xf numFmtId="169" fontId="71" fillId="0" borderId="174" xfId="111" applyNumberFormat="1" applyFont="1" applyFill="1" applyBorder="1" applyAlignment="1" applyProtection="1">
      <alignment horizontal="right"/>
    </xf>
    <xf numFmtId="169" fontId="71" fillId="0" borderId="0" xfId="111" applyNumberFormat="1" applyFont="1" applyFill="1" applyBorder="1" applyAlignment="1" applyProtection="1">
      <alignment horizontal="right"/>
    </xf>
    <xf numFmtId="169" fontId="71" fillId="25" borderId="174" xfId="111" applyNumberFormat="1" applyFont="1" applyFill="1" applyBorder="1" applyAlignment="1" applyProtection="1">
      <alignment horizontal="right"/>
    </xf>
    <xf numFmtId="169" fontId="71" fillId="0" borderId="0" xfId="105" applyNumberFormat="1" applyFont="1" applyAlignment="1">
      <alignment horizontal="right"/>
    </xf>
    <xf numFmtId="169" fontId="71" fillId="0" borderId="174" xfId="105" applyNumberFormat="1" applyFont="1" applyBorder="1" applyAlignment="1">
      <alignment horizontal="right"/>
    </xf>
    <xf numFmtId="174" fontId="71" fillId="25" borderId="174" xfId="111" applyNumberFormat="1" applyFont="1" applyFill="1" applyBorder="1" applyAlignment="1" applyProtection="1">
      <alignment horizontal="right"/>
    </xf>
    <xf numFmtId="181" fontId="71" fillId="0" borderId="0" xfId="111" applyNumberFormat="1" applyFont="1" applyFill="1" applyBorder="1" applyAlignment="1" applyProtection="1">
      <alignment horizontal="right"/>
    </xf>
    <xf numFmtId="170" fontId="30" fillId="0" borderId="174" xfId="32" applyNumberFormat="1" applyFont="1" applyFill="1" applyBorder="1" applyAlignment="1" applyProtection="1">
      <alignment horizontal="right"/>
    </xf>
    <xf numFmtId="165" fontId="181" fillId="0" borderId="0" xfId="105" applyNumberFormat="1" applyFont="1" applyAlignment="1">
      <alignment horizontal="right"/>
    </xf>
    <xf numFmtId="179" fontId="71" fillId="0" borderId="174" xfId="32" applyNumberFormat="1" applyFont="1" applyFill="1" applyBorder="1" applyProtection="1"/>
    <xf numFmtId="0" fontId="181" fillId="0" borderId="243" xfId="105" applyFont="1" applyBorder="1" applyAlignment="1">
      <alignment horizontal="left"/>
    </xf>
    <xf numFmtId="170" fontId="9" fillId="0" borderId="0" xfId="32" applyNumberFormat="1" applyFill="1" applyBorder="1" applyAlignment="1">
      <alignment horizontal="right"/>
    </xf>
    <xf numFmtId="165" fontId="198" fillId="0" borderId="0" xfId="104" applyNumberFormat="1" applyFont="1" applyAlignment="1">
      <alignment horizontal="right"/>
    </xf>
    <xf numFmtId="0" fontId="233" fillId="0" borderId="0" xfId="0" applyFont="1" applyAlignment="1">
      <alignment horizontal="left" vertical="justify"/>
    </xf>
    <xf numFmtId="0" fontId="53" fillId="0" borderId="0" xfId="0" applyFont="1" applyAlignment="1">
      <alignment horizontal="left" vertical="justify"/>
    </xf>
    <xf numFmtId="1" fontId="168" fillId="0" borderId="0" xfId="111" applyNumberFormat="1" applyFont="1" applyFill="1" applyBorder="1" applyAlignment="1" applyProtection="1">
      <alignment horizontal="right"/>
    </xf>
    <xf numFmtId="170" fontId="44" fillId="0" borderId="0" xfId="32" applyNumberFormat="1" applyFont="1" applyFill="1" applyBorder="1" applyAlignment="1" applyProtection="1">
      <alignment horizontal="right"/>
    </xf>
    <xf numFmtId="170" fontId="44" fillId="0" borderId="174" xfId="32" applyNumberFormat="1" applyFont="1" applyFill="1" applyBorder="1" applyAlignment="1" applyProtection="1">
      <alignment horizontal="right"/>
    </xf>
    <xf numFmtId="167" fontId="44" fillId="0" borderId="0" xfId="52" applyNumberFormat="1" applyFont="1" applyFill="1" applyBorder="1" applyAlignment="1" applyProtection="1">
      <alignment horizontal="right"/>
    </xf>
    <xf numFmtId="167" fontId="44" fillId="0" borderId="174" xfId="52" applyNumberFormat="1" applyFont="1" applyFill="1" applyBorder="1" applyAlignment="1" applyProtection="1">
      <alignment horizontal="right"/>
    </xf>
    <xf numFmtId="165" fontId="168" fillId="25" borderId="0" xfId="104" applyNumberFormat="1" applyFont="1" applyFill="1" applyAlignment="1">
      <alignment horizontal="left" indent="1"/>
    </xf>
    <xf numFmtId="169" fontId="168" fillId="25" borderId="242" xfId="105" applyNumberFormat="1" applyFont="1" applyFill="1" applyBorder="1" applyAlignment="1">
      <alignment horizontal="right"/>
    </xf>
    <xf numFmtId="169" fontId="168" fillId="25" borderId="0" xfId="105" applyNumberFormat="1" applyFont="1" applyFill="1" applyAlignment="1">
      <alignment horizontal="right"/>
    </xf>
    <xf numFmtId="9" fontId="44" fillId="0" borderId="174" xfId="52" applyFont="1" applyFill="1" applyBorder="1" applyAlignment="1" applyProtection="1">
      <alignment horizontal="right"/>
    </xf>
    <xf numFmtId="183" fontId="71" fillId="25" borderId="242" xfId="105" applyNumberFormat="1" applyFont="1" applyFill="1" applyBorder="1" applyAlignment="1">
      <alignment horizontal="right"/>
    </xf>
    <xf numFmtId="249" fontId="168" fillId="0" borderId="0" xfId="111" applyNumberFormat="1" applyFont="1" applyFill="1" applyBorder="1" applyAlignment="1" applyProtection="1">
      <alignment horizontal="right"/>
    </xf>
    <xf numFmtId="249" fontId="181" fillId="0" borderId="0" xfId="105" applyNumberFormat="1" applyFont="1" applyAlignment="1">
      <alignment horizontal="right"/>
    </xf>
    <xf numFmtId="179" fontId="44" fillId="0" borderId="174" xfId="32" applyNumberFormat="1" applyFont="1" applyFill="1" applyBorder="1" applyProtection="1"/>
    <xf numFmtId="174" fontId="44" fillId="0" borderId="174" xfId="32" applyNumberFormat="1" applyFont="1" applyFill="1" applyBorder="1" applyProtection="1"/>
    <xf numFmtId="185" fontId="44" fillId="0" borderId="0" xfId="52" applyNumberFormat="1" applyFont="1" applyFill="1" applyBorder="1" applyAlignment="1" applyProtection="1">
      <alignment horizontal="right"/>
    </xf>
    <xf numFmtId="165" fontId="180" fillId="0" borderId="242" xfId="104" applyNumberFormat="1" applyFont="1" applyBorder="1" applyAlignment="1">
      <alignment horizontal="right"/>
    </xf>
    <xf numFmtId="165" fontId="180" fillId="0" borderId="174" xfId="104" applyNumberFormat="1" applyFont="1" applyBorder="1" applyAlignment="1">
      <alignment horizontal="right"/>
    </xf>
    <xf numFmtId="165" fontId="180" fillId="0" borderId="0" xfId="104" applyNumberFormat="1" applyFont="1" applyAlignment="1">
      <alignment horizontal="right"/>
    </xf>
    <xf numFmtId="165" fontId="234" fillId="0" borderId="174" xfId="104" applyNumberFormat="1" applyFont="1" applyBorder="1" applyAlignment="1">
      <alignment horizontal="right"/>
    </xf>
    <xf numFmtId="170" fontId="30" fillId="0" borderId="0" xfId="32" applyNumberFormat="1" applyFont="1" applyFill="1" applyBorder="1" applyAlignment="1">
      <alignment horizontal="right"/>
    </xf>
    <xf numFmtId="9" fontId="71" fillId="0" borderId="0" xfId="52" applyFont="1" applyFill="1" applyBorder="1" applyAlignment="1" applyProtection="1">
      <alignment horizontal="right"/>
    </xf>
    <xf numFmtId="9" fontId="71" fillId="0" borderId="174" xfId="52" applyFont="1" applyFill="1" applyBorder="1" applyAlignment="1" applyProtection="1">
      <alignment horizontal="right"/>
    </xf>
    <xf numFmtId="185" fontId="71" fillId="0" borderId="0" xfId="52" applyNumberFormat="1" applyFont="1" applyFill="1" applyBorder="1" applyAlignment="1" applyProtection="1">
      <alignment horizontal="right"/>
    </xf>
    <xf numFmtId="170" fontId="71" fillId="0" borderId="0" xfId="32" applyNumberFormat="1" applyFont="1" applyFill="1" applyBorder="1" applyAlignment="1" applyProtection="1">
      <alignment horizontal="right"/>
    </xf>
    <xf numFmtId="170" fontId="71" fillId="0" borderId="174" xfId="32" applyNumberFormat="1" applyFont="1" applyFill="1" applyBorder="1" applyAlignment="1" applyProtection="1">
      <alignment horizontal="right"/>
    </xf>
    <xf numFmtId="170" fontId="44" fillId="0" borderId="174" xfId="52" applyNumberFormat="1" applyFont="1" applyFill="1" applyBorder="1" applyAlignment="1" applyProtection="1">
      <alignment horizontal="right"/>
    </xf>
    <xf numFmtId="170" fontId="55" fillId="0" borderId="0" xfId="32" applyNumberFormat="1" applyFont="1" applyFill="1" applyBorder="1" applyAlignment="1" applyProtection="1">
      <alignment horizontal="right"/>
    </xf>
    <xf numFmtId="179" fontId="235" fillId="0" borderId="0" xfId="32" applyNumberFormat="1" applyFont="1" applyFill="1" applyBorder="1" applyProtection="1"/>
    <xf numFmtId="165" fontId="236" fillId="25" borderId="0" xfId="111" applyNumberFormat="1" applyFont="1" applyFill="1" applyBorder="1" applyAlignment="1" applyProtection="1">
      <alignment horizontal="right"/>
    </xf>
    <xf numFmtId="174" fontId="236" fillId="25" borderId="0" xfId="111" applyNumberFormat="1" applyFont="1" applyFill="1" applyBorder="1" applyAlignment="1" applyProtection="1">
      <alignment horizontal="right"/>
    </xf>
    <xf numFmtId="174" fontId="44" fillId="0" borderId="0" xfId="32" applyNumberFormat="1" applyFont="1" applyFill="1" applyBorder="1" applyProtection="1"/>
    <xf numFmtId="242" fontId="198" fillId="25" borderId="174" xfId="111" applyNumberFormat="1" applyFont="1" applyFill="1" applyBorder="1" applyAlignment="1" applyProtection="1">
      <alignment horizontal="right"/>
    </xf>
    <xf numFmtId="0" fontId="183" fillId="0" borderId="174" xfId="105" applyFont="1" applyBorder="1" applyAlignment="1">
      <alignment horizontal="right"/>
    </xf>
    <xf numFmtId="0" fontId="168" fillId="0" borderId="243" xfId="105" applyFont="1" applyBorder="1" applyAlignment="1">
      <alignment horizontal="left"/>
    </xf>
    <xf numFmtId="165" fontId="180" fillId="0" borderId="174" xfId="111" applyNumberFormat="1" applyFont="1" applyFill="1" applyBorder="1" applyAlignment="1" applyProtection="1">
      <alignment horizontal="right"/>
    </xf>
    <xf numFmtId="0" fontId="181" fillId="85" borderId="234" xfId="105" applyFont="1" applyFill="1" applyBorder="1" applyAlignment="1">
      <alignment horizontal="left"/>
    </xf>
    <xf numFmtId="242" fontId="168" fillId="85" borderId="0" xfId="111" applyNumberFormat="1" applyFont="1" applyFill="1" applyBorder="1" applyAlignment="1" applyProtection="1">
      <alignment horizontal="right"/>
    </xf>
    <xf numFmtId="242" fontId="168" fillId="85" borderId="174" xfId="111" applyNumberFormat="1" applyFont="1" applyFill="1" applyBorder="1" applyAlignment="1" applyProtection="1">
      <alignment horizontal="right"/>
    </xf>
    <xf numFmtId="17" fontId="181" fillId="85" borderId="0" xfId="105" applyNumberFormat="1" applyFont="1" applyFill="1" applyAlignment="1">
      <alignment horizontal="right"/>
    </xf>
    <xf numFmtId="17" fontId="181" fillId="85" borderId="174" xfId="105" applyNumberFormat="1" applyFont="1" applyFill="1" applyBorder="1" applyAlignment="1">
      <alignment horizontal="right"/>
    </xf>
    <xf numFmtId="0" fontId="181" fillId="85" borderId="173" xfId="105" applyFont="1" applyFill="1" applyBorder="1" applyAlignment="1">
      <alignment horizontal="right"/>
    </xf>
    <xf numFmtId="165" fontId="168" fillId="85" borderId="181" xfId="104" applyNumberFormat="1" applyFont="1" applyFill="1" applyBorder="1" applyAlignment="1">
      <alignment horizontal="right"/>
    </xf>
    <xf numFmtId="165" fontId="168" fillId="85" borderId="174" xfId="104" applyNumberFormat="1" applyFont="1" applyFill="1" applyBorder="1" applyAlignment="1">
      <alignment horizontal="right"/>
    </xf>
    <xf numFmtId="165" fontId="168" fillId="85" borderId="239" xfId="104" applyNumberFormat="1" applyFont="1" applyFill="1" applyBorder="1" applyAlignment="1">
      <alignment horizontal="right"/>
    </xf>
    <xf numFmtId="165" fontId="198" fillId="85" borderId="181" xfId="104" applyNumberFormat="1" applyFont="1" applyFill="1" applyBorder="1" applyAlignment="1">
      <alignment horizontal="right"/>
    </xf>
    <xf numFmtId="0" fontId="46" fillId="85" borderId="0" xfId="105" applyFont="1" applyFill="1" applyAlignment="1">
      <alignment horizontal="right"/>
    </xf>
    <xf numFmtId="0" fontId="218" fillId="85" borderId="0" xfId="105" applyFont="1" applyFill="1" applyAlignment="1">
      <alignment horizontal="right"/>
    </xf>
    <xf numFmtId="170" fontId="9" fillId="85" borderId="0" xfId="32" applyNumberFormat="1" applyFill="1" applyBorder="1" applyAlignment="1">
      <alignment horizontal="right"/>
    </xf>
    <xf numFmtId="0" fontId="71" fillId="85" borderId="234" xfId="178" applyFont="1" applyFill="1" applyBorder="1" applyAlignment="1">
      <alignment horizontal="left"/>
    </xf>
    <xf numFmtId="249" fontId="71" fillId="85" borderId="0" xfId="111" applyNumberFormat="1" applyFont="1" applyFill="1" applyBorder="1" applyProtection="1"/>
    <xf numFmtId="249" fontId="71" fillId="85" borderId="174" xfId="111" applyNumberFormat="1" applyFont="1" applyFill="1" applyBorder="1" applyProtection="1"/>
    <xf numFmtId="249" fontId="71" fillId="85" borderId="0" xfId="32" applyNumberFormat="1" applyFont="1" applyFill="1" applyBorder="1" applyProtection="1"/>
    <xf numFmtId="249" fontId="71" fillId="85" borderId="174" xfId="32" applyNumberFormat="1" applyFont="1" applyFill="1" applyBorder="1" applyProtection="1"/>
    <xf numFmtId="183" fontId="71" fillId="85" borderId="173" xfId="105" applyNumberFormat="1" applyFont="1" applyFill="1" applyBorder="1" applyAlignment="1">
      <alignment horizontal="right"/>
    </xf>
    <xf numFmtId="183" fontId="71" fillId="85" borderId="181" xfId="105" applyNumberFormat="1" applyFont="1" applyFill="1" applyBorder="1" applyAlignment="1">
      <alignment horizontal="right"/>
    </xf>
    <xf numFmtId="183" fontId="71" fillId="85" borderId="174" xfId="105" applyNumberFormat="1" applyFont="1" applyFill="1" applyBorder="1" applyAlignment="1">
      <alignment horizontal="right"/>
    </xf>
    <xf numFmtId="183" fontId="63" fillId="85" borderId="174" xfId="105" applyNumberFormat="1" applyFont="1" applyFill="1" applyBorder="1" applyAlignment="1">
      <alignment horizontal="right"/>
    </xf>
    <xf numFmtId="165" fontId="168" fillId="85" borderId="234" xfId="104" applyNumberFormat="1" applyFont="1" applyFill="1" applyBorder="1" applyAlignment="1">
      <alignment horizontal="left" indent="1"/>
    </xf>
    <xf numFmtId="242" fontId="168" fillId="85" borderId="179" xfId="111" applyNumberFormat="1" applyFont="1" applyFill="1" applyBorder="1" applyAlignment="1" applyProtection="1">
      <alignment horizontal="right"/>
    </xf>
    <xf numFmtId="242" fontId="168" fillId="85" borderId="181" xfId="104" applyNumberFormat="1" applyFont="1" applyFill="1" applyBorder="1" applyAlignment="1">
      <alignment horizontal="right"/>
    </xf>
    <xf numFmtId="165" fontId="168" fillId="85" borderId="185" xfId="104" applyNumberFormat="1" applyFont="1" applyFill="1" applyBorder="1" applyAlignment="1">
      <alignment horizontal="left" indent="1"/>
    </xf>
    <xf numFmtId="165" fontId="168" fillId="85" borderId="239" xfId="104" applyNumberFormat="1" applyFont="1" applyFill="1" applyBorder="1" applyAlignment="1">
      <alignment horizontal="left" indent="1"/>
    </xf>
    <xf numFmtId="249" fontId="9" fillId="85" borderId="0" xfId="32" applyNumberFormat="1" applyFill="1" applyBorder="1" applyProtection="1"/>
    <xf numFmtId="249" fontId="44" fillId="85" borderId="0" xfId="32" applyNumberFormat="1" applyFont="1" applyFill="1" applyBorder="1" applyProtection="1"/>
    <xf numFmtId="249" fontId="44" fillId="85" borderId="174" xfId="32" applyNumberFormat="1" applyFont="1" applyFill="1" applyBorder="1" applyProtection="1"/>
    <xf numFmtId="249" fontId="55" fillId="85" borderId="0" xfId="32" applyNumberFormat="1" applyFont="1" applyFill="1" applyBorder="1" applyProtection="1"/>
    <xf numFmtId="249" fontId="55" fillId="85" borderId="174" xfId="32" applyNumberFormat="1" applyFont="1" applyFill="1" applyBorder="1" applyProtection="1"/>
    <xf numFmtId="17" fontId="203" fillId="85" borderId="174" xfId="105" applyNumberFormat="1" applyFont="1" applyFill="1" applyBorder="1" applyAlignment="1">
      <alignment horizontal="right"/>
    </xf>
    <xf numFmtId="0" fontId="203" fillId="85" borderId="173" xfId="105" applyFont="1" applyFill="1" applyBorder="1" applyAlignment="1">
      <alignment horizontal="right"/>
    </xf>
    <xf numFmtId="0" fontId="183" fillId="85" borderId="0" xfId="105" applyFont="1" applyFill="1" applyAlignment="1">
      <alignment horizontal="right"/>
    </xf>
    <xf numFmtId="0" fontId="222" fillId="85" borderId="0" xfId="105" applyFont="1" applyFill="1" applyAlignment="1">
      <alignment horizontal="right"/>
    </xf>
    <xf numFmtId="0" fontId="71" fillId="85" borderId="243" xfId="178" applyFont="1" applyFill="1" applyBorder="1" applyAlignment="1">
      <alignment horizontal="left" indent="2"/>
    </xf>
    <xf numFmtId="165" fontId="198" fillId="85" borderId="242" xfId="104" applyNumberFormat="1" applyFont="1" applyFill="1" applyBorder="1" applyAlignment="1">
      <alignment horizontal="right"/>
    </xf>
    <xf numFmtId="165" fontId="168" fillId="85" borderId="234" xfId="104" applyNumberFormat="1" applyFont="1" applyFill="1" applyBorder="1" applyAlignment="1">
      <alignment horizontal="left" indent="3"/>
    </xf>
    <xf numFmtId="17" fontId="212" fillId="85" borderId="0" xfId="105" applyNumberFormat="1" applyFont="1" applyFill="1" applyAlignment="1">
      <alignment horizontal="right"/>
    </xf>
    <xf numFmtId="17" fontId="212" fillId="85" borderId="174" xfId="105" applyNumberFormat="1" applyFont="1" applyFill="1" applyBorder="1" applyAlignment="1">
      <alignment horizontal="right"/>
    </xf>
    <xf numFmtId="167" fontId="168" fillId="85" borderId="173" xfId="52" applyNumberFormat="1" applyFont="1" applyFill="1" applyBorder="1" applyAlignment="1" applyProtection="1">
      <alignment horizontal="right"/>
    </xf>
    <xf numFmtId="0" fontId="213" fillId="85" borderId="0" xfId="105" applyFont="1" applyFill="1" applyAlignment="1">
      <alignment horizontal="right"/>
    </xf>
    <xf numFmtId="0" fontId="229" fillId="85" borderId="0" xfId="105" applyFont="1" applyFill="1" applyAlignment="1">
      <alignment horizontal="right"/>
    </xf>
    <xf numFmtId="0" fontId="168" fillId="85" borderId="243" xfId="178" applyFont="1" applyFill="1" applyBorder="1" applyAlignment="1">
      <alignment horizontal="left" indent="3"/>
    </xf>
    <xf numFmtId="17" fontId="214" fillId="85" borderId="0" xfId="105" applyNumberFormat="1" applyFont="1" applyFill="1" applyAlignment="1">
      <alignment horizontal="right"/>
    </xf>
    <xf numFmtId="17" fontId="214" fillId="85" borderId="174" xfId="105" applyNumberFormat="1" applyFont="1" applyFill="1" applyBorder="1" applyAlignment="1">
      <alignment horizontal="right"/>
    </xf>
    <xf numFmtId="169" fontId="168" fillId="85" borderId="173" xfId="105" applyNumberFormat="1" applyFont="1" applyFill="1" applyBorder="1" applyAlignment="1">
      <alignment horizontal="right"/>
    </xf>
    <xf numFmtId="169" fontId="168" fillId="85" borderId="181" xfId="105" applyNumberFormat="1" applyFont="1" applyFill="1" applyBorder="1" applyAlignment="1">
      <alignment horizontal="right"/>
    </xf>
    <xf numFmtId="169" fontId="168" fillId="85" borderId="174" xfId="105" applyNumberFormat="1" applyFont="1" applyFill="1" applyBorder="1" applyAlignment="1">
      <alignment horizontal="right"/>
    </xf>
    <xf numFmtId="0" fontId="165" fillId="85" borderId="0" xfId="105" applyFont="1" applyFill="1" applyAlignment="1">
      <alignment horizontal="right"/>
    </xf>
    <xf numFmtId="0" fontId="228" fillId="85" borderId="0" xfId="105" applyFont="1" applyFill="1" applyAlignment="1">
      <alignment horizontal="right"/>
    </xf>
    <xf numFmtId="242" fontId="168" fillId="85" borderId="29" xfId="111" applyNumberFormat="1" applyFont="1" applyFill="1" applyBorder="1" applyAlignment="1" applyProtection="1">
      <alignment horizontal="right"/>
    </xf>
    <xf numFmtId="17" fontId="214" fillId="85" borderId="29" xfId="105" applyNumberFormat="1" applyFont="1" applyFill="1" applyBorder="1" applyAlignment="1">
      <alignment horizontal="right"/>
    </xf>
    <xf numFmtId="183" fontId="168" fillId="85" borderId="173" xfId="52" applyNumberFormat="1" applyFont="1" applyFill="1" applyBorder="1" applyAlignment="1" applyProtection="1">
      <alignment horizontal="right"/>
    </xf>
    <xf numFmtId="183" fontId="168" fillId="85" borderId="174" xfId="104" applyNumberFormat="1" applyFont="1" applyFill="1" applyBorder="1" applyAlignment="1">
      <alignment horizontal="right"/>
    </xf>
    <xf numFmtId="0" fontId="71" fillId="85" borderId="243" xfId="178" applyFont="1" applyFill="1" applyBorder="1" applyAlignment="1">
      <alignment horizontal="left"/>
    </xf>
    <xf numFmtId="165" fontId="168" fillId="85" borderId="242" xfId="104" applyNumberFormat="1" applyFont="1" applyFill="1" applyBorder="1" applyAlignment="1">
      <alignment horizontal="right"/>
    </xf>
    <xf numFmtId="180" fontId="71" fillId="85" borderId="0" xfId="32" applyNumberFormat="1" applyFont="1" applyFill="1" applyBorder="1" applyProtection="1"/>
    <xf numFmtId="180" fontId="71" fillId="85" borderId="174" xfId="32" applyNumberFormat="1" applyFont="1" applyFill="1" applyBorder="1" applyProtection="1"/>
    <xf numFmtId="242" fontId="198" fillId="85" borderId="0" xfId="111" applyNumberFormat="1" applyFont="1" applyFill="1" applyBorder="1" applyAlignment="1" applyProtection="1">
      <alignment horizontal="right"/>
    </xf>
    <xf numFmtId="242" fontId="198" fillId="85" borderId="174" xfId="111" applyNumberFormat="1" applyFont="1" applyFill="1" applyBorder="1" applyAlignment="1" applyProtection="1">
      <alignment horizontal="right"/>
    </xf>
    <xf numFmtId="0" fontId="71" fillId="85" borderId="234" xfId="178" applyFont="1" applyFill="1" applyBorder="1" applyAlignment="1">
      <alignment horizontal="left" indent="2"/>
    </xf>
    <xf numFmtId="165" fontId="198" fillId="85" borderId="241" xfId="104" applyNumberFormat="1" applyFont="1" applyFill="1" applyBorder="1" applyAlignment="1">
      <alignment horizontal="right"/>
    </xf>
    <xf numFmtId="165" fontId="168" fillId="85" borderId="185" xfId="104" applyNumberFormat="1" applyFont="1" applyFill="1" applyBorder="1" applyAlignment="1">
      <alignment horizontal="left" indent="3"/>
    </xf>
    <xf numFmtId="165" fontId="168" fillId="85" borderId="241" xfId="104" applyNumberFormat="1" applyFont="1" applyFill="1" applyBorder="1" applyAlignment="1">
      <alignment horizontal="right"/>
    </xf>
    <xf numFmtId="9" fontId="9" fillId="85" borderId="174" xfId="52" applyFill="1" applyBorder="1"/>
    <xf numFmtId="0" fontId="214" fillId="85" borderId="173" xfId="105" applyFont="1" applyFill="1" applyBorder="1" applyAlignment="1">
      <alignment horizontal="right"/>
    </xf>
    <xf numFmtId="183" fontId="168" fillId="85" borderId="181" xfId="105" applyNumberFormat="1" applyFont="1" applyFill="1" applyBorder="1" applyAlignment="1">
      <alignment horizontal="right"/>
    </xf>
    <xf numFmtId="165" fontId="55" fillId="0" borderId="0" xfId="105" applyNumberFormat="1" applyFont="1" applyAlignment="1">
      <alignment horizontal="right"/>
    </xf>
    <xf numFmtId="165" fontId="55" fillId="0" borderId="173" xfId="105" applyNumberFormat="1" applyFont="1" applyBorder="1" applyAlignment="1">
      <alignment horizontal="right"/>
    </xf>
    <xf numFmtId="165" fontId="71" fillId="0" borderId="0" xfId="105" applyNumberFormat="1" applyFont="1" applyAlignment="1">
      <alignment horizontal="right"/>
    </xf>
    <xf numFmtId="165" fontId="71" fillId="0" borderId="173" xfId="105" applyNumberFormat="1" applyFont="1" applyBorder="1" applyAlignment="1">
      <alignment horizontal="right"/>
    </xf>
    <xf numFmtId="244" fontId="71" fillId="0" borderId="250" xfId="105" applyNumberFormat="1" applyFont="1" applyBorder="1"/>
    <xf numFmtId="170" fontId="67" fillId="0" borderId="243" xfId="119" applyNumberFormat="1" applyFont="1" applyFill="1" applyBorder="1" applyAlignment="1" applyProtection="1"/>
    <xf numFmtId="242" fontId="168" fillId="0" borderId="243" xfId="104" applyNumberFormat="1" applyFont="1" applyBorder="1" applyAlignment="1">
      <alignment horizontal="right"/>
    </xf>
    <xf numFmtId="167" fontId="209" fillId="25" borderId="243" xfId="104" applyNumberFormat="1" applyFont="1" applyFill="1" applyBorder="1" applyAlignment="1">
      <alignment horizontal="right"/>
    </xf>
    <xf numFmtId="241" fontId="44" fillId="25" borderId="243" xfId="105" applyNumberFormat="1" applyFont="1" applyFill="1" applyBorder="1"/>
    <xf numFmtId="0" fontId="71" fillId="71" borderId="141" xfId="105" applyFont="1" applyFill="1" applyBorder="1" applyAlignment="1">
      <alignment horizontal="center"/>
    </xf>
    <xf numFmtId="244" fontId="67" fillId="0" borderId="174" xfId="119" applyNumberFormat="1" applyFont="1" applyFill="1" applyBorder="1" applyAlignment="1" applyProtection="1"/>
    <xf numFmtId="244" fontId="71" fillId="25" borderId="250" xfId="105" applyNumberFormat="1" applyFont="1" applyFill="1" applyBorder="1"/>
    <xf numFmtId="244" fontId="67" fillId="25" borderId="243" xfId="119" applyNumberFormat="1" applyFont="1" applyFill="1" applyBorder="1" applyAlignment="1" applyProtection="1"/>
    <xf numFmtId="253" fontId="71" fillId="25" borderId="0" xfId="119" applyNumberFormat="1" applyFont="1" applyFill="1" applyBorder="1" applyAlignment="1" applyProtection="1"/>
    <xf numFmtId="253" fontId="71" fillId="25" borderId="29" xfId="119" applyNumberFormat="1" applyFont="1" applyFill="1" applyBorder="1" applyAlignment="1" applyProtection="1"/>
    <xf numFmtId="253" fontId="9" fillId="25" borderId="171" xfId="52" applyNumberFormat="1" applyFill="1" applyBorder="1" applyAlignment="1" applyProtection="1"/>
    <xf numFmtId="253" fontId="44" fillId="25" borderId="171" xfId="105" applyNumberFormat="1" applyFont="1" applyFill="1" applyBorder="1"/>
    <xf numFmtId="185" fontId="71" fillId="0" borderId="243" xfId="105" applyNumberFormat="1" applyFont="1" applyBorder="1"/>
    <xf numFmtId="185" fontId="71" fillId="0" borderId="245" xfId="105" applyNumberFormat="1" applyFont="1" applyBorder="1"/>
    <xf numFmtId="170" fontId="71" fillId="0" borderId="0" xfId="32" applyNumberFormat="1" applyFont="1" applyFill="1" applyBorder="1" applyAlignment="1">
      <alignment horizontal="right"/>
    </xf>
    <xf numFmtId="179" fontId="71" fillId="0" borderId="0" xfId="32" applyNumberFormat="1" applyFont="1" applyFill="1" applyBorder="1" applyProtection="1"/>
    <xf numFmtId="165" fontId="198" fillId="0" borderId="243" xfId="104" applyNumberFormat="1" applyFont="1" applyBorder="1" applyAlignment="1">
      <alignment horizontal="right"/>
    </xf>
    <xf numFmtId="170" fontId="44" fillId="0" borderId="0" xfId="32" applyNumberFormat="1" applyFont="1" applyFill="1" applyBorder="1" applyAlignment="1">
      <alignment horizontal="right"/>
    </xf>
    <xf numFmtId="255" fontId="55" fillId="0" borderId="243" xfId="104" applyNumberFormat="1" applyFont="1" applyBorder="1" applyAlignment="1">
      <alignment horizontal="right"/>
    </xf>
    <xf numFmtId="0" fontId="53" fillId="0" borderId="0" xfId="0" applyFont="1" applyAlignment="1">
      <alignment horizontal="left" vertical="justify" indent="1"/>
    </xf>
    <xf numFmtId="9" fontId="198" fillId="0" borderId="0" xfId="105" applyNumberFormat="1" applyFont="1" applyAlignment="1">
      <alignment horizontal="right"/>
    </xf>
    <xf numFmtId="0" fontId="233" fillId="0" borderId="0" xfId="0" applyFont="1" applyAlignment="1">
      <alignment horizontal="left" vertical="justify" indent="1"/>
    </xf>
    <xf numFmtId="170" fontId="63" fillId="0" borderId="0" xfId="32" applyNumberFormat="1" applyFont="1" applyFill="1" applyBorder="1" applyAlignment="1" applyProtection="1">
      <alignment horizontal="right"/>
    </xf>
    <xf numFmtId="170" fontId="63" fillId="0" borderId="174" xfId="32" applyNumberFormat="1" applyFont="1" applyFill="1" applyBorder="1" applyAlignment="1" applyProtection="1">
      <alignment horizontal="right"/>
    </xf>
    <xf numFmtId="0" fontId="181" fillId="0" borderId="243" xfId="105" applyFont="1" applyBorder="1" applyAlignment="1">
      <alignment horizontal="left" indent="1"/>
    </xf>
    <xf numFmtId="255" fontId="44" fillId="0" borderId="243" xfId="104" applyNumberFormat="1" applyFont="1" applyBorder="1" applyAlignment="1">
      <alignment horizontal="right"/>
    </xf>
    <xf numFmtId="0" fontId="53" fillId="0" borderId="0" xfId="0" applyFont="1" applyAlignment="1">
      <alignment horizontal="left" vertical="justify" indent="2"/>
    </xf>
    <xf numFmtId="170" fontId="55" fillId="0" borderId="174" xfId="32" applyNumberFormat="1" applyFont="1" applyFill="1" applyBorder="1" applyAlignment="1" applyProtection="1">
      <alignment horizontal="right"/>
    </xf>
    <xf numFmtId="170" fontId="67" fillId="0" borderId="0" xfId="32" applyNumberFormat="1" applyFont="1" applyFill="1" applyBorder="1" applyAlignment="1" applyProtection="1">
      <alignment horizontal="right"/>
    </xf>
    <xf numFmtId="170" fontId="67" fillId="0" borderId="174" xfId="32" applyNumberFormat="1" applyFont="1" applyFill="1" applyBorder="1" applyAlignment="1" applyProtection="1">
      <alignment horizontal="right"/>
    </xf>
    <xf numFmtId="170" fontId="237" fillId="0" borderId="0" xfId="32" applyNumberFormat="1" applyFont="1" applyFill="1" applyBorder="1" applyAlignment="1" applyProtection="1">
      <alignment horizontal="right"/>
    </xf>
    <xf numFmtId="185" fontId="44" fillId="0" borderId="243" xfId="105" applyNumberFormat="1" applyFont="1" applyBorder="1"/>
    <xf numFmtId="253" fontId="55" fillId="0" borderId="0" xfId="32" applyNumberFormat="1" applyFont="1" applyFill="1" applyBorder="1" applyAlignment="1" applyProtection="1">
      <alignment horizontal="right"/>
    </xf>
    <xf numFmtId="165" fontId="71" fillId="0" borderId="243" xfId="104" applyNumberFormat="1" applyFont="1" applyBorder="1" applyAlignment="1">
      <alignment horizontal="left" indent="4"/>
    </xf>
    <xf numFmtId="255" fontId="55" fillId="0" borderId="174" xfId="104" applyNumberFormat="1" applyFont="1" applyBorder="1" applyAlignment="1">
      <alignment horizontal="right"/>
    </xf>
    <xf numFmtId="255" fontId="44" fillId="0" borderId="174" xfId="104" applyNumberFormat="1" applyFont="1" applyBorder="1" applyAlignment="1">
      <alignment horizontal="right"/>
    </xf>
    <xf numFmtId="0" fontId="53" fillId="0" borderId="0" xfId="0" applyFont="1" applyAlignment="1">
      <alignment horizontal="left" vertical="justify" indent="3"/>
    </xf>
    <xf numFmtId="165" fontId="168" fillId="0" borderId="234" xfId="104" applyNumberFormat="1" applyFont="1" applyBorder="1" applyAlignment="1">
      <alignment horizontal="left" indent="2"/>
    </xf>
    <xf numFmtId="170" fontId="30" fillId="0" borderId="0" xfId="32" applyNumberFormat="1" applyFont="1" applyFill="1" applyBorder="1"/>
    <xf numFmtId="0" fontId="233" fillId="0" borderId="0" xfId="0" applyFont="1" applyAlignment="1">
      <alignment horizontal="left" vertical="justify" indent="4"/>
    </xf>
    <xf numFmtId="0" fontId="53" fillId="0" borderId="0" xfId="0" applyFont="1" applyAlignment="1">
      <alignment horizontal="left" vertical="justify" indent="4"/>
    </xf>
    <xf numFmtId="0" fontId="233" fillId="0" borderId="0" xfId="0" applyFont="1" applyAlignment="1">
      <alignment horizontal="left" vertical="justify" indent="5"/>
    </xf>
    <xf numFmtId="0" fontId="53" fillId="0" borderId="0" xfId="0" applyFont="1" applyAlignment="1">
      <alignment horizontal="left" vertical="justify" indent="5"/>
    </xf>
    <xf numFmtId="242" fontId="71" fillId="25" borderId="0" xfId="111" applyNumberFormat="1" applyFont="1" applyFill="1" applyBorder="1" applyAlignment="1" applyProtection="1">
      <alignment horizontal="right"/>
    </xf>
    <xf numFmtId="242" fontId="71" fillId="25" borderId="174" xfId="111" applyNumberFormat="1" applyFont="1" applyFill="1" applyBorder="1" applyAlignment="1" applyProtection="1">
      <alignment horizontal="right"/>
    </xf>
    <xf numFmtId="17" fontId="238" fillId="0" borderId="0" xfId="105" applyNumberFormat="1" applyFont="1" applyAlignment="1">
      <alignment horizontal="right"/>
    </xf>
    <xf numFmtId="169" fontId="198" fillId="0" borderId="174" xfId="111" applyNumberFormat="1" applyFont="1" applyFill="1" applyBorder="1" applyAlignment="1" applyProtection="1">
      <alignment horizontal="right"/>
    </xf>
    <xf numFmtId="170" fontId="232" fillId="0" borderId="174" xfId="32" applyNumberFormat="1" applyFont="1" applyFill="1" applyBorder="1" applyAlignment="1" applyProtection="1">
      <alignment horizontal="right"/>
    </xf>
    <xf numFmtId="254" fontId="198" fillId="0" borderId="243" xfId="104" applyNumberFormat="1" applyFont="1" applyBorder="1" applyAlignment="1">
      <alignment horizontal="right"/>
    </xf>
    <xf numFmtId="165" fontId="198" fillId="0" borderId="243" xfId="104" quotePrefix="1" applyNumberFormat="1" applyFont="1" applyBorder="1" applyAlignment="1">
      <alignment horizontal="right"/>
    </xf>
    <xf numFmtId="242" fontId="198" fillId="0" borderId="243" xfId="104" quotePrefix="1" applyNumberFormat="1" applyFont="1" applyBorder="1" applyAlignment="1">
      <alignment horizontal="right"/>
    </xf>
    <xf numFmtId="242" fontId="198" fillId="0" borderId="243" xfId="104" applyNumberFormat="1" applyFont="1" applyBorder="1" applyAlignment="1">
      <alignment horizontal="right"/>
    </xf>
    <xf numFmtId="165" fontId="234" fillId="0" borderId="243" xfId="104" applyNumberFormat="1" applyFont="1" applyBorder="1" applyAlignment="1">
      <alignment horizontal="right"/>
    </xf>
    <xf numFmtId="165" fontId="234" fillId="0" borderId="0" xfId="104" applyNumberFormat="1" applyFont="1" applyAlignment="1">
      <alignment horizontal="right"/>
    </xf>
    <xf numFmtId="242" fontId="234" fillId="0" borderId="243" xfId="104" quotePrefix="1" applyNumberFormat="1" applyFont="1" applyBorder="1" applyAlignment="1">
      <alignment horizontal="right"/>
    </xf>
    <xf numFmtId="165" fontId="234" fillId="0" borderId="243" xfId="104" quotePrefix="1" applyNumberFormat="1" applyFont="1" applyBorder="1" applyAlignment="1">
      <alignment horizontal="right"/>
    </xf>
    <xf numFmtId="0" fontId="239" fillId="0" borderId="0" xfId="0" applyFont="1" applyAlignment="1">
      <alignment horizontal="left" vertical="justify" indent="1"/>
    </xf>
    <xf numFmtId="254" fontId="55" fillId="0" borderId="243" xfId="104" applyNumberFormat="1" applyFont="1" applyBorder="1" applyAlignment="1">
      <alignment horizontal="right"/>
    </xf>
    <xf numFmtId="255" fontId="198" fillId="0" borderId="243" xfId="104" applyNumberFormat="1" applyFont="1" applyBorder="1" applyAlignment="1">
      <alignment horizontal="right"/>
    </xf>
    <xf numFmtId="9" fontId="55" fillId="0" borderId="174" xfId="52" applyFont="1" applyFill="1" applyBorder="1" applyAlignment="1" applyProtection="1">
      <alignment horizontal="right"/>
    </xf>
    <xf numFmtId="257" fontId="55" fillId="0" borderId="243" xfId="104" applyNumberFormat="1" applyFont="1" applyBorder="1" applyAlignment="1">
      <alignment horizontal="right"/>
    </xf>
    <xf numFmtId="258" fontId="55" fillId="0" borderId="243" xfId="104" applyNumberFormat="1" applyFont="1" applyBorder="1" applyAlignment="1">
      <alignment horizontal="right"/>
    </xf>
    <xf numFmtId="9" fontId="168" fillId="0" borderId="0" xfId="52" applyFont="1" applyFill="1" applyBorder="1" applyAlignment="1" applyProtection="1">
      <alignment horizontal="right"/>
    </xf>
    <xf numFmtId="9" fontId="168" fillId="0" borderId="174" xfId="52" applyFont="1" applyFill="1" applyBorder="1" applyAlignment="1" applyProtection="1">
      <alignment horizontal="right"/>
    </xf>
    <xf numFmtId="0" fontId="212" fillId="0" borderId="0" xfId="105" applyFont="1" applyAlignment="1">
      <alignment horizontal="right"/>
    </xf>
    <xf numFmtId="0" fontId="240" fillId="0" borderId="0" xfId="105" applyFont="1" applyAlignment="1">
      <alignment horizontal="right"/>
    </xf>
    <xf numFmtId="170" fontId="168" fillId="0" borderId="0" xfId="32" applyNumberFormat="1" applyFont="1" applyFill="1" applyBorder="1" applyAlignment="1">
      <alignment horizontal="right"/>
    </xf>
    <xf numFmtId="255" fontId="44" fillId="0" borderId="243" xfId="104" quotePrefix="1" applyNumberFormat="1" applyFont="1" applyBorder="1" applyAlignment="1">
      <alignment horizontal="right"/>
    </xf>
    <xf numFmtId="242" fontId="55" fillId="0" borderId="243" xfId="104" quotePrefix="1" applyNumberFormat="1" applyFont="1" applyBorder="1" applyAlignment="1">
      <alignment horizontal="right"/>
    </xf>
    <xf numFmtId="253" fontId="198" fillId="0" borderId="243" xfId="104" applyNumberFormat="1" applyFont="1" applyBorder="1" applyAlignment="1">
      <alignment horizontal="right"/>
    </xf>
    <xf numFmtId="258" fontId="198" fillId="0" borderId="243" xfId="104" applyNumberFormat="1" applyFont="1" applyBorder="1" applyAlignment="1">
      <alignment horizontal="right"/>
    </xf>
    <xf numFmtId="165" fontId="55" fillId="0" borderId="243" xfId="104" applyNumberFormat="1" applyFont="1" applyBorder="1" applyAlignment="1">
      <alignment horizontal="right"/>
    </xf>
    <xf numFmtId="258" fontId="44" fillId="0" borderId="243" xfId="104" applyNumberFormat="1" applyFont="1" applyBorder="1" applyAlignment="1">
      <alignment horizontal="right"/>
    </xf>
    <xf numFmtId="254" fontId="63" fillId="0" borderId="243" xfId="104" quotePrefix="1" applyNumberFormat="1" applyFont="1" applyBorder="1" applyAlignment="1">
      <alignment horizontal="right"/>
    </xf>
    <xf numFmtId="0" fontId="239" fillId="0" borderId="0" xfId="0" applyFont="1" applyAlignment="1">
      <alignment horizontal="left" vertical="justify" indent="3"/>
    </xf>
    <xf numFmtId="254" fontId="71" fillId="0" borderId="243" xfId="104" quotePrefix="1" applyNumberFormat="1" applyFont="1" applyBorder="1" applyAlignment="1">
      <alignment horizontal="right"/>
    </xf>
    <xf numFmtId="254" fontId="55" fillId="0" borderId="243" xfId="104" quotePrefix="1" applyNumberFormat="1" applyFont="1" applyBorder="1" applyAlignment="1">
      <alignment horizontal="right"/>
    </xf>
    <xf numFmtId="254" fontId="44" fillId="0" borderId="243" xfId="104" quotePrefix="1" applyNumberFormat="1" applyFont="1" applyBorder="1" applyAlignment="1">
      <alignment horizontal="right"/>
    </xf>
    <xf numFmtId="258" fontId="44" fillId="0" borderId="243" xfId="104" quotePrefix="1" applyNumberFormat="1" applyFont="1" applyBorder="1" applyAlignment="1">
      <alignment horizontal="right"/>
    </xf>
    <xf numFmtId="258" fontId="55" fillId="0" borderId="243" xfId="104" quotePrefix="1" applyNumberFormat="1" applyFont="1" applyBorder="1" applyAlignment="1">
      <alignment horizontal="right"/>
    </xf>
    <xf numFmtId="258" fontId="55" fillId="0" borderId="0" xfId="104" quotePrefix="1" applyNumberFormat="1" applyFont="1" applyAlignment="1">
      <alignment horizontal="right"/>
    </xf>
    <xf numFmtId="257" fontId="55" fillId="0" borderId="243" xfId="104" quotePrefix="1" applyNumberFormat="1" applyFont="1" applyBorder="1" applyAlignment="1">
      <alignment horizontal="right"/>
    </xf>
    <xf numFmtId="259" fontId="55" fillId="0" borderId="243" xfId="104" quotePrefix="1" applyNumberFormat="1" applyFont="1" applyBorder="1" applyAlignment="1">
      <alignment horizontal="right"/>
    </xf>
    <xf numFmtId="259" fontId="44" fillId="0" borderId="243" xfId="104" quotePrefix="1" applyNumberFormat="1" applyFont="1" applyBorder="1" applyAlignment="1">
      <alignment horizontal="right"/>
    </xf>
    <xf numFmtId="0" fontId="239" fillId="0" borderId="0" xfId="0" applyFont="1" applyAlignment="1">
      <alignment horizontal="left" vertical="justify" indent="2"/>
    </xf>
    <xf numFmtId="242" fontId="55" fillId="0" borderId="243" xfId="104" applyNumberFormat="1" applyFont="1" applyBorder="1" applyAlignment="1">
      <alignment horizontal="right"/>
    </xf>
    <xf numFmtId="9" fontId="198" fillId="0" borderId="174" xfId="52" applyFont="1" applyFill="1" applyBorder="1" applyAlignment="1" applyProtection="1">
      <alignment horizontal="right"/>
    </xf>
    <xf numFmtId="252" fontId="198" fillId="0" borderId="174" xfId="111" applyNumberFormat="1" applyFont="1" applyFill="1" applyBorder="1" applyAlignment="1" applyProtection="1">
      <alignment horizontal="right"/>
    </xf>
    <xf numFmtId="0" fontId="71" fillId="25" borderId="0" xfId="105" applyFont="1" applyFill="1" applyAlignment="1">
      <alignment horizontal="left"/>
    </xf>
    <xf numFmtId="174" fontId="71" fillId="25" borderId="0" xfId="111" applyNumberFormat="1" applyFont="1" applyFill="1" applyBorder="1" applyAlignment="1" applyProtection="1">
      <alignment horizontal="right"/>
    </xf>
    <xf numFmtId="165" fontId="168" fillId="0" borderId="0" xfId="111" applyNumberFormat="1" applyFont="1" applyFill="1" applyBorder="1" applyAlignment="1" applyProtection="1">
      <alignment horizontal="right"/>
    </xf>
    <xf numFmtId="1" fontId="63" fillId="0" borderId="174" xfId="105" applyNumberFormat="1" applyFont="1" applyBorder="1" applyAlignment="1">
      <alignment horizontal="right"/>
    </xf>
    <xf numFmtId="1" fontId="168" fillId="25" borderId="174" xfId="111" applyNumberFormat="1" applyFont="1" applyFill="1" applyBorder="1" applyAlignment="1" applyProtection="1">
      <alignment horizontal="right"/>
    </xf>
    <xf numFmtId="1" fontId="168" fillId="0" borderId="174" xfId="105" applyNumberFormat="1" applyFont="1" applyBorder="1" applyAlignment="1">
      <alignment horizontal="right"/>
    </xf>
    <xf numFmtId="253" fontId="198" fillId="0" borderId="174" xfId="105" applyNumberFormat="1" applyFont="1" applyBorder="1" applyAlignment="1">
      <alignment horizontal="right"/>
    </xf>
    <xf numFmtId="258" fontId="168" fillId="0" borderId="174" xfId="105" applyNumberFormat="1" applyFont="1" applyBorder="1" applyAlignment="1">
      <alignment horizontal="right"/>
    </xf>
    <xf numFmtId="166" fontId="55" fillId="0" borderId="243" xfId="104" applyNumberFormat="1" applyFont="1" applyBorder="1" applyAlignment="1">
      <alignment horizontal="right"/>
    </xf>
    <xf numFmtId="254" fontId="55" fillId="0" borderId="174" xfId="104" applyNumberFormat="1" applyFont="1" applyBorder="1" applyAlignment="1">
      <alignment horizontal="right"/>
    </xf>
    <xf numFmtId="259" fontId="55" fillId="0" borderId="174" xfId="104" applyNumberFormat="1" applyFont="1" applyBorder="1" applyAlignment="1">
      <alignment horizontal="right"/>
    </xf>
    <xf numFmtId="165" fontId="168" fillId="25" borderId="234" xfId="104" applyNumberFormat="1" applyFont="1" applyFill="1" applyBorder="1" applyAlignment="1">
      <alignment horizontal="left"/>
    </xf>
    <xf numFmtId="165" fontId="168" fillId="25" borderId="239" xfId="104" applyNumberFormat="1" applyFont="1" applyFill="1" applyBorder="1" applyAlignment="1">
      <alignment horizontal="left"/>
    </xf>
    <xf numFmtId="165" fontId="168" fillId="25" borderId="185" xfId="104" applyNumberFormat="1" applyFont="1" applyFill="1" applyBorder="1" applyAlignment="1">
      <alignment horizontal="left"/>
    </xf>
    <xf numFmtId="174" fontId="55" fillId="25" borderId="174" xfId="111" applyNumberFormat="1" applyFont="1" applyFill="1" applyBorder="1" applyAlignment="1" applyProtection="1">
      <alignment horizontal="right"/>
    </xf>
    <xf numFmtId="174" fontId="63" fillId="25" borderId="174" xfId="111" applyNumberFormat="1" applyFont="1" applyFill="1" applyBorder="1" applyAlignment="1" applyProtection="1">
      <alignment horizontal="right"/>
    </xf>
    <xf numFmtId="174" fontId="198" fillId="25" borderId="174" xfId="111" applyNumberFormat="1" applyFont="1" applyFill="1" applyBorder="1" applyAlignment="1" applyProtection="1">
      <alignment horizontal="right"/>
    </xf>
    <xf numFmtId="257" fontId="55" fillId="0" borderId="0" xfId="104" applyNumberFormat="1" applyFont="1" applyAlignment="1">
      <alignment horizontal="right"/>
    </xf>
    <xf numFmtId="254" fontId="44" fillId="0" borderId="243" xfId="104" applyNumberFormat="1" applyFont="1" applyBorder="1" applyAlignment="1">
      <alignment horizontal="right"/>
    </xf>
    <xf numFmtId="253" fontId="168" fillId="0" borderId="174" xfId="111" applyNumberFormat="1" applyFont="1" applyFill="1" applyBorder="1" applyAlignment="1" applyProtection="1">
      <alignment horizontal="right"/>
    </xf>
    <xf numFmtId="0" fontId="53" fillId="0" borderId="0" xfId="0" applyFont="1" applyAlignment="1">
      <alignment horizontal="left" vertical="justify" indent="6"/>
    </xf>
    <xf numFmtId="0" fontId="181" fillId="0" borderId="250" xfId="105" applyFont="1" applyBorder="1" applyAlignment="1">
      <alignment horizontal="right"/>
    </xf>
    <xf numFmtId="0" fontId="181" fillId="82" borderId="243" xfId="105" applyFont="1" applyFill="1" applyBorder="1" applyAlignment="1">
      <alignment horizontal="right"/>
    </xf>
    <xf numFmtId="0" fontId="181" fillId="25" borderId="243" xfId="105" applyFont="1" applyFill="1" applyBorder="1" applyAlignment="1">
      <alignment horizontal="right"/>
    </xf>
    <xf numFmtId="0" fontId="44" fillId="25" borderId="243" xfId="105" applyFont="1" applyFill="1" applyBorder="1" applyAlignment="1">
      <alignment horizontal="right"/>
    </xf>
    <xf numFmtId="185" fontId="44" fillId="25" borderId="243" xfId="105" applyNumberFormat="1" applyFont="1" applyFill="1" applyBorder="1" applyAlignment="1">
      <alignment horizontal="right"/>
    </xf>
    <xf numFmtId="185" fontId="71" fillId="25" borderId="243" xfId="105" applyNumberFormat="1" applyFont="1" applyFill="1" applyBorder="1" applyAlignment="1">
      <alignment horizontal="right"/>
    </xf>
    <xf numFmtId="185" fontId="168" fillId="25" borderId="243" xfId="105" applyNumberFormat="1" applyFont="1" applyFill="1" applyBorder="1" applyAlignment="1">
      <alignment horizontal="right"/>
    </xf>
    <xf numFmtId="1" fontId="71" fillId="0" borderId="243" xfId="105" applyNumberFormat="1" applyFont="1" applyBorder="1" applyAlignment="1">
      <alignment horizontal="right"/>
    </xf>
    <xf numFmtId="165" fontId="168" fillId="0" borderId="243" xfId="111" applyNumberFormat="1" applyFont="1" applyFill="1" applyBorder="1" applyAlignment="1" applyProtection="1">
      <alignment horizontal="right"/>
    </xf>
    <xf numFmtId="252" fontId="198" fillId="0" borderId="243" xfId="111" applyNumberFormat="1" applyFont="1" applyFill="1" applyBorder="1" applyAlignment="1" applyProtection="1">
      <alignment horizontal="right"/>
    </xf>
    <xf numFmtId="1" fontId="63" fillId="0" borderId="243" xfId="105" applyNumberFormat="1" applyFont="1" applyBorder="1" applyAlignment="1">
      <alignment horizontal="right"/>
    </xf>
    <xf numFmtId="258" fontId="168" fillId="0" borderId="243" xfId="105" applyNumberFormat="1" applyFont="1" applyBorder="1" applyAlignment="1">
      <alignment horizontal="right"/>
    </xf>
    <xf numFmtId="169" fontId="71" fillId="0" borderId="243" xfId="105" applyNumberFormat="1" applyFont="1" applyBorder="1" applyAlignment="1">
      <alignment horizontal="right"/>
    </xf>
    <xf numFmtId="165" fontId="168" fillId="25" borderId="243" xfId="111" applyNumberFormat="1" applyFont="1" applyFill="1" applyBorder="1" applyAlignment="1" applyProtection="1">
      <alignment horizontal="right"/>
    </xf>
    <xf numFmtId="174" fontId="63" fillId="25" borderId="243" xfId="111" applyNumberFormat="1" applyFont="1" applyFill="1" applyBorder="1" applyAlignment="1" applyProtection="1">
      <alignment horizontal="right"/>
    </xf>
    <xf numFmtId="165" fontId="198" fillId="0" borderId="243" xfId="111" applyNumberFormat="1" applyFont="1" applyFill="1" applyBorder="1" applyAlignment="1" applyProtection="1">
      <alignment horizontal="right"/>
    </xf>
    <xf numFmtId="252" fontId="168" fillId="0" borderId="243" xfId="111" applyNumberFormat="1" applyFont="1" applyFill="1" applyBorder="1" applyAlignment="1" applyProtection="1">
      <alignment horizontal="right"/>
    </xf>
    <xf numFmtId="174" fontId="71" fillId="25" borderId="243" xfId="111" applyNumberFormat="1" applyFont="1" applyFill="1" applyBorder="1" applyAlignment="1" applyProtection="1">
      <alignment horizontal="right"/>
    </xf>
    <xf numFmtId="169" fontId="44" fillId="0" borderId="243" xfId="105" applyNumberFormat="1" applyFont="1" applyBorder="1" applyAlignment="1">
      <alignment horizontal="right"/>
    </xf>
    <xf numFmtId="9" fontId="44" fillId="0" borderId="243" xfId="52" applyFont="1" applyFill="1" applyBorder="1" applyAlignment="1" applyProtection="1">
      <alignment horizontal="right"/>
    </xf>
    <xf numFmtId="170" fontId="30" fillId="0" borderId="243" xfId="32" applyNumberFormat="1" applyFont="1" applyFill="1" applyBorder="1" applyAlignment="1" applyProtection="1">
      <alignment horizontal="right"/>
    </xf>
    <xf numFmtId="242" fontId="168" fillId="0" borderId="243" xfId="111" applyNumberFormat="1" applyFont="1" applyFill="1" applyBorder="1" applyAlignment="1" applyProtection="1">
      <alignment horizontal="right"/>
    </xf>
    <xf numFmtId="169" fontId="168" fillId="0" borderId="243" xfId="111" applyNumberFormat="1" applyFont="1" applyFill="1" applyBorder="1" applyAlignment="1" applyProtection="1">
      <alignment horizontal="right"/>
    </xf>
    <xf numFmtId="174" fontId="168" fillId="25" borderId="243" xfId="111" applyNumberFormat="1" applyFont="1" applyFill="1" applyBorder="1" applyAlignment="1" applyProtection="1">
      <alignment horizontal="right"/>
    </xf>
    <xf numFmtId="242" fontId="198" fillId="0" borderId="243" xfId="111" applyNumberFormat="1" applyFont="1" applyFill="1" applyBorder="1" applyAlignment="1" applyProtection="1">
      <alignment horizontal="right"/>
    </xf>
    <xf numFmtId="174" fontId="198" fillId="25" borderId="243" xfId="111" applyNumberFormat="1" applyFont="1" applyFill="1" applyBorder="1" applyAlignment="1" applyProtection="1">
      <alignment horizontal="right"/>
    </xf>
    <xf numFmtId="165" fontId="198" fillId="0" borderId="0" xfId="111" applyNumberFormat="1" applyFont="1" applyFill="1" applyBorder="1" applyAlignment="1" applyProtection="1">
      <alignment horizontal="right"/>
    </xf>
    <xf numFmtId="252" fontId="168" fillId="0" borderId="0" xfId="111" applyNumberFormat="1" applyFont="1" applyFill="1" applyBorder="1" applyAlignment="1" applyProtection="1">
      <alignment horizontal="right"/>
    </xf>
    <xf numFmtId="1" fontId="168" fillId="0" borderId="0" xfId="105" applyNumberFormat="1" applyFont="1" applyAlignment="1">
      <alignment horizontal="right"/>
    </xf>
    <xf numFmtId="165" fontId="168" fillId="25" borderId="0" xfId="111" applyNumberFormat="1" applyFont="1" applyFill="1" applyBorder="1" applyAlignment="1" applyProtection="1">
      <alignment horizontal="right"/>
    </xf>
    <xf numFmtId="169" fontId="44" fillId="0" borderId="0" xfId="105" applyNumberFormat="1" applyFont="1" applyAlignment="1">
      <alignment horizontal="right"/>
    </xf>
    <xf numFmtId="165" fontId="180" fillId="0" borderId="0" xfId="111" applyNumberFormat="1" applyFont="1" applyFill="1" applyBorder="1" applyAlignment="1" applyProtection="1">
      <alignment horizontal="right"/>
    </xf>
    <xf numFmtId="17" fontId="181" fillId="0" borderId="243" xfId="105" applyNumberFormat="1" applyFont="1" applyBorder="1" applyAlignment="1">
      <alignment horizontal="right"/>
    </xf>
    <xf numFmtId="17" fontId="44" fillId="0" borderId="243" xfId="105" applyNumberFormat="1" applyFont="1" applyBorder="1" applyAlignment="1">
      <alignment horizontal="right"/>
    </xf>
    <xf numFmtId="17" fontId="71" fillId="0" borderId="243" xfId="105" applyNumberFormat="1" applyFont="1" applyBorder="1" applyAlignment="1">
      <alignment horizontal="right"/>
    </xf>
    <xf numFmtId="17" fontId="168" fillId="0" borderId="243" xfId="105" applyNumberFormat="1" applyFont="1" applyBorder="1" applyAlignment="1">
      <alignment horizontal="right"/>
    </xf>
    <xf numFmtId="17" fontId="214" fillId="0" borderId="243" xfId="105" applyNumberFormat="1" applyFont="1" applyBorder="1" applyAlignment="1">
      <alignment horizontal="right"/>
    </xf>
    <xf numFmtId="17" fontId="203" fillId="0" borderId="243" xfId="105" applyNumberFormat="1" applyFont="1" applyBorder="1" applyAlignment="1">
      <alignment horizontal="right"/>
    </xf>
    <xf numFmtId="165" fontId="63" fillId="0" borderId="243" xfId="104" applyNumberFormat="1" applyFont="1" applyBorder="1" applyAlignment="1">
      <alignment horizontal="right"/>
    </xf>
    <xf numFmtId="17" fontId="181" fillId="0" borderId="246" xfId="105" applyNumberFormat="1" applyFont="1" applyBorder="1" applyAlignment="1">
      <alignment horizontal="right"/>
    </xf>
    <xf numFmtId="181" fontId="181" fillId="0" borderId="246" xfId="105" applyNumberFormat="1" applyFont="1" applyBorder="1" applyAlignment="1">
      <alignment horizontal="right"/>
    </xf>
    <xf numFmtId="165" fontId="44" fillId="0" borderId="243" xfId="104" applyNumberFormat="1" applyFont="1" applyBorder="1" applyAlignment="1">
      <alignment horizontal="right"/>
    </xf>
    <xf numFmtId="253" fontId="44" fillId="0" borderId="243" xfId="104" quotePrefix="1" applyNumberFormat="1" applyFont="1" applyBorder="1" applyAlignment="1">
      <alignment horizontal="right"/>
    </xf>
    <xf numFmtId="254" fontId="44" fillId="0" borderId="174" xfId="52" applyNumberFormat="1" applyFont="1" applyFill="1" applyBorder="1" applyAlignment="1" applyProtection="1">
      <alignment horizontal="right"/>
    </xf>
    <xf numFmtId="259" fontId="44" fillId="0" borderId="174" xfId="52" applyNumberFormat="1" applyFont="1" applyFill="1" applyBorder="1" applyAlignment="1" applyProtection="1">
      <alignment horizontal="right"/>
    </xf>
    <xf numFmtId="259" fontId="44" fillId="0" borderId="0" xfId="104" quotePrefix="1" applyNumberFormat="1" applyFont="1" applyAlignment="1">
      <alignment horizontal="right"/>
    </xf>
    <xf numFmtId="254" fontId="44" fillId="0" borderId="0" xfId="52" applyNumberFormat="1" applyFont="1" applyFill="1" applyBorder="1" applyAlignment="1" applyProtection="1">
      <alignment horizontal="right"/>
    </xf>
    <xf numFmtId="259" fontId="55" fillId="0" borderId="0" xfId="52" applyNumberFormat="1" applyFont="1" applyFill="1" applyBorder="1" applyAlignment="1" applyProtection="1">
      <alignment horizontal="right"/>
    </xf>
    <xf numFmtId="259" fontId="55" fillId="0" borderId="174" xfId="52" applyNumberFormat="1" applyFont="1" applyFill="1" applyBorder="1" applyAlignment="1" applyProtection="1">
      <alignment horizontal="right"/>
    </xf>
    <xf numFmtId="242" fontId="198" fillId="0" borderId="174" xfId="104" quotePrefix="1" applyNumberFormat="1" applyFont="1" applyBorder="1" applyAlignment="1">
      <alignment horizontal="right"/>
    </xf>
    <xf numFmtId="253" fontId="44" fillId="0" borderId="0" xfId="52" applyNumberFormat="1" applyFont="1" applyFill="1" applyBorder="1" applyAlignment="1" applyProtection="1">
      <alignment horizontal="right"/>
    </xf>
    <xf numFmtId="253" fontId="44" fillId="0" borderId="174" xfId="52" applyNumberFormat="1" applyFont="1" applyFill="1" applyBorder="1" applyAlignment="1" applyProtection="1">
      <alignment horizontal="right"/>
    </xf>
    <xf numFmtId="253" fontId="44" fillId="0" borderId="0" xfId="105" applyNumberFormat="1" applyFont="1" applyAlignment="1">
      <alignment horizontal="right"/>
    </xf>
    <xf numFmtId="253" fontId="44" fillId="0" borderId="174" xfId="105" applyNumberFormat="1" applyFont="1" applyBorder="1" applyAlignment="1">
      <alignment horizontal="right"/>
    </xf>
    <xf numFmtId="253" fontId="168" fillId="0" borderId="0" xfId="52" applyNumberFormat="1" applyFont="1" applyFill="1" applyBorder="1" applyAlignment="1" applyProtection="1">
      <alignment horizontal="right"/>
    </xf>
    <xf numFmtId="253" fontId="168" fillId="0" borderId="174" xfId="52" applyNumberFormat="1" applyFont="1" applyFill="1" applyBorder="1" applyAlignment="1" applyProtection="1">
      <alignment horizontal="right"/>
    </xf>
    <xf numFmtId="253" fontId="168" fillId="0" borderId="0" xfId="105" applyNumberFormat="1" applyFont="1" applyAlignment="1">
      <alignment horizontal="right"/>
    </xf>
    <xf numFmtId="253" fontId="168" fillId="0" borderId="174" xfId="105" applyNumberFormat="1" applyFont="1" applyBorder="1" applyAlignment="1">
      <alignment horizontal="right"/>
    </xf>
    <xf numFmtId="254" fontId="44" fillId="0" borderId="0" xfId="105" applyNumberFormat="1" applyFont="1" applyAlignment="1">
      <alignment horizontal="right"/>
    </xf>
    <xf numFmtId="254" fontId="44" fillId="0" borderId="174" xfId="105" applyNumberFormat="1" applyFont="1" applyBorder="1" applyAlignment="1">
      <alignment horizontal="right"/>
    </xf>
    <xf numFmtId="254" fontId="71" fillId="0" borderId="246" xfId="105" applyNumberFormat="1" applyFont="1" applyBorder="1"/>
    <xf numFmtId="254" fontId="71" fillId="0" borderId="243" xfId="105" applyNumberFormat="1" applyFont="1" applyBorder="1"/>
    <xf numFmtId="258" fontId="168" fillId="0" borderId="0" xfId="52" applyNumberFormat="1" applyFont="1" applyFill="1" applyBorder="1" applyAlignment="1" applyProtection="1">
      <alignment horizontal="right"/>
    </xf>
    <xf numFmtId="258" fontId="168" fillId="0" borderId="174" xfId="52" applyNumberFormat="1" applyFont="1" applyFill="1" applyBorder="1" applyAlignment="1" applyProtection="1">
      <alignment horizontal="right"/>
    </xf>
    <xf numFmtId="258" fontId="168" fillId="0" borderId="0" xfId="105" applyNumberFormat="1" applyFont="1" applyAlignment="1">
      <alignment horizontal="right"/>
    </xf>
    <xf numFmtId="253" fontId="198" fillId="0" borderId="0" xfId="105" applyNumberFormat="1" applyFont="1" applyAlignment="1">
      <alignment horizontal="right"/>
    </xf>
    <xf numFmtId="254" fontId="71" fillId="0" borderId="0" xfId="52" applyNumberFormat="1" applyFont="1" applyFill="1" applyBorder="1" applyAlignment="1" applyProtection="1">
      <alignment horizontal="right"/>
    </xf>
    <xf numFmtId="254" fontId="71" fillId="0" borderId="174" xfId="52" applyNumberFormat="1" applyFont="1" applyFill="1" applyBorder="1" applyAlignment="1" applyProtection="1">
      <alignment horizontal="right"/>
    </xf>
    <xf numFmtId="257" fontId="63" fillId="0" borderId="0" xfId="3380" applyNumberFormat="1" applyFont="1" applyFill="1" applyBorder="1" applyAlignment="1" applyProtection="1">
      <alignment horizontal="right"/>
    </xf>
    <xf numFmtId="257" fontId="63" fillId="0" borderId="174" xfId="3380" applyNumberFormat="1" applyFont="1" applyFill="1" applyBorder="1" applyAlignment="1" applyProtection="1">
      <alignment horizontal="right"/>
    </xf>
    <xf numFmtId="257" fontId="63" fillId="0" borderId="0" xfId="52" applyNumberFormat="1" applyFont="1" applyFill="1" applyBorder="1" applyAlignment="1" applyProtection="1">
      <alignment horizontal="right"/>
    </xf>
    <xf numFmtId="257" fontId="71" fillId="0" borderId="0" xfId="3380" applyNumberFormat="1" applyFont="1" applyFill="1" applyBorder="1" applyAlignment="1" applyProtection="1">
      <alignment horizontal="right"/>
    </xf>
    <xf numFmtId="257" fontId="71" fillId="0" borderId="174" xfId="3380" applyNumberFormat="1" applyFont="1" applyFill="1" applyBorder="1" applyAlignment="1" applyProtection="1">
      <alignment horizontal="right"/>
    </xf>
    <xf numFmtId="259" fontId="71" fillId="0" borderId="174" xfId="52" applyNumberFormat="1" applyFont="1" applyFill="1" applyBorder="1" applyAlignment="1" applyProtection="1">
      <alignment horizontal="right"/>
    </xf>
    <xf numFmtId="259" fontId="71" fillId="0" borderId="0" xfId="52" applyNumberFormat="1" applyFont="1" applyFill="1" applyBorder="1" applyAlignment="1" applyProtection="1">
      <alignment horizontal="right"/>
    </xf>
    <xf numFmtId="259" fontId="71" fillId="0" borderId="243" xfId="104" quotePrefix="1" applyNumberFormat="1" applyFont="1" applyBorder="1" applyAlignment="1">
      <alignment horizontal="right"/>
    </xf>
    <xf numFmtId="259" fontId="63" fillId="0" borderId="243" xfId="104" quotePrefix="1" applyNumberFormat="1" applyFont="1" applyBorder="1" applyAlignment="1">
      <alignment horizontal="right"/>
    </xf>
    <xf numFmtId="254" fontId="71" fillId="0" borderId="0" xfId="105" applyNumberFormat="1" applyFont="1" applyAlignment="1">
      <alignment horizontal="right"/>
    </xf>
    <xf numFmtId="254" fontId="71" fillId="0" borderId="174" xfId="105" applyNumberFormat="1" applyFont="1" applyBorder="1" applyAlignment="1">
      <alignment horizontal="right"/>
    </xf>
    <xf numFmtId="242" fontId="168" fillId="0" borderId="243" xfId="104" quotePrefix="1" applyNumberFormat="1" applyFont="1" applyBorder="1" applyAlignment="1">
      <alignment horizontal="right"/>
    </xf>
    <xf numFmtId="254" fontId="168" fillId="0" borderId="0" xfId="52" applyNumberFormat="1" applyFont="1" applyFill="1" applyBorder="1" applyAlignment="1" applyProtection="1">
      <alignment horizontal="right"/>
    </xf>
    <xf numFmtId="254" fontId="168" fillId="0" borderId="174" xfId="52" applyNumberFormat="1" applyFont="1" applyFill="1" applyBorder="1" applyAlignment="1" applyProtection="1">
      <alignment horizontal="right"/>
    </xf>
    <xf numFmtId="254" fontId="168" fillId="0" borderId="0" xfId="105" applyNumberFormat="1" applyFont="1" applyAlignment="1">
      <alignment horizontal="right"/>
    </xf>
    <xf numFmtId="254" fontId="168" fillId="0" borderId="174" xfId="105" applyNumberFormat="1" applyFont="1" applyBorder="1" applyAlignment="1">
      <alignment horizontal="right"/>
    </xf>
    <xf numFmtId="242" fontId="71" fillId="0" borderId="0" xfId="111" applyNumberFormat="1" applyFont="1" applyFill="1" applyBorder="1" applyAlignment="1" applyProtection="1">
      <alignment horizontal="right"/>
    </xf>
    <xf numFmtId="242" fontId="71" fillId="0" borderId="174" xfId="111" applyNumberFormat="1" applyFont="1" applyFill="1" applyBorder="1" applyAlignment="1" applyProtection="1">
      <alignment horizontal="right"/>
    </xf>
    <xf numFmtId="258" fontId="44" fillId="0" borderId="0" xfId="52" applyNumberFormat="1" applyFont="1" applyFill="1" applyBorder="1" applyAlignment="1" applyProtection="1">
      <alignment horizontal="right"/>
    </xf>
    <xf numFmtId="258" fontId="44" fillId="0" borderId="174" xfId="52" applyNumberFormat="1" applyFont="1" applyFill="1" applyBorder="1" applyAlignment="1" applyProtection="1">
      <alignment horizontal="right"/>
    </xf>
    <xf numFmtId="258" fontId="44" fillId="0" borderId="0" xfId="105" applyNumberFormat="1" applyFont="1" applyAlignment="1">
      <alignment horizontal="right"/>
    </xf>
    <xf numFmtId="258" fontId="44" fillId="0" borderId="174" xfId="105" applyNumberFormat="1" applyFont="1" applyBorder="1" applyAlignment="1">
      <alignment horizontal="right"/>
    </xf>
    <xf numFmtId="165" fontId="63" fillId="0" borderId="174" xfId="104" applyNumberFormat="1" applyFont="1" applyBorder="1" applyAlignment="1">
      <alignment horizontal="right"/>
    </xf>
    <xf numFmtId="253" fontId="44" fillId="0" borderId="174" xfId="104" quotePrefix="1" applyNumberFormat="1" applyFont="1" applyBorder="1" applyAlignment="1">
      <alignment horizontal="right"/>
    </xf>
    <xf numFmtId="256" fontId="71" fillId="25" borderId="174" xfId="105" applyNumberFormat="1" applyFont="1" applyFill="1" applyBorder="1" applyAlignment="1">
      <alignment horizontal="right"/>
    </xf>
    <xf numFmtId="256" fontId="71" fillId="25" borderId="173" xfId="105" applyNumberFormat="1" applyFont="1" applyFill="1" applyBorder="1" applyAlignment="1">
      <alignment horizontal="right"/>
    </xf>
    <xf numFmtId="256" fontId="71" fillId="25" borderId="242" xfId="105" applyNumberFormat="1" applyFont="1" applyFill="1" applyBorder="1" applyAlignment="1">
      <alignment horizontal="right"/>
    </xf>
    <xf numFmtId="0" fontId="242" fillId="0" borderId="0" xfId="105" applyFont="1" applyAlignment="1">
      <alignment horizontal="right"/>
    </xf>
    <xf numFmtId="167" fontId="55" fillId="0" borderId="0" xfId="52" applyNumberFormat="1" applyFont="1" applyFill="1" applyBorder="1" applyAlignment="1" applyProtection="1">
      <alignment horizontal="right"/>
    </xf>
    <xf numFmtId="254" fontId="63" fillId="0" borderId="0" xfId="52" applyNumberFormat="1" applyFont="1" applyFill="1" applyBorder="1" applyAlignment="1" applyProtection="1">
      <alignment horizontal="right"/>
    </xf>
    <xf numFmtId="167" fontId="44" fillId="0" borderId="0" xfId="105" applyNumberFormat="1" applyFont="1" applyAlignment="1">
      <alignment horizontal="right"/>
    </xf>
    <xf numFmtId="167" fontId="44" fillId="0" borderId="174" xfId="105" applyNumberFormat="1" applyFont="1" applyBorder="1" applyAlignment="1">
      <alignment horizontal="right"/>
    </xf>
    <xf numFmtId="253" fontId="44" fillId="0" borderId="0" xfId="104" quotePrefix="1" applyNumberFormat="1" applyFont="1" applyAlignment="1">
      <alignment horizontal="right"/>
    </xf>
    <xf numFmtId="256" fontId="63" fillId="25" borderId="174" xfId="105" applyNumberFormat="1" applyFont="1" applyFill="1" applyBorder="1" applyAlignment="1">
      <alignment horizontal="right"/>
    </xf>
    <xf numFmtId="257" fontId="71" fillId="0" borderId="0" xfId="52" applyNumberFormat="1" applyFont="1" applyFill="1" applyBorder="1" applyAlignment="1" applyProtection="1">
      <alignment horizontal="right"/>
    </xf>
    <xf numFmtId="257" fontId="71" fillId="25" borderId="242" xfId="104" applyNumberFormat="1" applyFont="1" applyFill="1" applyBorder="1" applyAlignment="1">
      <alignment horizontal="right"/>
    </xf>
    <xf numFmtId="17" fontId="212" fillId="0" borderId="243" xfId="105" applyNumberFormat="1" applyFont="1" applyBorder="1" applyAlignment="1">
      <alignment horizontal="right"/>
    </xf>
    <xf numFmtId="165" fontId="44" fillId="0" borderId="0" xfId="104" applyNumberFormat="1" applyFont="1" applyAlignment="1">
      <alignment horizontal="right"/>
    </xf>
    <xf numFmtId="4" fontId="44" fillId="25" borderId="173" xfId="104" applyNumberFormat="1" applyFont="1" applyFill="1" applyBorder="1" applyAlignment="1">
      <alignment horizontal="right"/>
    </xf>
    <xf numFmtId="4" fontId="71" fillId="25" borderId="173" xfId="104" applyNumberFormat="1" applyFont="1" applyFill="1" applyBorder="1" applyAlignment="1">
      <alignment horizontal="right"/>
    </xf>
    <xf numFmtId="0" fontId="71" fillId="0" borderId="242" xfId="105" applyFont="1" applyBorder="1"/>
    <xf numFmtId="170" fontId="44" fillId="25" borderId="174" xfId="32" applyNumberFormat="1" applyFont="1" applyFill="1" applyBorder="1" applyAlignment="1" applyProtection="1">
      <alignment horizontal="right"/>
    </xf>
    <xf numFmtId="170" fontId="44" fillId="25" borderId="0" xfId="32" applyNumberFormat="1" applyFont="1" applyFill="1" applyBorder="1" applyAlignment="1" applyProtection="1">
      <alignment horizontal="right"/>
    </xf>
    <xf numFmtId="170" fontId="44" fillId="0" borderId="0" xfId="32" applyNumberFormat="1" applyFont="1" applyBorder="1" applyAlignment="1">
      <alignment horizontal="right"/>
    </xf>
    <xf numFmtId="167" fontId="238" fillId="0" borderId="0" xfId="52" applyNumberFormat="1" applyFont="1" applyFill="1" applyBorder="1" applyAlignment="1" applyProtection="1">
      <alignment horizontal="right"/>
    </xf>
    <xf numFmtId="167" fontId="241" fillId="0" borderId="0" xfId="52" applyNumberFormat="1" applyFont="1" applyFill="1" applyBorder="1" applyAlignment="1" applyProtection="1">
      <alignment horizontal="right"/>
    </xf>
    <xf numFmtId="0" fontId="214" fillId="0" borderId="0" xfId="105" applyFont="1" applyAlignment="1">
      <alignment horizontal="right"/>
    </xf>
    <xf numFmtId="0" fontId="243" fillId="0" borderId="0" xfId="105" applyFont="1" applyAlignment="1">
      <alignment horizontal="right"/>
    </xf>
    <xf numFmtId="169" fontId="63" fillId="0" borderId="0" xfId="52" applyNumberFormat="1" applyFont="1" applyFill="1" applyBorder="1" applyAlignment="1" applyProtection="1">
      <alignment horizontal="right"/>
    </xf>
    <xf numFmtId="181" fontId="63" fillId="0" borderId="0" xfId="52" applyNumberFormat="1" applyFont="1" applyFill="1" applyBorder="1" applyAlignment="1" applyProtection="1">
      <alignment horizontal="right"/>
    </xf>
    <xf numFmtId="167" fontId="63" fillId="0" borderId="0" xfId="52" applyNumberFormat="1" applyFont="1" applyFill="1" applyBorder="1" applyAlignment="1" applyProtection="1">
      <alignment horizontal="right"/>
    </xf>
    <xf numFmtId="253" fontId="44" fillId="0" borderId="246" xfId="104" quotePrefix="1" applyNumberFormat="1" applyFont="1" applyBorder="1" applyAlignment="1">
      <alignment horizontal="right"/>
    </xf>
    <xf numFmtId="0" fontId="233" fillId="0" borderId="0" xfId="0" applyFont="1" applyAlignment="1">
      <alignment horizontal="left" vertical="justify" indent="6"/>
    </xf>
    <xf numFmtId="0" fontId="239" fillId="0" borderId="0" xfId="0" applyFont="1" applyAlignment="1">
      <alignment horizontal="left" vertical="justify" indent="6"/>
    </xf>
    <xf numFmtId="0" fontId="233" fillId="0" borderId="0" xfId="0" applyFont="1" applyAlignment="1">
      <alignment horizontal="left" vertical="justify" indent="7"/>
    </xf>
    <xf numFmtId="0" fontId="239" fillId="0" borderId="0" xfId="0" applyFont="1" applyAlignment="1">
      <alignment horizontal="left" vertical="justify" indent="7"/>
    </xf>
    <xf numFmtId="254" fontId="55" fillId="0" borderId="0" xfId="52" applyNumberFormat="1" applyFont="1" applyFill="1" applyBorder="1" applyAlignment="1" applyProtection="1">
      <alignment horizontal="right"/>
    </xf>
    <xf numFmtId="167" fontId="168" fillId="0" borderId="173" xfId="104" applyNumberFormat="1" applyFont="1" applyBorder="1"/>
    <xf numFmtId="170" fontId="71" fillId="0" borderId="0" xfId="32" applyNumberFormat="1" applyFont="1" applyFill="1" applyBorder="1" applyProtection="1"/>
    <xf numFmtId="170" fontId="71" fillId="0" borderId="174" xfId="32" applyNumberFormat="1" applyFont="1" applyFill="1" applyBorder="1" applyProtection="1"/>
    <xf numFmtId="165" fontId="44" fillId="0" borderId="234" xfId="104" applyNumberFormat="1" applyFont="1" applyBorder="1" applyAlignment="1">
      <alignment horizontal="left" indent="3"/>
    </xf>
    <xf numFmtId="0" fontId="71" fillId="87" borderId="234" xfId="178" applyFont="1" applyFill="1" applyBorder="1" applyAlignment="1">
      <alignment horizontal="left" indent="3"/>
    </xf>
    <xf numFmtId="248" fontId="71" fillId="87" borderId="0" xfId="111" applyNumberFormat="1" applyFont="1" applyFill="1" applyBorder="1" applyProtection="1"/>
    <xf numFmtId="248" fontId="71" fillId="87" borderId="174" xfId="111" applyNumberFormat="1" applyFont="1" applyFill="1" applyBorder="1" applyProtection="1"/>
    <xf numFmtId="170" fontId="30" fillId="87" borderId="0" xfId="32" applyNumberFormat="1" applyFont="1" applyFill="1" applyBorder="1" applyProtection="1"/>
    <xf numFmtId="170" fontId="30" fillId="87" borderId="174" xfId="32" applyNumberFormat="1" applyFont="1" applyFill="1" applyBorder="1" applyProtection="1"/>
    <xf numFmtId="185" fontId="71" fillId="87" borderId="0" xfId="111" applyNumberFormat="1" applyFont="1" applyFill="1" applyBorder="1" applyProtection="1"/>
    <xf numFmtId="185" fontId="71" fillId="87" borderId="174" xfId="111" applyNumberFormat="1" applyFont="1" applyFill="1" applyBorder="1" applyProtection="1"/>
    <xf numFmtId="185" fontId="71" fillId="87" borderId="181" xfId="105" applyNumberFormat="1" applyFont="1" applyFill="1" applyBorder="1"/>
    <xf numFmtId="185" fontId="71" fillId="87" borderId="242" xfId="105" applyNumberFormat="1" applyFont="1" applyFill="1" applyBorder="1"/>
    <xf numFmtId="1" fontId="71" fillId="87" borderId="0" xfId="111" applyNumberFormat="1" applyFont="1" applyFill="1" applyBorder="1" applyProtection="1"/>
    <xf numFmtId="1" fontId="71" fillId="87" borderId="174" xfId="111" applyNumberFormat="1" applyFont="1" applyFill="1" applyBorder="1" applyProtection="1"/>
    <xf numFmtId="0" fontId="92" fillId="0" borderId="0" xfId="189"/>
    <xf numFmtId="167" fontId="168" fillId="0" borderId="0" xfId="104" applyNumberFormat="1" applyFont="1"/>
    <xf numFmtId="236" fontId="71" fillId="87" borderId="181" xfId="105" applyNumberFormat="1" applyFont="1" applyFill="1" applyBorder="1"/>
    <xf numFmtId="0" fontId="71" fillId="86" borderId="234" xfId="178" applyFont="1" applyFill="1" applyBorder="1" applyAlignment="1">
      <alignment horizontal="left" indent="2"/>
    </xf>
    <xf numFmtId="248" fontId="71" fillId="86" borderId="0" xfId="111" applyNumberFormat="1" applyFont="1" applyFill="1" applyBorder="1" applyProtection="1"/>
    <xf numFmtId="248" fontId="71" fillId="86" borderId="174" xfId="111" applyNumberFormat="1" applyFont="1" applyFill="1" applyBorder="1" applyProtection="1"/>
    <xf numFmtId="170" fontId="30" fillId="86" borderId="0" xfId="32" applyNumberFormat="1" applyFont="1" applyFill="1" applyBorder="1" applyProtection="1"/>
    <xf numFmtId="170" fontId="30" fillId="86" borderId="174" xfId="32" applyNumberFormat="1" applyFont="1" applyFill="1" applyBorder="1" applyProtection="1"/>
    <xf numFmtId="170" fontId="71" fillId="86" borderId="0" xfId="32" applyNumberFormat="1" applyFont="1" applyFill="1" applyBorder="1" applyProtection="1"/>
    <xf numFmtId="170" fontId="71" fillId="86" borderId="174" xfId="32" applyNumberFormat="1" applyFont="1" applyFill="1" applyBorder="1" applyProtection="1"/>
    <xf numFmtId="170" fontId="71" fillId="86" borderId="246" xfId="32" applyNumberFormat="1" applyFont="1" applyFill="1" applyBorder="1" applyProtection="1"/>
    <xf numFmtId="185" fontId="71" fillId="86" borderId="0" xfId="111" applyNumberFormat="1" applyFont="1" applyFill="1" applyBorder="1" applyProtection="1"/>
    <xf numFmtId="185" fontId="71" fillId="86" borderId="174" xfId="111" applyNumberFormat="1" applyFont="1" applyFill="1" applyBorder="1" applyProtection="1"/>
    <xf numFmtId="171" fontId="168" fillId="86" borderId="0" xfId="110" applyNumberFormat="1" applyFont="1" applyFill="1" applyBorder="1" applyProtection="1"/>
    <xf numFmtId="236" fontId="71" fillId="86" borderId="181" xfId="105" applyNumberFormat="1" applyFont="1" applyFill="1" applyBorder="1"/>
    <xf numFmtId="185" fontId="71" fillId="86" borderId="181" xfId="105" applyNumberFormat="1" applyFont="1" applyFill="1" applyBorder="1"/>
    <xf numFmtId="185" fontId="71" fillId="86" borderId="242" xfId="105" applyNumberFormat="1" applyFont="1" applyFill="1" applyBorder="1"/>
    <xf numFmtId="185" fontId="71" fillId="86" borderId="243" xfId="105" applyNumberFormat="1" applyFont="1" applyFill="1" applyBorder="1"/>
    <xf numFmtId="17" fontId="181" fillId="0" borderId="239" xfId="105" applyNumberFormat="1" applyFont="1" applyBorder="1" applyAlignment="1">
      <alignment horizontal="right"/>
    </xf>
    <xf numFmtId="248" fontId="44" fillId="0" borderId="0" xfId="111" applyNumberFormat="1" applyFont="1" applyFill="1" applyBorder="1" applyProtection="1"/>
    <xf numFmtId="248" fontId="44" fillId="0" borderId="174" xfId="111" applyNumberFormat="1" applyFont="1" applyFill="1" applyBorder="1" applyProtection="1"/>
    <xf numFmtId="185" fontId="44" fillId="25" borderId="0" xfId="111" applyNumberFormat="1" applyFont="1" applyFill="1" applyBorder="1" applyProtection="1"/>
    <xf numFmtId="170" fontId="9" fillId="0" borderId="246" xfId="32" applyNumberFormat="1" applyFill="1" applyBorder="1" applyProtection="1"/>
    <xf numFmtId="236" fontId="44" fillId="0" borderId="181" xfId="105" applyNumberFormat="1" applyFont="1" applyBorder="1"/>
    <xf numFmtId="185" fontId="44" fillId="0" borderId="242" xfId="105" applyNumberFormat="1" applyFont="1" applyBorder="1"/>
    <xf numFmtId="185" fontId="244" fillId="0" borderId="0" xfId="111" applyNumberFormat="1" applyFont="1" applyFill="1" applyBorder="1" applyProtection="1"/>
    <xf numFmtId="185" fontId="244" fillId="25" borderId="0" xfId="111" applyNumberFormat="1" applyFont="1" applyFill="1" applyBorder="1" applyProtection="1"/>
    <xf numFmtId="185" fontId="244" fillId="25" borderId="174" xfId="111" applyNumberFormat="1" applyFont="1" applyFill="1" applyBorder="1" applyProtection="1"/>
    <xf numFmtId="260" fontId="244" fillId="25" borderId="0" xfId="111" applyNumberFormat="1" applyFont="1" applyFill="1" applyBorder="1" applyProtection="1"/>
    <xf numFmtId="0" fontId="244" fillId="0" borderId="234" xfId="178" applyFont="1" applyBorder="1" applyAlignment="1">
      <alignment horizontal="left"/>
    </xf>
    <xf numFmtId="0" fontId="244" fillId="0" borderId="234" xfId="178" applyFont="1" applyBorder="1" applyAlignment="1">
      <alignment horizontal="left" indent="2"/>
    </xf>
    <xf numFmtId="165" fontId="245" fillId="0" borderId="234" xfId="104" applyNumberFormat="1" applyFont="1" applyBorder="1" applyAlignment="1">
      <alignment horizontal="left" indent="2"/>
    </xf>
    <xf numFmtId="242" fontId="245" fillId="25" borderId="182" xfId="104" applyNumberFormat="1" applyFont="1" applyFill="1" applyBorder="1" applyAlignment="1">
      <alignment horizontal="right"/>
    </xf>
    <xf numFmtId="242" fontId="245" fillId="25" borderId="0" xfId="104" applyNumberFormat="1" applyFont="1" applyFill="1" applyAlignment="1">
      <alignment horizontal="right"/>
    </xf>
    <xf numFmtId="242" fontId="245" fillId="25" borderId="174" xfId="104" applyNumberFormat="1" applyFont="1" applyFill="1" applyBorder="1" applyAlignment="1">
      <alignment horizontal="right"/>
    </xf>
    <xf numFmtId="242" fontId="245" fillId="0" borderId="0" xfId="104" applyNumberFormat="1" applyFont="1" applyAlignment="1">
      <alignment horizontal="right"/>
    </xf>
    <xf numFmtId="242" fontId="245" fillId="0" borderId="174" xfId="104" applyNumberFormat="1" applyFont="1" applyBorder="1" applyAlignment="1">
      <alignment horizontal="right"/>
    </xf>
    <xf numFmtId="242" fontId="245" fillId="0" borderId="246" xfId="104" applyNumberFormat="1" applyFont="1" applyBorder="1" applyAlignment="1">
      <alignment horizontal="right"/>
    </xf>
    <xf numFmtId="171" fontId="245" fillId="0" borderId="0" xfId="110" applyNumberFormat="1" applyFont="1" applyFill="1" applyBorder="1" applyProtection="1"/>
    <xf numFmtId="167" fontId="245" fillId="0" borderId="184" xfId="104" applyNumberFormat="1" applyFont="1" applyBorder="1"/>
    <xf numFmtId="242" fontId="245" fillId="0" borderId="181" xfId="104" applyNumberFormat="1" applyFont="1" applyBorder="1" applyAlignment="1">
      <alignment horizontal="right"/>
    </xf>
    <xf numFmtId="242" fontId="245" fillId="0" borderId="242" xfId="104" applyNumberFormat="1" applyFont="1" applyBorder="1" applyAlignment="1">
      <alignment horizontal="right"/>
    </xf>
    <xf numFmtId="171" fontId="44" fillId="0" borderId="259" xfId="110" applyNumberFormat="1" applyFont="1" applyFill="1" applyBorder="1" applyProtection="1"/>
    <xf numFmtId="0" fontId="244" fillId="0" borderId="234" xfId="178" applyFont="1" applyBorder="1" applyAlignment="1">
      <alignment horizontal="left" indent="3"/>
    </xf>
    <xf numFmtId="165" fontId="245" fillId="0" borderId="234" xfId="104" applyNumberFormat="1" applyFont="1" applyBorder="1" applyAlignment="1">
      <alignment horizontal="left" indent="3"/>
    </xf>
    <xf numFmtId="185" fontId="63" fillId="87" borderId="0" xfId="111" applyNumberFormat="1" applyFont="1" applyFill="1" applyBorder="1" applyProtection="1"/>
    <xf numFmtId="185" fontId="63" fillId="87" borderId="174" xfId="111" applyNumberFormat="1" applyFont="1" applyFill="1" applyBorder="1" applyProtection="1"/>
    <xf numFmtId="170" fontId="232" fillId="87" borderId="0" xfId="32" applyNumberFormat="1" applyFont="1" applyFill="1" applyBorder="1" applyProtection="1"/>
    <xf numFmtId="185" fontId="63" fillId="87" borderId="246" xfId="111" applyNumberFormat="1" applyFont="1" applyFill="1" applyBorder="1" applyProtection="1"/>
    <xf numFmtId="259" fontId="67" fillId="0" borderId="0" xfId="52" applyNumberFormat="1" applyFont="1" applyFill="1" applyBorder="1" applyAlignment="1" applyProtection="1">
      <alignment horizontal="right"/>
    </xf>
    <xf numFmtId="254" fontId="237" fillId="0" borderId="0" xfId="52" applyNumberFormat="1" applyFont="1" applyFill="1" applyBorder="1" applyAlignment="1" applyProtection="1">
      <alignment horizontal="right"/>
    </xf>
    <xf numFmtId="1" fontId="63" fillId="87" borderId="0" xfId="111" applyNumberFormat="1" applyFont="1" applyFill="1" applyBorder="1" applyProtection="1"/>
    <xf numFmtId="170" fontId="63" fillId="0" borderId="0" xfId="32" applyNumberFormat="1" applyFont="1" applyFill="1" applyBorder="1" applyProtection="1"/>
    <xf numFmtId="170" fontId="63" fillId="0" borderId="174" xfId="32" applyNumberFormat="1" applyFont="1" applyFill="1" applyBorder="1" applyProtection="1"/>
    <xf numFmtId="170" fontId="63" fillId="0" borderId="246" xfId="32" applyNumberFormat="1" applyFont="1" applyFill="1" applyBorder="1" applyProtection="1"/>
    <xf numFmtId="170" fontId="63" fillId="25" borderId="0" xfId="32" applyNumberFormat="1" applyFont="1" applyFill="1" applyBorder="1" applyProtection="1"/>
    <xf numFmtId="242" fontId="246" fillId="0" borderId="0" xfId="111" applyNumberFormat="1" applyFont="1" applyFill="1" applyBorder="1" applyProtection="1"/>
    <xf numFmtId="242" fontId="246" fillId="0" borderId="174" xfId="111" applyNumberFormat="1" applyFont="1" applyFill="1" applyBorder="1" applyProtection="1"/>
    <xf numFmtId="248" fontId="237" fillId="0" borderId="0" xfId="111" applyNumberFormat="1" applyFont="1" applyFill="1" applyBorder="1" applyProtection="1"/>
    <xf numFmtId="248" fontId="237" fillId="25" borderId="0" xfId="111" applyNumberFormat="1" applyFont="1" applyFill="1" applyBorder="1" applyProtection="1"/>
    <xf numFmtId="185" fontId="237" fillId="0" borderId="0" xfId="111" applyNumberFormat="1" applyFont="1" applyFill="1" applyBorder="1" applyProtection="1"/>
    <xf numFmtId="165" fontId="44" fillId="0" borderId="234" xfId="104" applyNumberFormat="1" applyFont="1" applyBorder="1" applyAlignment="1">
      <alignment horizontal="left" indent="2"/>
    </xf>
    <xf numFmtId="242" fontId="44" fillId="25" borderId="182" xfId="104" applyNumberFormat="1" applyFont="1" applyFill="1" applyBorder="1" applyAlignment="1">
      <alignment horizontal="right"/>
    </xf>
    <xf numFmtId="242" fontId="44" fillId="25" borderId="0" xfId="104" applyNumberFormat="1" applyFont="1" applyFill="1" applyAlignment="1">
      <alignment horizontal="right"/>
    </xf>
    <xf numFmtId="242" fontId="44" fillId="25" borderId="174" xfId="104" applyNumberFormat="1" applyFont="1" applyFill="1" applyBorder="1" applyAlignment="1">
      <alignment horizontal="right"/>
    </xf>
    <xf numFmtId="242" fontId="44" fillId="0" borderId="0" xfId="104" applyNumberFormat="1" applyFont="1" applyAlignment="1">
      <alignment horizontal="right"/>
    </xf>
    <xf numFmtId="242" fontId="44" fillId="0" borderId="174" xfId="104" applyNumberFormat="1" applyFont="1" applyBorder="1" applyAlignment="1">
      <alignment horizontal="right"/>
    </xf>
    <xf numFmtId="242" fontId="44" fillId="0" borderId="246" xfId="104" applyNumberFormat="1" applyFont="1" applyBorder="1" applyAlignment="1">
      <alignment horizontal="right"/>
    </xf>
    <xf numFmtId="242" fontId="55" fillId="0" borderId="174" xfId="104" applyNumberFormat="1" applyFont="1" applyBorder="1" applyAlignment="1">
      <alignment horizontal="right"/>
    </xf>
    <xf numFmtId="242" fontId="55" fillId="0" borderId="0" xfId="104" applyNumberFormat="1" applyFont="1" applyAlignment="1">
      <alignment horizontal="right"/>
    </xf>
    <xf numFmtId="242" fontId="44" fillId="0" borderId="181" xfId="104" applyNumberFormat="1" applyFont="1" applyBorder="1" applyAlignment="1">
      <alignment horizontal="right"/>
    </xf>
    <xf numFmtId="242" fontId="44" fillId="0" borderId="242" xfId="104" applyNumberFormat="1" applyFont="1" applyBorder="1" applyAlignment="1">
      <alignment horizontal="right"/>
    </xf>
    <xf numFmtId="167" fontId="44" fillId="0" borderId="173" xfId="104" applyNumberFormat="1" applyFont="1" applyBorder="1"/>
    <xf numFmtId="165" fontId="44" fillId="25" borderId="181" xfId="104" applyNumberFormat="1" applyFont="1" applyFill="1" applyBorder="1" applyAlignment="1">
      <alignment horizontal="right"/>
    </xf>
    <xf numFmtId="165" fontId="44" fillId="0" borderId="181" xfId="104" applyNumberFormat="1" applyFont="1" applyBorder="1" applyAlignment="1">
      <alignment horizontal="right"/>
    </xf>
    <xf numFmtId="9" fontId="44" fillId="0" borderId="0" xfId="121" applyFont="1" applyFill="1" applyBorder="1" applyProtection="1"/>
    <xf numFmtId="9" fontId="44" fillId="0" borderId="174" xfId="121" applyFont="1" applyFill="1" applyBorder="1" applyProtection="1"/>
    <xf numFmtId="9" fontId="44" fillId="25" borderId="0" xfId="121" applyFont="1" applyFill="1" applyBorder="1" applyProtection="1"/>
    <xf numFmtId="242" fontId="44" fillId="0" borderId="184" xfId="104" applyNumberFormat="1" applyFont="1" applyBorder="1"/>
    <xf numFmtId="242" fontId="44" fillId="25" borderId="184" xfId="104" applyNumberFormat="1" applyFont="1" applyFill="1" applyBorder="1"/>
    <xf numFmtId="242" fontId="44" fillId="25" borderId="183" xfId="104" applyNumberFormat="1" applyFont="1" applyFill="1" applyBorder="1"/>
    <xf numFmtId="242" fontId="44" fillId="25" borderId="242" xfId="104" applyNumberFormat="1" applyFont="1" applyFill="1" applyBorder="1"/>
    <xf numFmtId="185" fontId="63" fillId="0" borderId="0" xfId="111" applyNumberFormat="1" applyFont="1" applyFill="1" applyBorder="1" applyProtection="1"/>
    <xf numFmtId="185" fontId="63" fillId="0" borderId="174" xfId="111" applyNumberFormat="1" applyFont="1" applyFill="1" applyBorder="1" applyProtection="1"/>
    <xf numFmtId="185" fontId="63" fillId="0" borderId="246" xfId="111" applyNumberFormat="1" applyFont="1" applyFill="1" applyBorder="1" applyProtection="1"/>
    <xf numFmtId="170" fontId="63" fillId="0" borderId="0" xfId="111" applyNumberFormat="1" applyFont="1" applyFill="1" applyBorder="1" applyProtection="1"/>
    <xf numFmtId="185" fontId="244" fillId="0" borderId="181" xfId="105" applyNumberFormat="1" applyFont="1" applyBorder="1"/>
    <xf numFmtId="185" fontId="244" fillId="0" borderId="242" xfId="105" applyNumberFormat="1" applyFont="1" applyBorder="1"/>
    <xf numFmtId="255" fontId="244" fillId="25" borderId="0" xfId="111" applyNumberFormat="1" applyFont="1" applyFill="1" applyBorder="1" applyProtection="1"/>
    <xf numFmtId="255" fontId="244" fillId="0" borderId="0" xfId="111" applyNumberFormat="1" applyFont="1" applyFill="1" applyBorder="1" applyProtection="1"/>
    <xf numFmtId="255" fontId="244" fillId="25" borderId="174" xfId="111" applyNumberFormat="1" applyFont="1" applyFill="1" applyBorder="1" applyProtection="1"/>
    <xf numFmtId="165" fontId="168" fillId="0" borderId="243" xfId="104" applyNumberFormat="1" applyFont="1" applyBorder="1" applyAlignment="1">
      <alignment horizontal="left"/>
    </xf>
    <xf numFmtId="165" fontId="245" fillId="0" borderId="234" xfId="104" applyNumberFormat="1" applyFont="1" applyBorder="1" applyAlignment="1">
      <alignment horizontal="left"/>
    </xf>
    <xf numFmtId="165" fontId="208" fillId="0" borderId="259" xfId="104" applyNumberFormat="1" applyFont="1" applyBorder="1" applyAlignment="1">
      <alignment horizontal="right"/>
    </xf>
    <xf numFmtId="185" fontId="247" fillId="0" borderId="174" xfId="111" applyNumberFormat="1" applyFont="1" applyFill="1" applyBorder="1" applyProtection="1"/>
    <xf numFmtId="185" fontId="247" fillId="0" borderId="0" xfId="111" applyNumberFormat="1" applyFont="1" applyFill="1" applyBorder="1" applyProtection="1"/>
    <xf numFmtId="165" fontId="168" fillId="0" borderId="243" xfId="104" applyNumberFormat="1" applyFont="1" applyBorder="1" applyAlignment="1">
      <alignment horizontal="left" indent="1"/>
    </xf>
    <xf numFmtId="167" fontId="9" fillId="25" borderId="174" xfId="52" applyNumberFormat="1" applyFill="1" applyBorder="1" applyAlignment="1" applyProtection="1"/>
    <xf numFmtId="241" fontId="44" fillId="25" borderId="29" xfId="105" applyNumberFormat="1" applyFont="1" applyFill="1" applyBorder="1"/>
    <xf numFmtId="0" fontId="71" fillId="0" borderId="234" xfId="178" applyFont="1" applyBorder="1" applyAlignment="1">
      <alignment horizontal="left" indent="3"/>
    </xf>
    <xf numFmtId="242" fontId="168" fillId="0" borderId="245" xfId="104" applyNumberFormat="1" applyFont="1" applyBorder="1"/>
    <xf numFmtId="0" fontId="71" fillId="0" borderId="234" xfId="178" applyFont="1" applyBorder="1" applyAlignment="1">
      <alignment horizontal="left" indent="5"/>
    </xf>
    <xf numFmtId="165" fontId="168" fillId="0" borderId="234" xfId="104" applyNumberFormat="1" applyFont="1" applyBorder="1" applyAlignment="1">
      <alignment horizontal="left" indent="6"/>
    </xf>
    <xf numFmtId="0" fontId="71" fillId="83" borderId="234" xfId="178" applyFont="1" applyFill="1" applyBorder="1" applyAlignment="1">
      <alignment horizontal="left"/>
    </xf>
    <xf numFmtId="248" fontId="71" fillId="83" borderId="0" xfId="111" applyNumberFormat="1" applyFont="1" applyFill="1" applyBorder="1" applyProtection="1"/>
    <xf numFmtId="248" fontId="71" fillId="83" borderId="174" xfId="111" applyNumberFormat="1" applyFont="1" applyFill="1" applyBorder="1" applyProtection="1"/>
    <xf numFmtId="170" fontId="30" fillId="83" borderId="0" xfId="32" applyNumberFormat="1" applyFont="1" applyFill="1" applyBorder="1" applyProtection="1"/>
    <xf numFmtId="170" fontId="30" fillId="83" borderId="174" xfId="32" applyNumberFormat="1" applyFont="1" applyFill="1" applyBorder="1" applyProtection="1"/>
    <xf numFmtId="185" fontId="71" fillId="83" borderId="0" xfId="111" applyNumberFormat="1" applyFont="1" applyFill="1" applyBorder="1" applyProtection="1"/>
    <xf numFmtId="170" fontId="30" fillId="83" borderId="246" xfId="32" applyNumberFormat="1" applyFont="1" applyFill="1" applyBorder="1" applyProtection="1"/>
    <xf numFmtId="185" fontId="71" fillId="83" borderId="174" xfId="111" applyNumberFormat="1" applyFont="1" applyFill="1" applyBorder="1" applyProtection="1"/>
    <xf numFmtId="185" fontId="71" fillId="83" borderId="181" xfId="105" applyNumberFormat="1" applyFont="1" applyFill="1" applyBorder="1"/>
    <xf numFmtId="185" fontId="71" fillId="83" borderId="242" xfId="105" applyNumberFormat="1" applyFont="1" applyFill="1" applyBorder="1"/>
    <xf numFmtId="0" fontId="181" fillId="88" borderId="234" xfId="104" applyFont="1" applyFill="1" applyBorder="1"/>
    <xf numFmtId="236" fontId="44" fillId="88" borderId="0" xfId="105" applyNumberFormat="1" applyFont="1" applyFill="1"/>
    <xf numFmtId="167" fontId="44" fillId="88" borderId="0" xfId="104" applyNumberFormat="1" applyFont="1" applyFill="1" applyAlignment="1">
      <alignment horizontal="right"/>
    </xf>
    <xf numFmtId="167" fontId="44" fillId="88" borderId="174" xfId="104" applyNumberFormat="1" applyFont="1" applyFill="1" applyBorder="1" applyAlignment="1">
      <alignment horizontal="right"/>
    </xf>
    <xf numFmtId="236" fontId="44" fillId="88" borderId="182" xfId="105" applyNumberFormat="1" applyFont="1" applyFill="1" applyBorder="1"/>
    <xf numFmtId="43" fontId="44" fillId="88" borderId="0" xfId="119" applyFont="1" applyFill="1" applyBorder="1" applyAlignment="1">
      <alignment horizontal="right"/>
    </xf>
    <xf numFmtId="167" fontId="44" fillId="88" borderId="183" xfId="104" applyNumberFormat="1" applyFont="1" applyFill="1" applyBorder="1" applyAlignment="1">
      <alignment horizontal="right"/>
    </xf>
    <xf numFmtId="167" fontId="44" fillId="88" borderId="246" xfId="104" applyNumberFormat="1" applyFont="1" applyFill="1" applyBorder="1" applyAlignment="1">
      <alignment horizontal="right"/>
    </xf>
    <xf numFmtId="167" fontId="44" fillId="88" borderId="184" xfId="104" applyNumberFormat="1" applyFont="1" applyFill="1" applyBorder="1"/>
    <xf numFmtId="167" fontId="44" fillId="88" borderId="242" xfId="104" applyNumberFormat="1" applyFont="1" applyFill="1" applyBorder="1"/>
    <xf numFmtId="236" fontId="71" fillId="83" borderId="181" xfId="105" applyNumberFormat="1" applyFont="1" applyFill="1" applyBorder="1"/>
    <xf numFmtId="167" fontId="44" fillId="25" borderId="251" xfId="121" applyNumberFormat="1" applyFont="1" applyFill="1" applyBorder="1"/>
    <xf numFmtId="167" fontId="44" fillId="25" borderId="240" xfId="121" applyNumberFormat="1" applyFont="1" applyFill="1" applyBorder="1"/>
    <xf numFmtId="167" fontId="44" fillId="25" borderId="147" xfId="121" applyNumberFormat="1" applyFont="1" applyFill="1" applyBorder="1"/>
    <xf numFmtId="254" fontId="237" fillId="0" borderId="174" xfId="52" applyNumberFormat="1" applyFont="1" applyFill="1" applyBorder="1" applyAlignment="1" applyProtection="1">
      <alignment horizontal="right"/>
    </xf>
    <xf numFmtId="185" fontId="55" fillId="25" borderId="0" xfId="105" applyNumberFormat="1" applyFont="1" applyFill="1"/>
    <xf numFmtId="185" fontId="55" fillId="25" borderId="173" xfId="105" applyNumberFormat="1" applyFont="1" applyFill="1" applyBorder="1"/>
    <xf numFmtId="165" fontId="44" fillId="25" borderId="243" xfId="105" applyNumberFormat="1" applyFont="1" applyFill="1" applyBorder="1" applyAlignment="1">
      <alignment horizontal="right"/>
    </xf>
    <xf numFmtId="165" fontId="44" fillId="25" borderId="251" xfId="105" applyNumberFormat="1" applyFont="1" applyFill="1" applyBorder="1" applyAlignment="1">
      <alignment horizontal="right"/>
    </xf>
    <xf numFmtId="165" fontId="44" fillId="25" borderId="258" xfId="105" applyNumberFormat="1" applyFont="1" applyFill="1" applyBorder="1" applyAlignment="1">
      <alignment horizontal="right"/>
    </xf>
    <xf numFmtId="167" fontId="49" fillId="25" borderId="0" xfId="52" applyNumberFormat="1" applyFont="1" applyFill="1" applyBorder="1" applyAlignment="1" applyProtection="1"/>
    <xf numFmtId="167" fontId="248" fillId="26" borderId="243" xfId="52" applyNumberFormat="1" applyFont="1" applyFill="1" applyBorder="1" applyAlignment="1" applyProtection="1"/>
    <xf numFmtId="242" fontId="44" fillId="0" borderId="182" xfId="104" applyNumberFormat="1" applyFont="1" applyBorder="1" applyAlignment="1">
      <alignment horizontal="right"/>
    </xf>
    <xf numFmtId="165" fontId="44" fillId="0" borderId="182" xfId="104" applyNumberFormat="1" applyFont="1" applyBorder="1" applyAlignment="1">
      <alignment horizontal="right"/>
    </xf>
    <xf numFmtId="165" fontId="44" fillId="0" borderId="174" xfId="104" applyNumberFormat="1" applyFont="1" applyBorder="1" applyAlignment="1">
      <alignment horizontal="right"/>
    </xf>
    <xf numFmtId="165" fontId="210" fillId="0" borderId="0" xfId="104" applyNumberFormat="1" applyFont="1" applyAlignment="1">
      <alignment horizontal="right"/>
    </xf>
    <xf numFmtId="165" fontId="44" fillId="0" borderId="242" xfId="104" applyNumberFormat="1" applyFont="1" applyBorder="1" applyAlignment="1">
      <alignment horizontal="right"/>
    </xf>
    <xf numFmtId="165" fontId="221" fillId="0" borderId="0" xfId="104" applyNumberFormat="1" applyFont="1" applyAlignment="1">
      <alignment horizontal="right"/>
    </xf>
    <xf numFmtId="165" fontId="210" fillId="0" borderId="224" xfId="104" applyNumberFormat="1" applyFont="1" applyBorder="1" applyAlignment="1">
      <alignment horizontal="right"/>
    </xf>
    <xf numFmtId="165" fontId="44" fillId="25" borderId="242" xfId="104" applyNumberFormat="1" applyFont="1" applyFill="1" applyBorder="1" applyAlignment="1">
      <alignment horizontal="right"/>
    </xf>
    <xf numFmtId="255" fontId="44" fillId="0" borderId="0" xfId="52" applyNumberFormat="1" applyFont="1" applyFill="1" applyBorder="1" applyAlignment="1" applyProtection="1">
      <alignment horizontal="right"/>
    </xf>
    <xf numFmtId="255" fontId="44" fillId="0" borderId="174" xfId="52" applyNumberFormat="1" applyFont="1" applyFill="1" applyBorder="1" applyAlignment="1" applyProtection="1">
      <alignment horizontal="right"/>
    </xf>
    <xf numFmtId="255" fontId="44" fillId="0" borderId="0" xfId="105" applyNumberFormat="1" applyFont="1" applyAlignment="1">
      <alignment horizontal="right"/>
    </xf>
    <xf numFmtId="255" fontId="44" fillId="0" borderId="174" xfId="105" applyNumberFormat="1" applyFont="1" applyBorder="1" applyAlignment="1">
      <alignment horizontal="right"/>
    </xf>
    <xf numFmtId="165" fontId="44" fillId="0" borderId="234" xfId="104" applyNumberFormat="1" applyFont="1" applyBorder="1" applyAlignment="1">
      <alignment horizontal="left"/>
    </xf>
    <xf numFmtId="9" fontId="168" fillId="25" borderId="181" xfId="52" applyFont="1" applyFill="1" applyBorder="1" applyAlignment="1" applyProtection="1">
      <alignment horizontal="left" indent="1"/>
    </xf>
    <xf numFmtId="9" fontId="168" fillId="25" borderId="0" xfId="52" applyFont="1" applyFill="1" applyBorder="1" applyAlignment="1" applyProtection="1"/>
    <xf numFmtId="9" fontId="168" fillId="25" borderId="174" xfId="52" applyFont="1" applyFill="1" applyBorder="1" applyAlignment="1" applyProtection="1"/>
    <xf numFmtId="9" fontId="168" fillId="25" borderId="179" xfId="52" applyFont="1" applyFill="1" applyBorder="1" applyAlignment="1" applyProtection="1"/>
    <xf numFmtId="9" fontId="198" fillId="25" borderId="0" xfId="52" applyFont="1" applyFill="1" applyBorder="1" applyAlignment="1" applyProtection="1"/>
    <xf numFmtId="9" fontId="198" fillId="25" borderId="174" xfId="52" applyFont="1" applyFill="1" applyBorder="1" applyAlignment="1" applyProtection="1"/>
    <xf numFmtId="9" fontId="168" fillId="0" borderId="0" xfId="52" applyFont="1" applyFill="1" applyBorder="1" applyAlignment="1" applyProtection="1"/>
    <xf numFmtId="9" fontId="168" fillId="25" borderId="185" xfId="52" applyFont="1" applyFill="1" applyBorder="1" applyAlignment="1" applyProtection="1"/>
    <xf numFmtId="9" fontId="168" fillId="25" borderId="148" xfId="52" applyFont="1" applyFill="1" applyBorder="1" applyAlignment="1" applyProtection="1"/>
    <xf numFmtId="9" fontId="224" fillId="0" borderId="0" xfId="52" applyFont="1" applyFill="1" applyBorder="1" applyAlignment="1"/>
    <xf numFmtId="238" fontId="182" fillId="25" borderId="0" xfId="105" applyNumberFormat="1" applyFont="1" applyFill="1"/>
    <xf numFmtId="9" fontId="168" fillId="0" borderId="0" xfId="52" applyFont="1" applyFill="1" applyBorder="1" applyAlignment="1"/>
    <xf numFmtId="9" fontId="44" fillId="25" borderId="0" xfId="52" applyFont="1" applyFill="1" applyBorder="1" applyAlignment="1" applyProtection="1"/>
    <xf numFmtId="9" fontId="44" fillId="25" borderId="174" xfId="52" applyFont="1" applyFill="1" applyBorder="1" applyAlignment="1" applyProtection="1"/>
    <xf numFmtId="39" fontId="216" fillId="25" borderId="174" xfId="52" applyNumberFormat="1" applyFont="1" applyFill="1" applyBorder="1" applyAlignment="1" applyProtection="1"/>
    <xf numFmtId="184" fontId="216" fillId="0" borderId="0" xfId="105" applyNumberFormat="1" applyFont="1"/>
    <xf numFmtId="184" fontId="44" fillId="0" borderId="0" xfId="105" applyNumberFormat="1" applyFont="1"/>
    <xf numFmtId="171" fontId="55" fillId="25" borderId="0" xfId="105" applyNumberFormat="1" applyFont="1" applyFill="1"/>
    <xf numFmtId="171" fontId="55" fillId="25" borderId="174" xfId="105" applyNumberFormat="1" applyFont="1" applyFill="1" applyBorder="1"/>
    <xf numFmtId="171" fontId="55" fillId="25" borderId="179" xfId="105" applyNumberFormat="1" applyFont="1" applyFill="1" applyBorder="1"/>
    <xf numFmtId="171" fontId="55" fillId="0" borderId="0" xfId="105" applyNumberFormat="1" applyFont="1"/>
    <xf numFmtId="171" fontId="55" fillId="0" borderId="174" xfId="105" applyNumberFormat="1" applyFont="1" applyBorder="1"/>
    <xf numFmtId="172" fontId="55" fillId="0" borderId="0" xfId="105" applyNumberFormat="1" applyFont="1"/>
    <xf numFmtId="172" fontId="55" fillId="0" borderId="174" xfId="105" applyNumberFormat="1" applyFont="1" applyBorder="1"/>
    <xf numFmtId="172" fontId="55" fillId="25" borderId="174" xfId="105" applyNumberFormat="1" applyFont="1" applyFill="1" applyBorder="1"/>
    <xf numFmtId="172" fontId="55" fillId="25" borderId="0" xfId="105" applyNumberFormat="1" applyFont="1" applyFill="1"/>
    <xf numFmtId="236" fontId="55" fillId="25" borderId="182" xfId="105" applyNumberFormat="1" applyFont="1" applyFill="1" applyBorder="1"/>
    <xf numFmtId="236" fontId="55" fillId="25" borderId="0" xfId="105" applyNumberFormat="1" applyFont="1" applyFill="1"/>
    <xf numFmtId="236" fontId="55" fillId="25" borderId="174" xfId="105" applyNumberFormat="1" applyFont="1" applyFill="1" applyBorder="1"/>
    <xf numFmtId="236" fontId="55" fillId="0" borderId="174" xfId="105" applyNumberFormat="1" applyFont="1" applyBorder="1"/>
    <xf numFmtId="236" fontId="55" fillId="0" borderId="182" xfId="105" applyNumberFormat="1" applyFont="1" applyBorder="1"/>
    <xf numFmtId="236" fontId="55" fillId="25" borderId="179" xfId="105" applyNumberFormat="1" applyFont="1" applyFill="1" applyBorder="1"/>
    <xf numFmtId="236" fontId="55" fillId="0" borderId="179" xfId="105" applyNumberFormat="1" applyFont="1" applyBorder="1"/>
    <xf numFmtId="185" fontId="65" fillId="25" borderId="0" xfId="105" applyNumberFormat="1" applyFont="1" applyFill="1"/>
    <xf numFmtId="185" fontId="65" fillId="25" borderId="174" xfId="105" applyNumberFormat="1" applyFont="1" applyFill="1" applyBorder="1"/>
    <xf numFmtId="185" fontId="65" fillId="25" borderId="179" xfId="105" applyNumberFormat="1" applyFont="1" applyFill="1" applyBorder="1"/>
    <xf numFmtId="185" fontId="205" fillId="25" borderId="0" xfId="105" applyNumberFormat="1" applyFont="1" applyFill="1"/>
    <xf numFmtId="185" fontId="205" fillId="25" borderId="174" xfId="105" applyNumberFormat="1" applyFont="1" applyFill="1" applyBorder="1"/>
    <xf numFmtId="185" fontId="205" fillId="25" borderId="179" xfId="105" applyNumberFormat="1" applyFont="1" applyFill="1" applyBorder="1"/>
    <xf numFmtId="185" fontId="205" fillId="0" borderId="0" xfId="105" applyNumberFormat="1" applyFont="1"/>
    <xf numFmtId="171" fontId="63" fillId="25" borderId="0" xfId="105" applyNumberFormat="1" applyFont="1" applyFill="1"/>
    <xf numFmtId="171" fontId="63" fillId="25" borderId="174" xfId="105" applyNumberFormat="1" applyFont="1" applyFill="1" applyBorder="1"/>
    <xf numFmtId="171" fontId="63" fillId="25" borderId="179" xfId="105" applyNumberFormat="1" applyFont="1" applyFill="1" applyBorder="1"/>
    <xf numFmtId="171" fontId="63" fillId="0" borderId="0" xfId="105" applyNumberFormat="1" applyFont="1"/>
    <xf numFmtId="171" fontId="63" fillId="0" borderId="174" xfId="105" applyNumberFormat="1" applyFont="1" applyBorder="1"/>
    <xf numFmtId="43" fontId="55" fillId="25" borderId="174" xfId="105" applyNumberFormat="1" applyFont="1" applyFill="1" applyBorder="1"/>
    <xf numFmtId="0" fontId="29" fillId="0" borderId="260" xfId="105" applyFont="1" applyBorder="1"/>
    <xf numFmtId="236" fontId="44" fillId="25" borderId="260" xfId="105" applyNumberFormat="1" applyFont="1" applyFill="1" applyBorder="1"/>
    <xf numFmtId="171" fontId="55" fillId="25" borderId="246" xfId="105" applyNumberFormat="1" applyFont="1" applyFill="1" applyBorder="1"/>
    <xf numFmtId="170" fontId="168" fillId="25" borderId="174" xfId="119" applyNumberFormat="1" applyFont="1" applyFill="1" applyBorder="1" applyAlignment="1" applyProtection="1"/>
    <xf numFmtId="0" fontId="44" fillId="25" borderId="239" xfId="105" applyFont="1" applyFill="1" applyBorder="1" applyAlignment="1">
      <alignment horizontal="left" indent="1"/>
    </xf>
    <xf numFmtId="0" fontId="29" fillId="0" borderId="185" xfId="105" applyFont="1" applyBorder="1"/>
    <xf numFmtId="170" fontId="44" fillId="0" borderId="183" xfId="105" applyNumberFormat="1" applyFont="1" applyBorder="1"/>
    <xf numFmtId="170" fontId="44" fillId="0" borderId="29" xfId="105" applyNumberFormat="1" applyFont="1" applyBorder="1"/>
    <xf numFmtId="170" fontId="44" fillId="0" borderId="0" xfId="105" applyNumberFormat="1" applyFont="1"/>
    <xf numFmtId="170" fontId="44" fillId="0" borderId="174" xfId="105" applyNumberFormat="1" applyFont="1" applyBorder="1"/>
    <xf numFmtId="9" fontId="168" fillId="0" borderId="174" xfId="52" applyFont="1" applyFill="1" applyBorder="1" applyAlignment="1" applyProtection="1"/>
    <xf numFmtId="230" fontId="44" fillId="0" borderId="174" xfId="105" applyNumberFormat="1" applyFont="1" applyBorder="1"/>
    <xf numFmtId="170" fontId="168" fillId="0" borderId="182" xfId="119" applyNumberFormat="1" applyFont="1" applyFill="1" applyBorder="1" applyAlignment="1" applyProtection="1"/>
    <xf numFmtId="170" fontId="168" fillId="0" borderId="0" xfId="119" applyNumberFormat="1" applyFont="1" applyFill="1" applyBorder="1" applyAlignment="1" applyProtection="1"/>
    <xf numFmtId="170" fontId="168" fillId="0" borderId="29" xfId="119" applyNumberFormat="1" applyFont="1" applyFill="1" applyBorder="1" applyAlignment="1" applyProtection="1"/>
    <xf numFmtId="170" fontId="71" fillId="0" borderId="182" xfId="105" applyNumberFormat="1" applyFont="1" applyBorder="1"/>
    <xf numFmtId="170" fontId="71" fillId="0" borderId="0" xfId="105" applyNumberFormat="1" applyFont="1"/>
    <xf numFmtId="170" fontId="71" fillId="0" borderId="29" xfId="105" applyNumberFormat="1" applyFont="1" applyBorder="1"/>
    <xf numFmtId="170" fontId="168" fillId="0" borderId="0" xfId="105" applyNumberFormat="1" applyFont="1"/>
    <xf numFmtId="170" fontId="168" fillId="0" borderId="29" xfId="105" applyNumberFormat="1" applyFont="1" applyBorder="1"/>
    <xf numFmtId="170" fontId="71" fillId="0" borderId="0" xfId="119" applyNumberFormat="1" applyFont="1" applyFill="1" applyBorder="1" applyAlignment="1" applyProtection="1"/>
    <xf numFmtId="170" fontId="71" fillId="0" borderId="174" xfId="119" applyNumberFormat="1" applyFont="1" applyFill="1" applyBorder="1" applyAlignment="1" applyProtection="1"/>
    <xf numFmtId="170" fontId="168" fillId="0" borderId="174" xfId="119" applyNumberFormat="1" applyFont="1" applyFill="1" applyBorder="1" applyAlignment="1" applyProtection="1"/>
    <xf numFmtId="170" fontId="198" fillId="0" borderId="0" xfId="119" applyNumberFormat="1" applyFont="1" applyFill="1" applyBorder="1" applyAlignment="1" applyProtection="1"/>
    <xf numFmtId="170" fontId="168" fillId="0" borderId="174" xfId="105" applyNumberFormat="1" applyFont="1" applyBorder="1"/>
    <xf numFmtId="170" fontId="44" fillId="0" borderId="174" xfId="119" applyNumberFormat="1" applyFont="1" applyFill="1" applyBorder="1" applyAlignment="1" applyProtection="1"/>
    <xf numFmtId="184" fontId="44" fillId="0" borderId="243" xfId="105" applyNumberFormat="1" applyFont="1" applyBorder="1" applyAlignment="1">
      <alignment horizontal="left"/>
    </xf>
    <xf numFmtId="170" fontId="67" fillId="0" borderId="0" xfId="105" applyNumberFormat="1" applyFont="1"/>
    <xf numFmtId="244" fontId="44" fillId="0" borderId="174" xfId="105" applyNumberFormat="1" applyFont="1" applyBorder="1"/>
    <xf numFmtId="258" fontId="168" fillId="0" borderId="243" xfId="104" applyNumberFormat="1" applyFont="1" applyBorder="1" applyAlignment="1">
      <alignment horizontal="right"/>
    </xf>
    <xf numFmtId="258" fontId="198" fillId="0" borderId="0" xfId="105" applyNumberFormat="1" applyFont="1" applyAlignment="1">
      <alignment horizontal="right"/>
    </xf>
    <xf numFmtId="258" fontId="198" fillId="0" borderId="174" xfId="105" applyNumberFormat="1" applyFont="1" applyBorder="1" applyAlignment="1">
      <alignment horizontal="right"/>
    </xf>
    <xf numFmtId="165" fontId="44" fillId="0" borderId="27" xfId="105" applyNumberFormat="1" applyFont="1" applyBorder="1" applyAlignment="1">
      <alignment horizontal="right"/>
    </xf>
    <xf numFmtId="9" fontId="42" fillId="25" borderId="0" xfId="105" applyNumberFormat="1" applyFont="1" applyFill="1"/>
    <xf numFmtId="181" fontId="181" fillId="25" borderId="174" xfId="105" applyNumberFormat="1" applyFont="1" applyFill="1" applyBorder="1" applyAlignment="1">
      <alignment horizontal="right"/>
    </xf>
    <xf numFmtId="170" fontId="0" fillId="0" borderId="0" xfId="32" applyNumberFormat="1" applyFont="1" applyFill="1" applyBorder="1"/>
    <xf numFmtId="171" fontId="71" fillId="0" borderId="259" xfId="110" applyNumberFormat="1" applyFont="1" applyFill="1" applyBorder="1" applyProtection="1"/>
    <xf numFmtId="255" fontId="237" fillId="0" borderId="0" xfId="52" applyNumberFormat="1" applyFont="1" applyFill="1" applyBorder="1" applyAlignment="1" applyProtection="1">
      <alignment horizontal="right"/>
    </xf>
    <xf numFmtId="255" fontId="237" fillId="0" borderId="246" xfId="52" applyNumberFormat="1" applyFont="1" applyFill="1" applyBorder="1" applyAlignment="1" applyProtection="1">
      <alignment horizontal="right"/>
    </xf>
    <xf numFmtId="10" fontId="217" fillId="0" borderId="0" xfId="105" applyNumberFormat="1" applyFont="1"/>
    <xf numFmtId="1" fontId="55" fillId="25" borderId="179" xfId="105" applyNumberFormat="1" applyFont="1" applyFill="1" applyBorder="1"/>
    <xf numFmtId="1" fontId="55" fillId="25" borderId="0" xfId="105" applyNumberFormat="1" applyFont="1" applyFill="1"/>
    <xf numFmtId="1" fontId="55" fillId="25" borderId="174" xfId="105" applyNumberFormat="1" applyFont="1" applyFill="1" applyBorder="1"/>
    <xf numFmtId="1" fontId="55" fillId="0" borderId="0" xfId="105" applyNumberFormat="1" applyFont="1"/>
    <xf numFmtId="1" fontId="55" fillId="0" borderId="174" xfId="105" applyNumberFormat="1" applyFont="1" applyBorder="1"/>
    <xf numFmtId="1" fontId="63" fillId="25" borderId="149" xfId="105" applyNumberFormat="1" applyFont="1" applyFill="1" applyBorder="1"/>
    <xf numFmtId="1" fontId="63" fillId="25" borderId="137" xfId="105" applyNumberFormat="1" applyFont="1" applyFill="1" applyBorder="1"/>
    <xf numFmtId="1" fontId="63" fillId="25" borderId="147" xfId="105" applyNumberFormat="1" applyFont="1" applyFill="1" applyBorder="1"/>
    <xf numFmtId="1" fontId="63" fillId="0" borderId="137" xfId="105" applyNumberFormat="1" applyFont="1" applyBorder="1"/>
    <xf numFmtId="1" fontId="63" fillId="0" borderId="147" xfId="105" applyNumberFormat="1" applyFont="1" applyBorder="1"/>
    <xf numFmtId="1" fontId="44" fillId="25" borderId="0" xfId="111" applyNumberFormat="1" applyFont="1" applyFill="1" applyBorder="1" applyProtection="1"/>
    <xf numFmtId="1" fontId="44" fillId="25" borderId="174" xfId="111" applyNumberFormat="1" applyFont="1" applyFill="1" applyBorder="1" applyProtection="1"/>
    <xf numFmtId="242" fontId="198" fillId="25" borderId="0" xfId="111" applyNumberFormat="1" applyFont="1" applyFill="1" applyBorder="1" applyProtection="1"/>
    <xf numFmtId="242" fontId="198" fillId="25" borderId="174" xfId="111" applyNumberFormat="1" applyFont="1" applyFill="1" applyBorder="1" applyProtection="1"/>
    <xf numFmtId="242" fontId="168" fillId="25" borderId="0" xfId="111" applyNumberFormat="1" applyFont="1" applyFill="1" applyBorder="1" applyProtection="1"/>
    <xf numFmtId="242" fontId="168" fillId="25" borderId="174" xfId="111" applyNumberFormat="1" applyFont="1" applyFill="1" applyBorder="1" applyProtection="1"/>
    <xf numFmtId="0" fontId="71" fillId="71" borderId="180" xfId="105" applyFont="1" applyFill="1" applyBorder="1" applyAlignment="1">
      <alignment horizontal="center"/>
    </xf>
    <xf numFmtId="0" fontId="71" fillId="71" borderId="252" xfId="105" applyFont="1" applyFill="1" applyBorder="1" applyAlignment="1">
      <alignment horizontal="center"/>
    </xf>
    <xf numFmtId="0" fontId="71" fillId="71" borderId="253" xfId="105" applyFont="1" applyFill="1" applyBorder="1" applyAlignment="1">
      <alignment horizontal="center"/>
    </xf>
    <xf numFmtId="0" fontId="180" fillId="20" borderId="205" xfId="105" applyFont="1" applyFill="1" applyBorder="1" applyAlignment="1">
      <alignment horizontal="center"/>
    </xf>
    <xf numFmtId="0" fontId="180" fillId="20" borderId="162" xfId="105" applyFont="1" applyFill="1" applyBorder="1" applyAlignment="1">
      <alignment horizontal="center"/>
    </xf>
    <xf numFmtId="0" fontId="180" fillId="20" borderId="249" xfId="105" applyFont="1" applyFill="1" applyBorder="1" applyAlignment="1">
      <alignment horizontal="center"/>
    </xf>
    <xf numFmtId="0" fontId="180" fillId="20" borderId="178" xfId="105" applyFont="1" applyFill="1" applyBorder="1" applyAlignment="1">
      <alignment horizontal="center"/>
    </xf>
    <xf numFmtId="0" fontId="180" fillId="20" borderId="257" xfId="105" applyFont="1" applyFill="1" applyBorder="1" applyAlignment="1">
      <alignment horizontal="center"/>
    </xf>
    <xf numFmtId="0" fontId="180" fillId="20" borderId="230" xfId="105" applyFont="1" applyFill="1" applyBorder="1" applyAlignment="1">
      <alignment horizontal="center"/>
    </xf>
    <xf numFmtId="0" fontId="180" fillId="20" borderId="168" xfId="105" applyFont="1" applyFill="1" applyBorder="1" applyAlignment="1">
      <alignment horizontal="center"/>
    </xf>
    <xf numFmtId="0" fontId="180" fillId="20" borderId="169" xfId="105" applyFont="1" applyFill="1" applyBorder="1" applyAlignment="1">
      <alignment horizontal="center"/>
    </xf>
    <xf numFmtId="0" fontId="180" fillId="20" borderId="255" xfId="105" applyFont="1" applyFill="1" applyBorder="1" applyAlignment="1">
      <alignment horizontal="center"/>
    </xf>
    <xf numFmtId="0" fontId="180" fillId="20" borderId="256" xfId="105" applyFont="1" applyFill="1" applyBorder="1" applyAlignment="1">
      <alignment horizontal="center"/>
    </xf>
    <xf numFmtId="0" fontId="180" fillId="20" borderId="198" xfId="105" applyFont="1" applyFill="1" applyBorder="1" applyAlignment="1">
      <alignment horizontal="center"/>
    </xf>
    <xf numFmtId="0" fontId="180" fillId="20" borderId="192" xfId="105" applyFont="1" applyFill="1" applyBorder="1" applyAlignment="1">
      <alignment horizontal="center"/>
    </xf>
    <xf numFmtId="0" fontId="180" fillId="20" borderId="28" xfId="105" applyFont="1" applyFill="1" applyBorder="1" applyAlignment="1">
      <alignment horizontal="center"/>
    </xf>
    <xf numFmtId="0" fontId="180" fillId="20" borderId="190" xfId="105" applyFont="1" applyFill="1" applyBorder="1" applyAlignment="1">
      <alignment horizontal="center"/>
    </xf>
    <xf numFmtId="0" fontId="180" fillId="20" borderId="199" xfId="105" applyFont="1" applyFill="1" applyBorder="1" applyAlignment="1">
      <alignment horizontal="center"/>
    </xf>
    <xf numFmtId="0" fontId="180" fillId="20" borderId="197" xfId="105" applyFont="1" applyFill="1" applyBorder="1" applyAlignment="1">
      <alignment horizontal="center"/>
    </xf>
    <xf numFmtId="0" fontId="180" fillId="20" borderId="206" xfId="105" applyFont="1" applyFill="1" applyBorder="1" applyAlignment="1">
      <alignment horizontal="center"/>
    </xf>
    <xf numFmtId="0" fontId="180" fillId="20" borderId="220" xfId="105" applyFont="1" applyFill="1" applyBorder="1" applyAlignment="1">
      <alignment horizontal="center"/>
    </xf>
    <xf numFmtId="0" fontId="180" fillId="20" borderId="219" xfId="105" applyFont="1" applyFill="1" applyBorder="1" applyAlignment="1">
      <alignment horizontal="center"/>
    </xf>
    <xf numFmtId="0" fontId="180" fillId="20" borderId="166" xfId="105" applyFont="1" applyFill="1" applyBorder="1" applyAlignment="1">
      <alignment horizontal="center"/>
    </xf>
    <xf numFmtId="0" fontId="180" fillId="20" borderId="165" xfId="105" applyFont="1" applyFill="1" applyBorder="1" applyAlignment="1">
      <alignment horizontal="center"/>
    </xf>
    <xf numFmtId="0" fontId="180" fillId="20" borderId="176" xfId="105" applyFont="1" applyFill="1" applyBorder="1" applyAlignment="1">
      <alignment horizontal="center"/>
    </xf>
    <xf numFmtId="0" fontId="180" fillId="20" borderId="167" xfId="105" applyFont="1" applyFill="1" applyBorder="1" applyAlignment="1">
      <alignment horizontal="center"/>
    </xf>
    <xf numFmtId="0" fontId="180" fillId="20" borderId="175" xfId="105" applyFont="1" applyFill="1" applyBorder="1" applyAlignment="1">
      <alignment horizontal="center"/>
    </xf>
    <xf numFmtId="0" fontId="160" fillId="30" borderId="24" xfId="105" applyFont="1" applyFill="1" applyBorder="1" applyAlignment="1">
      <alignment horizontal="center"/>
    </xf>
    <xf numFmtId="0" fontId="160" fillId="30" borderId="25" xfId="105" applyFont="1" applyFill="1" applyBorder="1" applyAlignment="1">
      <alignment horizontal="center"/>
    </xf>
    <xf numFmtId="0" fontId="160" fillId="30" borderId="151" xfId="105" applyFont="1" applyFill="1" applyBorder="1" applyAlignment="1">
      <alignment horizontal="center"/>
    </xf>
    <xf numFmtId="0" fontId="29" fillId="30" borderId="21" xfId="46" applyFont="1" applyFill="1" applyBorder="1" applyAlignment="1">
      <alignment horizontal="left"/>
    </xf>
    <xf numFmtId="0" fontId="29" fillId="30" borderId="17" xfId="46" applyFont="1" applyFill="1" applyBorder="1" applyAlignment="1">
      <alignment horizontal="left"/>
    </xf>
    <xf numFmtId="0" fontId="29" fillId="30" borderId="19" xfId="46" applyFont="1" applyFill="1" applyBorder="1" applyAlignment="1">
      <alignment horizontal="left"/>
    </xf>
    <xf numFmtId="0" fontId="29" fillId="30" borderId="20" xfId="46" applyFont="1" applyFill="1" applyBorder="1" applyAlignment="1">
      <alignment horizontal="left"/>
    </xf>
  </cellXfs>
  <cellStyles count="3385">
    <cellStyle name="$" xfId="352" xr:uid="{00000000-0005-0000-0000-000000000000}"/>
    <cellStyle name="$ &amp; ¢" xfId="353" xr:uid="{00000000-0005-0000-0000-000001000000}"/>
    <cellStyle name="$m" xfId="472" xr:uid="{00000000-0005-0000-0000-000002000000}"/>
    <cellStyle name="$q" xfId="473" xr:uid="{00000000-0005-0000-0000-000003000000}"/>
    <cellStyle name="$q*" xfId="474" xr:uid="{00000000-0005-0000-0000-000004000000}"/>
    <cellStyle name="$qA" xfId="475" xr:uid="{00000000-0005-0000-0000-000005000000}"/>
    <cellStyle name="$qRange" xfId="476" xr:uid="{00000000-0005-0000-0000-000006000000}"/>
    <cellStyle name="%" xfId="354" xr:uid="{00000000-0005-0000-0000-000007000000}"/>
    <cellStyle name="% 2" xfId="573" xr:uid="{00000000-0005-0000-0000-000008000000}"/>
    <cellStyle name="% 2 2" xfId="677" xr:uid="{00000000-0005-0000-0000-000009000000}"/>
    <cellStyle name="%.00" xfId="355" xr:uid="{00000000-0005-0000-0000-00000A000000}"/>
    <cellStyle name="******************************************" xfId="1" xr:uid="{00000000-0005-0000-0000-00000B000000}"/>
    <cellStyle name="****************************************** 2" xfId="61" xr:uid="{00000000-0005-0000-0000-00000C000000}"/>
    <cellStyle name="_2003AIMInformation for Reports" xfId="190" xr:uid="{00000000-0005-0000-0000-00000D000000}"/>
    <cellStyle name="_AIMP Europe Stats May 2004" xfId="191" xr:uid="{00000000-0005-0000-0000-00000E000000}"/>
    <cellStyle name="_AIMP Europe Stats May 2004 2" xfId="192" xr:uid="{00000000-0005-0000-0000-00000F000000}"/>
    <cellStyle name="_All Public cubes and views" xfId="193" xr:uid="{00000000-0005-0000-0000-000010000000}"/>
    <cellStyle name="_Analyst_Coverage_Map" xfId="194" xr:uid="{00000000-0005-0000-0000-000011000000}"/>
    <cellStyle name="_Book1" xfId="195" xr:uid="{00000000-0005-0000-0000-000012000000}"/>
    <cellStyle name="_Broadcasting&amp;Cable" xfId="196" xr:uid="{00000000-0005-0000-0000-000013000000}"/>
    <cellStyle name="_Change since preliminary  - page for decision support workbook" xfId="197" xr:uid="{00000000-0005-0000-0000-000014000000}"/>
    <cellStyle name="_CHKP" xfId="124" xr:uid="{00000000-0005-0000-0000-000015000000}"/>
    <cellStyle name="_Copy of ITGIWWDBDA02_ITGI02" xfId="198" xr:uid="{00000000-0005-0000-0000-000016000000}"/>
    <cellStyle name="_Country" xfId="199" xr:uid="{00000000-0005-0000-0000-000017000000}"/>
    <cellStyle name="_Country distribution--Reference" xfId="200" xr:uid="{00000000-0005-0000-0000-000018000000}"/>
    <cellStyle name="_DQDMS-check" xfId="201" xr:uid="{00000000-0005-0000-0000-000019000000}"/>
    <cellStyle name="_DQDMS-check 2" xfId="202" xr:uid="{00000000-0005-0000-0000-00001A000000}"/>
    <cellStyle name="_exchange rates" xfId="203" xr:uid="{00000000-0005-0000-0000-00001B000000}"/>
    <cellStyle name="_Fall 2002 IT Services Forecast Supplement" xfId="204" xr:uid="{00000000-0005-0000-0000-00001C000000}"/>
    <cellStyle name="_Fall 2002 IT Services Forecast Supplement_Japan Worstcase" xfId="205" xr:uid="{00000000-0005-0000-0000-00001D000000}"/>
    <cellStyle name="_Fall 2002 IT Services Forecast Supplement_Japan Worstcase 2" xfId="206" xr:uid="{00000000-0005-0000-0000-00001E000000}"/>
    <cellStyle name="_Forecast Enterprise Software Markets, Worldwide, 2008-2013, 3Q09 Update 10-sept-09" xfId="207" xr:uid="{00000000-0005-0000-0000-00001F000000}"/>
    <cellStyle name="_Forecast Review -Fall 2002 IT Services Nov 13" xfId="208" xr:uid="{00000000-0005-0000-0000-000020000000}"/>
    <cellStyle name="_Forecast Review -Fall 2002 IT Services Nov 13_Japan Worstcase" xfId="209" xr:uid="{00000000-0005-0000-0000-000021000000}"/>
    <cellStyle name="_Forecast Review -Fall 2002 IT Services Nov 13_Japan Worstcase 2" xfId="210" xr:uid="{00000000-0005-0000-0000-000022000000}"/>
    <cellStyle name="_forecast_enterprise_software_166478" xfId="211" xr:uid="{00000000-0005-0000-0000-000023000000}"/>
    <cellStyle name="_Google Inc_Draft_112907_OPT for MSFT" xfId="572" xr:uid="{00000000-0005-0000-0000-000024000000}"/>
    <cellStyle name="_IBMNorth America2005 YR" xfId="212" xr:uid="{00000000-0005-0000-0000-000025000000}"/>
    <cellStyle name="_Info" xfId="213" xr:uid="{00000000-0005-0000-0000-000026000000}"/>
    <cellStyle name="_Internal--Forecast Accuracy" xfId="214" xr:uid="{00000000-0005-0000-0000-000027000000}"/>
    <cellStyle name="_Internal--Market Share and Service Line Forecast" xfId="215" xr:uid="{00000000-0005-0000-0000-000028000000}"/>
    <cellStyle name="_Internal--Market Share and Vertical Forecast" xfId="216" xr:uid="{00000000-0005-0000-0000-000029000000}"/>
    <cellStyle name="_IT Databook - Pivot_Sep09" xfId="217" xr:uid="{00000000-0005-0000-0000-00002A000000}"/>
    <cellStyle name="_IT Services Forecast Decision Support--Sept 2007" xfId="218" xr:uid="{00000000-0005-0000-0000-00002B000000}"/>
    <cellStyle name="_IT Services Forecast Decision Support--Sept 2007_Japan Worstcase" xfId="219" xr:uid="{00000000-0005-0000-0000-00002C000000}"/>
    <cellStyle name="_IT Services Forecast Decision Support--Sept 2007_Japan Worstcase 2" xfId="220" xr:uid="{00000000-0005-0000-0000-00002D000000}"/>
    <cellStyle name="_ITBOWWDBDA01_ITBOWWFC" xfId="221" xr:uid="{00000000-0005-0000-0000-00002E000000}"/>
    <cellStyle name="_ITDatabook_hardware_Jun09_v1" xfId="222" xr:uid="{00000000-0005-0000-0000-00002F000000}"/>
    <cellStyle name="_ITGIWW 2008-07" xfId="223" xr:uid="{00000000-0005-0000-0000-000030000000}"/>
    <cellStyle name="_ITSTWWDBDA01_ITSTWWFC" xfId="224" xr:uid="{00000000-0005-0000-0000-000031000000}"/>
    <cellStyle name="_Japan Worstcase" xfId="225" xr:uid="{00000000-0005-0000-0000-000032000000}"/>
    <cellStyle name="_Japan Worstcase 2" xfId="226" xr:uid="{00000000-0005-0000-0000-000033000000}"/>
    <cellStyle name="_Market sizing Generic" xfId="227" xr:uid="{00000000-0005-0000-0000-000034000000}"/>
    <cellStyle name="_Pivot AIMP 2003 2 June 2004 for publication" xfId="228" xr:uid="{00000000-0005-0000-0000-000035000000}"/>
    <cellStyle name="_Pivot AIMP 2003 2 June 2004 for publication 2" xfId="229" xr:uid="{00000000-0005-0000-0000-000036000000}"/>
    <cellStyle name="_Pivot_Table_templateApril05" xfId="230" xr:uid="{00000000-0005-0000-0000-000037000000}"/>
    <cellStyle name="_prelim vs final" xfId="231" xr:uid="{00000000-0005-0000-0000-000038000000}"/>
    <cellStyle name="_Print Generic Charts Library" xfId="232" xr:uid="{00000000-0005-0000-0000-000039000000}"/>
    <cellStyle name="_Print Generic Charts Library 2" xfId="233" xr:uid="{00000000-0005-0000-0000-00003A000000}"/>
    <cellStyle name="_Printers WW" xfId="234" xr:uid="{00000000-0005-0000-0000-00003B000000}"/>
    <cellStyle name="_Rama Other Companies" xfId="235" xr:uid="{00000000-0005-0000-0000-00003C000000}"/>
    <cellStyle name="_Rama Other Companies_Japan Worstcase" xfId="236" xr:uid="{00000000-0005-0000-0000-00003D000000}"/>
    <cellStyle name="_Rama Other Companies_Japan Worstcase 2" xfId="237" xr:uid="{00000000-0005-0000-0000-00003E000000}"/>
    <cellStyle name="_RRS1" xfId="571" xr:uid="{00000000-0005-0000-0000-00003F000000}"/>
    <cellStyle name="_RRS1 2" xfId="676" xr:uid="{00000000-0005-0000-0000-000040000000}"/>
    <cellStyle name="_RRS4" xfId="570" xr:uid="{00000000-0005-0000-0000-000041000000}"/>
    <cellStyle name="_RRS4 2" xfId="675" xr:uid="{00000000-0005-0000-0000-000042000000}"/>
    <cellStyle name="_RRS5" xfId="569" xr:uid="{00000000-0005-0000-0000-000043000000}"/>
    <cellStyle name="_RRS5 2" xfId="674" xr:uid="{00000000-0005-0000-0000-000044000000}"/>
    <cellStyle name="_sftwre_Dec08" xfId="238" xr:uid="{00000000-0005-0000-0000-000045000000}"/>
    <cellStyle name="_Sheet1" xfId="239" xr:uid="{00000000-0005-0000-0000-000046000000}"/>
    <cellStyle name="_SUMMARY " xfId="568" xr:uid="{00000000-0005-0000-0000-000047000000}"/>
    <cellStyle name="_SUMMARY  2" xfId="673" xr:uid="{00000000-0005-0000-0000-000048000000}"/>
    <cellStyle name="_Survey form sample" xfId="240" xr:uid="{00000000-0005-0000-0000-000049000000}"/>
    <cellStyle name="_Telecom Constraint" xfId="241" xr:uid="{00000000-0005-0000-0000-00004A000000}"/>
    <cellStyle name="_Template Stats" xfId="242" xr:uid="{00000000-0005-0000-0000-00004B000000}"/>
    <cellStyle name="_WIP_to_published" xfId="243" xr:uid="{00000000-0005-0000-0000-00004C000000}"/>
    <cellStyle name="_Zip Stats_2004" xfId="244" xr:uid="{00000000-0005-0000-0000-00004D000000}"/>
    <cellStyle name="£ BP" xfId="356" xr:uid="{00000000-0005-0000-0000-00004E000000}"/>
    <cellStyle name="¥ JY" xfId="357" xr:uid="{00000000-0005-0000-0000-00004F000000}"/>
    <cellStyle name="=C:\WINNT35\SYSTEM32\COMMAND.COM" xfId="567" xr:uid="{00000000-0005-0000-0000-000050000000}"/>
    <cellStyle name="=C:\WINNT35\SYSTEM32\COMMAND.COM 2" xfId="672" xr:uid="{00000000-0005-0000-0000-000051000000}"/>
    <cellStyle name="•W€_GE 3 MINIMUM" xfId="359" xr:uid="{00000000-0005-0000-0000-000052000000}"/>
    <cellStyle name="•W_GE 3 MINIMUM" xfId="358" xr:uid="{00000000-0005-0000-0000-000053000000}"/>
    <cellStyle name="0,0_x000d__x000a_NA_x000d__x000a_" xfId="245" xr:uid="{00000000-0005-0000-0000-000054000000}"/>
    <cellStyle name="0,0_x000d__x000a_NA_x000d__x000a_ 2" xfId="246" xr:uid="{00000000-0005-0000-0000-000055000000}"/>
    <cellStyle name="0,0_x000d__x000a_NA_x000d__x000a__Pivot_Table_Tips" xfId="247" xr:uid="{00000000-0005-0000-0000-000056000000}"/>
    <cellStyle name="0_Capex &amp; Depreciation " xfId="566" xr:uid="{00000000-0005-0000-0000-000057000000}"/>
    <cellStyle name="0_Capex &amp; Depreciation _RRST5" xfId="565" xr:uid="{00000000-0005-0000-0000-000058000000}"/>
    <cellStyle name="0_Valuing BP " xfId="564" xr:uid="{00000000-0005-0000-0000-000059000000}"/>
    <cellStyle name="0_Valuing BP _RRST5" xfId="563" xr:uid="{00000000-0005-0000-0000-00005A000000}"/>
    <cellStyle name="1st indent" xfId="438" xr:uid="{00000000-0005-0000-0000-00005B000000}"/>
    <cellStyle name="20% - Accent1" xfId="2" builtinId="30" customBuiltin="1"/>
    <cellStyle name="20% - Accent1 2" xfId="125" xr:uid="{00000000-0005-0000-0000-00005D000000}"/>
    <cellStyle name="20% - Accent1 3" xfId="562" xr:uid="{00000000-0005-0000-0000-00005E000000}"/>
    <cellStyle name="20% - Accent2" xfId="3" builtinId="34" customBuiltin="1"/>
    <cellStyle name="20% - Accent2 2" xfId="126" xr:uid="{00000000-0005-0000-0000-000060000000}"/>
    <cellStyle name="20% - Accent2 3" xfId="561" xr:uid="{00000000-0005-0000-0000-000061000000}"/>
    <cellStyle name="20% - Accent3" xfId="4" builtinId="38" customBuiltin="1"/>
    <cellStyle name="20% - Accent3 2" xfId="127" xr:uid="{00000000-0005-0000-0000-000063000000}"/>
    <cellStyle name="20% - Accent3 3" xfId="560" xr:uid="{00000000-0005-0000-0000-000064000000}"/>
    <cellStyle name="20% - Accent4" xfId="5" builtinId="42" customBuiltin="1"/>
    <cellStyle name="20% - Accent4 2" xfId="128" xr:uid="{00000000-0005-0000-0000-000066000000}"/>
    <cellStyle name="20% - Accent4 3" xfId="559" xr:uid="{00000000-0005-0000-0000-000067000000}"/>
    <cellStyle name="20% - Accent5" xfId="6" builtinId="46" customBuiltin="1"/>
    <cellStyle name="20% - Accent5 2" xfId="129" xr:uid="{00000000-0005-0000-0000-000069000000}"/>
    <cellStyle name="20% - Accent6" xfId="7" builtinId="50" customBuiltin="1"/>
    <cellStyle name="20% - Accent6 2" xfId="130" xr:uid="{00000000-0005-0000-0000-00006B000000}"/>
    <cellStyle name="20% - Accent6 3" xfId="558" xr:uid="{00000000-0005-0000-0000-00006C000000}"/>
    <cellStyle name="2nd indent" xfId="439" xr:uid="{00000000-0005-0000-0000-00006D000000}"/>
    <cellStyle name="40% - Accent1" xfId="8" builtinId="31" customBuiltin="1"/>
    <cellStyle name="40% - Accent1 2" xfId="131" xr:uid="{00000000-0005-0000-0000-00006F000000}"/>
    <cellStyle name="40% - Accent1 3" xfId="557" xr:uid="{00000000-0005-0000-0000-000070000000}"/>
    <cellStyle name="40% - Accent2" xfId="9" builtinId="35" customBuiltin="1"/>
    <cellStyle name="40% - Accent2 2" xfId="132" xr:uid="{00000000-0005-0000-0000-000072000000}"/>
    <cellStyle name="40% - Accent3" xfId="10" builtinId="39" customBuiltin="1"/>
    <cellStyle name="40% - Accent3 2" xfId="133" xr:uid="{00000000-0005-0000-0000-000074000000}"/>
    <cellStyle name="40% - Accent3 3" xfId="556" xr:uid="{00000000-0005-0000-0000-000075000000}"/>
    <cellStyle name="40% - Accent4" xfId="11" builtinId="43" customBuiltin="1"/>
    <cellStyle name="40% - Accent4 2" xfId="134" xr:uid="{00000000-0005-0000-0000-000077000000}"/>
    <cellStyle name="40% - Accent4 3" xfId="555" xr:uid="{00000000-0005-0000-0000-000078000000}"/>
    <cellStyle name="40% - Accent5" xfId="12" builtinId="47" customBuiltin="1"/>
    <cellStyle name="40% - Accent5 2" xfId="135" xr:uid="{00000000-0005-0000-0000-00007A000000}"/>
    <cellStyle name="40% - Accent6" xfId="13" builtinId="51" customBuiltin="1"/>
    <cellStyle name="40% - Accent6 2" xfId="136" xr:uid="{00000000-0005-0000-0000-00007C000000}"/>
    <cellStyle name="40% - Accent6 3" xfId="554" xr:uid="{00000000-0005-0000-0000-00007D000000}"/>
    <cellStyle name="60% - Accent1" xfId="14" builtinId="32" customBuiltin="1"/>
    <cellStyle name="60% - Accent1 2" xfId="137" xr:uid="{00000000-0005-0000-0000-00007F000000}"/>
    <cellStyle name="60% - Accent1 3" xfId="553" xr:uid="{00000000-0005-0000-0000-000080000000}"/>
    <cellStyle name="60% - Accent2" xfId="15" builtinId="36" customBuiltin="1"/>
    <cellStyle name="60% - Accent2 2" xfId="138" xr:uid="{00000000-0005-0000-0000-000082000000}"/>
    <cellStyle name="60% - Accent3" xfId="16" builtinId="40" customBuiltin="1"/>
    <cellStyle name="60% - Accent3 2" xfId="139" xr:uid="{00000000-0005-0000-0000-000084000000}"/>
    <cellStyle name="60% - Accent3 3" xfId="552" xr:uid="{00000000-0005-0000-0000-000085000000}"/>
    <cellStyle name="60% - Accent4" xfId="17" builtinId="44" customBuiltin="1"/>
    <cellStyle name="60% - Accent4 2" xfId="140" xr:uid="{00000000-0005-0000-0000-000087000000}"/>
    <cellStyle name="60% - Accent4 3" xfId="551" xr:uid="{00000000-0005-0000-0000-000088000000}"/>
    <cellStyle name="60% - Accent5" xfId="18" builtinId="48" customBuiltin="1"/>
    <cellStyle name="60% - Accent5 2" xfId="141" xr:uid="{00000000-0005-0000-0000-00008A000000}"/>
    <cellStyle name="60% - Accent6" xfId="19" builtinId="52" customBuiltin="1"/>
    <cellStyle name="60% - Accent6 2" xfId="142" xr:uid="{00000000-0005-0000-0000-00008C000000}"/>
    <cellStyle name="60% - Accent6 3" xfId="550" xr:uid="{00000000-0005-0000-0000-00008D000000}"/>
    <cellStyle name="Accent1" xfId="20" builtinId="29" customBuiltin="1"/>
    <cellStyle name="Accent1 2" xfId="143" xr:uid="{00000000-0005-0000-0000-00008F000000}"/>
    <cellStyle name="Accent1 3" xfId="549" xr:uid="{00000000-0005-0000-0000-000090000000}"/>
    <cellStyle name="Accent2" xfId="21" builtinId="33" customBuiltin="1"/>
    <cellStyle name="Accent2 2" xfId="144" xr:uid="{00000000-0005-0000-0000-000092000000}"/>
    <cellStyle name="Accent2 3" xfId="548" xr:uid="{00000000-0005-0000-0000-000093000000}"/>
    <cellStyle name="Accent3" xfId="22" builtinId="37" customBuiltin="1"/>
    <cellStyle name="Accent3 2" xfId="145" xr:uid="{00000000-0005-0000-0000-000095000000}"/>
    <cellStyle name="Accent3 3" xfId="547" xr:uid="{00000000-0005-0000-0000-000096000000}"/>
    <cellStyle name="Accent4" xfId="23" builtinId="41" customBuiltin="1"/>
    <cellStyle name="Accent4 2" xfId="146" xr:uid="{00000000-0005-0000-0000-000098000000}"/>
    <cellStyle name="Accent4 3" xfId="546" xr:uid="{00000000-0005-0000-0000-000099000000}"/>
    <cellStyle name="Accent5" xfId="24" builtinId="45" customBuiltin="1"/>
    <cellStyle name="Accent5 2" xfId="147" xr:uid="{00000000-0005-0000-0000-00009B000000}"/>
    <cellStyle name="Accent6" xfId="25" builtinId="49" customBuiltin="1"/>
    <cellStyle name="Accent6 2" xfId="148" xr:uid="{00000000-0005-0000-0000-00009D000000}"/>
    <cellStyle name="Accent6 3" xfId="545" xr:uid="{00000000-0005-0000-0000-00009E000000}"/>
    <cellStyle name="AFE" xfId="26" xr:uid="{00000000-0005-0000-0000-00009F000000}"/>
    <cellStyle name="AFE 2 2" xfId="105" xr:uid="{00000000-0005-0000-0000-0000A0000000}"/>
    <cellStyle name="AFE 2 2 2" xfId="168" xr:uid="{00000000-0005-0000-0000-0000A1000000}"/>
    <cellStyle name="AFE 3" xfId="169" xr:uid="{00000000-0005-0000-0000-0000A2000000}"/>
    <cellStyle name="AFE 4" xfId="170" xr:uid="{00000000-0005-0000-0000-0000A3000000}"/>
    <cellStyle name="AFE_Bookings" xfId="184" xr:uid="{00000000-0005-0000-0000-0000A4000000}"/>
    <cellStyle name="ArialNormal" xfId="27" xr:uid="{00000000-0005-0000-0000-0000A5000000}"/>
    <cellStyle name="ArialNormal 2" xfId="2040" xr:uid="{00000000-0005-0000-0000-0000A6000000}"/>
    <cellStyle name="Bad" xfId="28" builtinId="27" customBuiltin="1"/>
    <cellStyle name="Bad 2" xfId="149" xr:uid="{00000000-0005-0000-0000-0000A8000000}"/>
    <cellStyle name="big-font" xfId="360" xr:uid="{00000000-0005-0000-0000-0000A9000000}"/>
    <cellStyle name="Blue" xfId="361" xr:uid="{00000000-0005-0000-0000-0000AA000000}"/>
    <cellStyle name="Bold/Border" xfId="362" xr:uid="{00000000-0005-0000-0000-0000AB000000}"/>
    <cellStyle name="Bold/Border 2" xfId="2101" xr:uid="{00000000-0005-0000-0000-0000AC000000}"/>
    <cellStyle name="Border, Bottom" xfId="363" xr:uid="{00000000-0005-0000-0000-0000AD000000}"/>
    <cellStyle name="Border, Bottom 2" xfId="2102" xr:uid="{00000000-0005-0000-0000-0000AE000000}"/>
    <cellStyle name="Border, Left" xfId="364" xr:uid="{00000000-0005-0000-0000-0000AF000000}"/>
    <cellStyle name="Border, Left 2" xfId="649" xr:uid="{00000000-0005-0000-0000-0000B0000000}"/>
    <cellStyle name="Border, Left 2 2" xfId="807" xr:uid="{00000000-0005-0000-0000-0000B1000000}"/>
    <cellStyle name="Border, Left 2 2 2" xfId="1055" xr:uid="{00000000-0005-0000-0000-0000B2000000}"/>
    <cellStyle name="Border, Left 2 2 2 2" xfId="1724" xr:uid="{00000000-0005-0000-0000-0000B3000000}"/>
    <cellStyle name="Border, Left 2 2 2 2 2" xfId="3109" xr:uid="{00000000-0005-0000-0000-0000B4000000}"/>
    <cellStyle name="Border, Left 2 2 2 3" xfId="1515" xr:uid="{00000000-0005-0000-0000-0000B5000000}"/>
    <cellStyle name="Border, Left 2 2 2 3 2" xfId="2911" xr:uid="{00000000-0005-0000-0000-0000B6000000}"/>
    <cellStyle name="Border, Left 2 2 2 4" xfId="1792" xr:uid="{00000000-0005-0000-0000-0000B7000000}"/>
    <cellStyle name="Border, Left 2 2 2 4 2" xfId="3171" xr:uid="{00000000-0005-0000-0000-0000B8000000}"/>
    <cellStyle name="Border, Left 2 2 2 5" xfId="1564" xr:uid="{00000000-0005-0000-0000-0000B9000000}"/>
    <cellStyle name="Border, Left 2 2 2 5 2" xfId="2960" xr:uid="{00000000-0005-0000-0000-0000BA000000}"/>
    <cellStyle name="Border, Left 2 2 2 6" xfId="2520" xr:uid="{00000000-0005-0000-0000-0000BB000000}"/>
    <cellStyle name="Border, Left 2 2 3" xfId="1274" xr:uid="{00000000-0005-0000-0000-0000BC000000}"/>
    <cellStyle name="Border, Left 2 2 3 2" xfId="1837" xr:uid="{00000000-0005-0000-0000-0000BD000000}"/>
    <cellStyle name="Border, Left 2 2 3 2 2" xfId="3213" xr:uid="{00000000-0005-0000-0000-0000BE000000}"/>
    <cellStyle name="Border, Left 2 2 3 3" xfId="1925" xr:uid="{00000000-0005-0000-0000-0000BF000000}"/>
    <cellStyle name="Border, Left 2 2 3 3 2" xfId="3288" xr:uid="{00000000-0005-0000-0000-0000C0000000}"/>
    <cellStyle name="Border, Left 2 2 3 4" xfId="1960" xr:uid="{00000000-0005-0000-0000-0000C1000000}"/>
    <cellStyle name="Border, Left 2 2 3 4 2" xfId="3312" xr:uid="{00000000-0005-0000-0000-0000C2000000}"/>
    <cellStyle name="Border, Left 2 2 3 5" xfId="2004" xr:uid="{00000000-0005-0000-0000-0000C3000000}"/>
    <cellStyle name="Border, Left 2 2 3 5 2" xfId="3351" xr:uid="{00000000-0005-0000-0000-0000C4000000}"/>
    <cellStyle name="Border, Left 2 2 3 6" xfId="2725" xr:uid="{00000000-0005-0000-0000-0000C5000000}"/>
    <cellStyle name="Border, Left 2 2 4" xfId="1582" xr:uid="{00000000-0005-0000-0000-0000C6000000}"/>
    <cellStyle name="Border, Left 2 2 4 2" xfId="2977" xr:uid="{00000000-0005-0000-0000-0000C7000000}"/>
    <cellStyle name="Border, Left 2 2 5" xfId="1333" xr:uid="{00000000-0005-0000-0000-0000C8000000}"/>
    <cellStyle name="Border, Left 2 2 5 2" xfId="2771" xr:uid="{00000000-0005-0000-0000-0000C9000000}"/>
    <cellStyle name="Border, Left 2 2 6" xfId="1930" xr:uid="{00000000-0005-0000-0000-0000CA000000}"/>
    <cellStyle name="Border, Left 2 2 6 2" xfId="3293" xr:uid="{00000000-0005-0000-0000-0000CB000000}"/>
    <cellStyle name="Border, Left 2 2 7" xfId="1913" xr:uid="{00000000-0005-0000-0000-0000CC000000}"/>
    <cellStyle name="Border, Left 2 2 7 2" xfId="3277" xr:uid="{00000000-0005-0000-0000-0000CD000000}"/>
    <cellStyle name="Border, Left 2 2 8" xfId="2287" xr:uid="{00000000-0005-0000-0000-0000CE000000}"/>
    <cellStyle name="Border, Left 2 3" xfId="834" xr:uid="{00000000-0005-0000-0000-0000CF000000}"/>
    <cellStyle name="Border, Left 2 3 2" xfId="1078" xr:uid="{00000000-0005-0000-0000-0000D0000000}"/>
    <cellStyle name="Border, Left 2 3 2 2" xfId="1736" xr:uid="{00000000-0005-0000-0000-0000D1000000}"/>
    <cellStyle name="Border, Left 2 3 2 2 2" xfId="3118" xr:uid="{00000000-0005-0000-0000-0000D2000000}"/>
    <cellStyle name="Border, Left 2 3 2 3" xfId="1855" xr:uid="{00000000-0005-0000-0000-0000D3000000}"/>
    <cellStyle name="Border, Left 2 3 2 3 2" xfId="3229" xr:uid="{00000000-0005-0000-0000-0000D4000000}"/>
    <cellStyle name="Border, Left 2 3 2 4" xfId="1731" xr:uid="{00000000-0005-0000-0000-0000D5000000}"/>
    <cellStyle name="Border, Left 2 3 2 4 2" xfId="3114" xr:uid="{00000000-0005-0000-0000-0000D6000000}"/>
    <cellStyle name="Border, Left 2 3 2 5" xfId="1861" xr:uid="{00000000-0005-0000-0000-0000D7000000}"/>
    <cellStyle name="Border, Left 2 3 2 5 2" xfId="3234" xr:uid="{00000000-0005-0000-0000-0000D8000000}"/>
    <cellStyle name="Border, Left 2 3 2 6" xfId="2540" xr:uid="{00000000-0005-0000-0000-0000D9000000}"/>
    <cellStyle name="Border, Left 2 3 3" xfId="1296" xr:uid="{00000000-0005-0000-0000-0000DA000000}"/>
    <cellStyle name="Border, Left 2 3 3 2" xfId="1844" xr:uid="{00000000-0005-0000-0000-0000DB000000}"/>
    <cellStyle name="Border, Left 2 3 3 2 2" xfId="3220" xr:uid="{00000000-0005-0000-0000-0000DC000000}"/>
    <cellStyle name="Border, Left 2 3 3 3" xfId="1934" xr:uid="{00000000-0005-0000-0000-0000DD000000}"/>
    <cellStyle name="Border, Left 2 3 3 3 2" xfId="3297" xr:uid="{00000000-0005-0000-0000-0000DE000000}"/>
    <cellStyle name="Border, Left 2 3 3 4" xfId="1966" xr:uid="{00000000-0005-0000-0000-0000DF000000}"/>
    <cellStyle name="Border, Left 2 3 3 4 2" xfId="3318" xr:uid="{00000000-0005-0000-0000-0000E0000000}"/>
    <cellStyle name="Border, Left 2 3 3 5" xfId="2011" xr:uid="{00000000-0005-0000-0000-0000E1000000}"/>
    <cellStyle name="Border, Left 2 3 3 5 2" xfId="3356" xr:uid="{00000000-0005-0000-0000-0000E2000000}"/>
    <cellStyle name="Border, Left 2 3 3 6" xfId="2744" xr:uid="{00000000-0005-0000-0000-0000E3000000}"/>
    <cellStyle name="Border, Left 2 3 4" xfId="1595" xr:uid="{00000000-0005-0000-0000-0000E4000000}"/>
    <cellStyle name="Border, Left 2 3 4 2" xfId="2988" xr:uid="{00000000-0005-0000-0000-0000E5000000}"/>
    <cellStyle name="Border, Left 2 3 5" xfId="1376" xr:uid="{00000000-0005-0000-0000-0000E6000000}"/>
    <cellStyle name="Border, Left 2 3 5 2" xfId="2803" xr:uid="{00000000-0005-0000-0000-0000E7000000}"/>
    <cellStyle name="Border, Left 2 3 6" xfId="1681" xr:uid="{00000000-0005-0000-0000-0000E8000000}"/>
    <cellStyle name="Border, Left 2 3 6 2" xfId="3073" xr:uid="{00000000-0005-0000-0000-0000E9000000}"/>
    <cellStyle name="Border, Left 2 3 7" xfId="1497" xr:uid="{00000000-0005-0000-0000-0000EA000000}"/>
    <cellStyle name="Border, Left 2 3 7 2" xfId="2895" xr:uid="{00000000-0005-0000-0000-0000EB000000}"/>
    <cellStyle name="Border, Left 2 3 8" xfId="2310" xr:uid="{00000000-0005-0000-0000-0000EC000000}"/>
    <cellStyle name="Border, Left 2 4" xfId="929" xr:uid="{00000000-0005-0000-0000-0000ED000000}"/>
    <cellStyle name="Border, Left 2 4 2" xfId="1644" xr:uid="{00000000-0005-0000-0000-0000EE000000}"/>
    <cellStyle name="Border, Left 2 4 2 2" xfId="3036" xr:uid="{00000000-0005-0000-0000-0000EF000000}"/>
    <cellStyle name="Border, Left 2 4 3" xfId="115" xr:uid="{00000000-0005-0000-0000-0000F0000000}"/>
    <cellStyle name="Border, Left 2 4 3 2" xfId="2054" xr:uid="{00000000-0005-0000-0000-0000F1000000}"/>
    <cellStyle name="Border, Left 2 4 4" xfId="1786" xr:uid="{00000000-0005-0000-0000-0000F2000000}"/>
    <cellStyle name="Border, Left 2 4 4 2" xfId="3165" xr:uid="{00000000-0005-0000-0000-0000F3000000}"/>
    <cellStyle name="Border, Left 2 4 5" xfId="1434" xr:uid="{00000000-0005-0000-0000-0000F4000000}"/>
    <cellStyle name="Border, Left 2 4 5 2" xfId="2852" xr:uid="{00000000-0005-0000-0000-0000F5000000}"/>
    <cellStyle name="Border, Left 2 4 6" xfId="2402" xr:uid="{00000000-0005-0000-0000-0000F6000000}"/>
    <cellStyle name="Border, Left 2 5" xfId="1501" xr:uid="{00000000-0005-0000-0000-0000F7000000}"/>
    <cellStyle name="Border, Left 2 5 2" xfId="2899" xr:uid="{00000000-0005-0000-0000-0000F8000000}"/>
    <cellStyle name="Border, Left 2 6" xfId="1448" xr:uid="{00000000-0005-0000-0000-0000F9000000}"/>
    <cellStyle name="Border, Left 2 6 2" xfId="2862" xr:uid="{00000000-0005-0000-0000-0000FA000000}"/>
    <cellStyle name="Border, Left 2 7" xfId="2166" xr:uid="{00000000-0005-0000-0000-0000FB000000}"/>
    <cellStyle name="Border, Left 3" xfId="745" xr:uid="{00000000-0005-0000-0000-0000FC000000}"/>
    <cellStyle name="Border, Left 3 2" xfId="998" xr:uid="{00000000-0005-0000-0000-0000FD000000}"/>
    <cellStyle name="Border, Left 3 2 2" xfId="1686" xr:uid="{00000000-0005-0000-0000-0000FE000000}"/>
    <cellStyle name="Border, Left 3 2 2 2" xfId="3078" xr:uid="{00000000-0005-0000-0000-0000FF000000}"/>
    <cellStyle name="Border, Left 3 2 3" xfId="1471" xr:uid="{00000000-0005-0000-0000-000000010000}"/>
    <cellStyle name="Border, Left 3 2 3 2" xfId="2875" xr:uid="{00000000-0005-0000-0000-000001010000}"/>
    <cellStyle name="Border, Left 3 2 4" xfId="1865" xr:uid="{00000000-0005-0000-0000-000002010000}"/>
    <cellStyle name="Border, Left 3 2 4 2" xfId="3237" xr:uid="{00000000-0005-0000-0000-000003010000}"/>
    <cellStyle name="Border, Left 3 2 5" xfId="1921" xr:uid="{00000000-0005-0000-0000-000004010000}"/>
    <cellStyle name="Border, Left 3 2 5 2" xfId="3285" xr:uid="{00000000-0005-0000-0000-000005010000}"/>
    <cellStyle name="Border, Left 3 2 6" xfId="2467" xr:uid="{00000000-0005-0000-0000-000006010000}"/>
    <cellStyle name="Border, Left 3 3" xfId="1226" xr:uid="{00000000-0005-0000-0000-000007010000}"/>
    <cellStyle name="Border, Left 3 3 2" xfId="1815" xr:uid="{00000000-0005-0000-0000-000008010000}"/>
    <cellStyle name="Border, Left 3 3 2 2" xfId="3192" xr:uid="{00000000-0005-0000-0000-000009010000}"/>
    <cellStyle name="Border, Left 3 3 3" xfId="1902" xr:uid="{00000000-0005-0000-0000-00000A010000}"/>
    <cellStyle name="Border, Left 3 3 3 2" xfId="3269" xr:uid="{00000000-0005-0000-0000-00000B010000}"/>
    <cellStyle name="Border, Left 3 3 4" xfId="1945" xr:uid="{00000000-0005-0000-0000-00000C010000}"/>
    <cellStyle name="Border, Left 3 3 4 2" xfId="3303" xr:uid="{00000000-0005-0000-0000-00000D010000}"/>
    <cellStyle name="Border, Left 3 3 5" xfId="1992" xr:uid="{00000000-0005-0000-0000-00000E010000}"/>
    <cellStyle name="Border, Left 3 3 5 2" xfId="3341" xr:uid="{00000000-0005-0000-0000-00000F010000}"/>
    <cellStyle name="Border, Left 3 3 6" xfId="2681" xr:uid="{00000000-0005-0000-0000-000010010000}"/>
    <cellStyle name="Border, Left 3 4" xfId="1550" xr:uid="{00000000-0005-0000-0000-000011010000}"/>
    <cellStyle name="Border, Left 3 4 2" xfId="2946" xr:uid="{00000000-0005-0000-0000-000012010000}"/>
    <cellStyle name="Border, Left 3 5" xfId="1327" xr:uid="{00000000-0005-0000-0000-000013010000}"/>
    <cellStyle name="Border, Left 3 5 2" xfId="2767" xr:uid="{00000000-0005-0000-0000-000014010000}"/>
    <cellStyle name="Border, Left 3 6" xfId="1417" xr:uid="{00000000-0005-0000-0000-000015010000}"/>
    <cellStyle name="Border, Left 3 6 2" xfId="2839" xr:uid="{00000000-0005-0000-0000-000016010000}"/>
    <cellStyle name="Border, Left 3 7" xfId="1887" xr:uid="{00000000-0005-0000-0000-000017010000}"/>
    <cellStyle name="Border, Left 3 7 2" xfId="3255" xr:uid="{00000000-0005-0000-0000-000018010000}"/>
    <cellStyle name="Border, Left 3 8" xfId="2231" xr:uid="{00000000-0005-0000-0000-000019010000}"/>
    <cellStyle name="Border, Left 4" xfId="773" xr:uid="{00000000-0005-0000-0000-00001A010000}"/>
    <cellStyle name="Border, Left 4 2" xfId="1021" xr:uid="{00000000-0005-0000-0000-00001B010000}"/>
    <cellStyle name="Border, Left 4 2 2" xfId="1705" xr:uid="{00000000-0005-0000-0000-00001C010000}"/>
    <cellStyle name="Border, Left 4 2 2 2" xfId="3095" xr:uid="{00000000-0005-0000-0000-00001D010000}"/>
    <cellStyle name="Border, Left 4 2 3" xfId="1354" xr:uid="{00000000-0005-0000-0000-00001E010000}"/>
    <cellStyle name="Border, Left 4 2 3 2" xfId="2788" xr:uid="{00000000-0005-0000-0000-00001F010000}"/>
    <cellStyle name="Border, Left 4 2 4" xfId="1390" xr:uid="{00000000-0005-0000-0000-000020010000}"/>
    <cellStyle name="Border, Left 4 2 4 2" xfId="2814" xr:uid="{00000000-0005-0000-0000-000021010000}"/>
    <cellStyle name="Border, Left 4 2 5" xfId="1632" xr:uid="{00000000-0005-0000-0000-000022010000}"/>
    <cellStyle name="Border, Left 4 2 5 2" xfId="3024" xr:uid="{00000000-0005-0000-0000-000023010000}"/>
    <cellStyle name="Border, Left 4 2 6" xfId="2487" xr:uid="{00000000-0005-0000-0000-000024010000}"/>
    <cellStyle name="Border, Left 4 3" xfId="1245" xr:uid="{00000000-0005-0000-0000-000025010000}"/>
    <cellStyle name="Border, Left 4 3 2" xfId="1826" xr:uid="{00000000-0005-0000-0000-000026010000}"/>
    <cellStyle name="Border, Left 4 3 2 2" xfId="3202" xr:uid="{00000000-0005-0000-0000-000027010000}"/>
    <cellStyle name="Border, Left 4 3 3" xfId="1914" xr:uid="{00000000-0005-0000-0000-000028010000}"/>
    <cellStyle name="Border, Left 4 3 3 2" xfId="3278" xr:uid="{00000000-0005-0000-0000-000029010000}"/>
    <cellStyle name="Border, Left 4 3 4" xfId="1951" xr:uid="{00000000-0005-0000-0000-00002A010000}"/>
    <cellStyle name="Border, Left 4 3 4 2" xfId="3308" xr:uid="{00000000-0005-0000-0000-00002B010000}"/>
    <cellStyle name="Border, Left 4 3 5" xfId="2000" xr:uid="{00000000-0005-0000-0000-00002C010000}"/>
    <cellStyle name="Border, Left 4 3 5 2" xfId="3347" xr:uid="{00000000-0005-0000-0000-00002D010000}"/>
    <cellStyle name="Border, Left 4 3 6" xfId="2697" xr:uid="{00000000-0005-0000-0000-00002E010000}"/>
    <cellStyle name="Border, Left 4 4" xfId="1566" xr:uid="{00000000-0005-0000-0000-00002F010000}"/>
    <cellStyle name="Border, Left 4 4 2" xfId="2962" xr:uid="{00000000-0005-0000-0000-000030010000}"/>
    <cellStyle name="Border, Left 4 5" xfId="1461" xr:uid="{00000000-0005-0000-0000-000031010000}"/>
    <cellStyle name="Border, Left 4 5 2" xfId="2868" xr:uid="{00000000-0005-0000-0000-000032010000}"/>
    <cellStyle name="Border, Left 4 6" xfId="1649" xr:uid="{00000000-0005-0000-0000-000033010000}"/>
    <cellStyle name="Border, Left 4 6 2" xfId="3041" xr:uid="{00000000-0005-0000-0000-000034010000}"/>
    <cellStyle name="Border, Left 4 7" xfId="1441" xr:uid="{00000000-0005-0000-0000-000035010000}"/>
    <cellStyle name="Border, Left 4 7 2" xfId="2856" xr:uid="{00000000-0005-0000-0000-000036010000}"/>
    <cellStyle name="Border, Left 4 8" xfId="2254" xr:uid="{00000000-0005-0000-0000-000037010000}"/>
    <cellStyle name="Border, Left 5" xfId="880" xr:uid="{00000000-0005-0000-0000-000038010000}"/>
    <cellStyle name="Border, Left 5 2" xfId="1624" xr:uid="{00000000-0005-0000-0000-000039010000}"/>
    <cellStyle name="Border, Left 5 2 2" xfId="3016" xr:uid="{00000000-0005-0000-0000-00003A010000}"/>
    <cellStyle name="Border, Left 5 3" xfId="1784" xr:uid="{00000000-0005-0000-0000-00003B010000}"/>
    <cellStyle name="Border, Left 5 3 2" xfId="3163" xr:uid="{00000000-0005-0000-0000-00003C010000}"/>
    <cellStyle name="Border, Left 5 4" xfId="1581" xr:uid="{00000000-0005-0000-0000-00003D010000}"/>
    <cellStyle name="Border, Left 5 4 2" xfId="2976" xr:uid="{00000000-0005-0000-0000-00003E010000}"/>
    <cellStyle name="Border, Left 5 5" xfId="1462" xr:uid="{00000000-0005-0000-0000-00003F010000}"/>
    <cellStyle name="Border, Left 5 5 2" xfId="2869" xr:uid="{00000000-0005-0000-0000-000040010000}"/>
    <cellStyle name="Border, Left 5 6" xfId="2353" xr:uid="{00000000-0005-0000-0000-000041010000}"/>
    <cellStyle name="Border, Left 6" xfId="1398" xr:uid="{00000000-0005-0000-0000-000042010000}"/>
    <cellStyle name="Border, Left 6 2" xfId="2822" xr:uid="{00000000-0005-0000-0000-000043010000}"/>
    <cellStyle name="Border, Left 7" xfId="1700" xr:uid="{00000000-0005-0000-0000-000044010000}"/>
    <cellStyle name="Border, Left 7 2" xfId="3090" xr:uid="{00000000-0005-0000-0000-000045010000}"/>
    <cellStyle name="Border, Left 8" xfId="2103" xr:uid="{00000000-0005-0000-0000-000046010000}"/>
    <cellStyle name="Border, Right" xfId="365" xr:uid="{00000000-0005-0000-0000-000047010000}"/>
    <cellStyle name="Border, Top" xfId="366" xr:uid="{00000000-0005-0000-0000-000048010000}"/>
    <cellStyle name="bottom-title" xfId="367" xr:uid="{00000000-0005-0000-0000-000049010000}"/>
    <cellStyle name="Bullet" xfId="368" xr:uid="{00000000-0005-0000-0000-00004A010000}"/>
    <cellStyle name="c_HardInc " xfId="29" xr:uid="{00000000-0005-0000-0000-00004B010000}"/>
    <cellStyle name="c_HardInc _RRST5" xfId="544" xr:uid="{00000000-0005-0000-0000-00004C010000}"/>
    <cellStyle name="Calculation" xfId="30" builtinId="22" customBuiltin="1"/>
    <cellStyle name="Calculation 2" xfId="150" xr:uid="{00000000-0005-0000-0000-00004E010000}"/>
    <cellStyle name="Calculation 2 2" xfId="699" xr:uid="{00000000-0005-0000-0000-00004F010000}"/>
    <cellStyle name="Calculation 2 2 2" xfId="955" xr:uid="{00000000-0005-0000-0000-000050010000}"/>
    <cellStyle name="Calculation 2 2 2 2" xfId="1658" xr:uid="{00000000-0005-0000-0000-000051010000}"/>
    <cellStyle name="Calculation 2 2 2 2 2" xfId="3050" xr:uid="{00000000-0005-0000-0000-000052010000}"/>
    <cellStyle name="Calculation 2 2 2 3" xfId="1652" xr:uid="{00000000-0005-0000-0000-000053010000}"/>
    <cellStyle name="Calculation 2 2 2 3 2" xfId="3044" xr:uid="{00000000-0005-0000-0000-000054010000}"/>
    <cellStyle name="Calculation 2 2 2 4" xfId="1444" xr:uid="{00000000-0005-0000-0000-000055010000}"/>
    <cellStyle name="Calculation 2 2 2 4 2" xfId="2858" xr:uid="{00000000-0005-0000-0000-000056010000}"/>
    <cellStyle name="Calculation 2 2 2 5" xfId="1958" xr:uid="{00000000-0005-0000-0000-000057010000}"/>
    <cellStyle name="Calculation 2 2 2 6" xfId="2426" xr:uid="{00000000-0005-0000-0000-000058010000}"/>
    <cellStyle name="Calculation 2 2 3" xfId="1524" xr:uid="{00000000-0005-0000-0000-000059010000}"/>
    <cellStyle name="Calculation 2 2 3 2" xfId="2920" xr:uid="{00000000-0005-0000-0000-00005A010000}"/>
    <cellStyle name="Calculation 2 2 4" xfId="1500" xr:uid="{00000000-0005-0000-0000-00005B010000}"/>
    <cellStyle name="Calculation 2 2 4 2" xfId="2898" xr:uid="{00000000-0005-0000-0000-00005C010000}"/>
    <cellStyle name="Calculation 2 2 5" xfId="1840" xr:uid="{00000000-0005-0000-0000-00005D010000}"/>
    <cellStyle name="Calculation 2 2 5 2" xfId="3216" xr:uid="{00000000-0005-0000-0000-00005E010000}"/>
    <cellStyle name="Calculation 2 2 6" xfId="1684" xr:uid="{00000000-0005-0000-0000-00005F010000}"/>
    <cellStyle name="Calculation 2 2 6 2" xfId="3076" xr:uid="{00000000-0005-0000-0000-000060010000}"/>
    <cellStyle name="Calculation 2 2 7" xfId="1334" xr:uid="{00000000-0005-0000-0000-000061010000}"/>
    <cellStyle name="Calculation 2 2 8" xfId="2187" xr:uid="{00000000-0005-0000-0000-000062010000}"/>
    <cellStyle name="Calculation 2 3" xfId="843" xr:uid="{00000000-0005-0000-0000-000063010000}"/>
    <cellStyle name="Calculation 2 3 2" xfId="1603" xr:uid="{00000000-0005-0000-0000-000064010000}"/>
    <cellStyle name="Calculation 2 3 2 2" xfId="2996" xr:uid="{00000000-0005-0000-0000-000065010000}"/>
    <cellStyle name="Calculation 2 3 3" xfId="1616" xr:uid="{00000000-0005-0000-0000-000066010000}"/>
    <cellStyle name="Calculation 2 3 3 2" xfId="3009" xr:uid="{00000000-0005-0000-0000-000067010000}"/>
    <cellStyle name="Calculation 2 3 4" xfId="1548" xr:uid="{00000000-0005-0000-0000-000068010000}"/>
    <cellStyle name="Calculation 2 3 4 2" xfId="2944" xr:uid="{00000000-0005-0000-0000-000069010000}"/>
    <cellStyle name="Calculation 2 3 5" xfId="1496" xr:uid="{00000000-0005-0000-0000-00006A010000}"/>
    <cellStyle name="Calculation 2 3 6" xfId="2316" xr:uid="{00000000-0005-0000-0000-00006B010000}"/>
    <cellStyle name="Calculation 2 4" xfId="1085" xr:uid="{00000000-0005-0000-0000-00006C010000}"/>
    <cellStyle name="Calculation 2 4 2" xfId="1742" xr:uid="{00000000-0005-0000-0000-00006D010000}"/>
    <cellStyle name="Calculation 2 4 2 2" xfId="3124" xr:uid="{00000000-0005-0000-0000-00006E010000}"/>
    <cellStyle name="Calculation 2 4 3" xfId="1573" xr:uid="{00000000-0005-0000-0000-00006F010000}"/>
    <cellStyle name="Calculation 2 4 3 2" xfId="2969" xr:uid="{00000000-0005-0000-0000-000070010000}"/>
    <cellStyle name="Calculation 2 4 4" xfId="1883" xr:uid="{00000000-0005-0000-0000-000071010000}"/>
    <cellStyle name="Calculation 2 4 4 2" xfId="3251" xr:uid="{00000000-0005-0000-0000-000072010000}"/>
    <cellStyle name="Calculation 2 4 5" xfId="1876" xr:uid="{00000000-0005-0000-0000-000073010000}"/>
    <cellStyle name="Calculation 2 4 6" xfId="2544" xr:uid="{00000000-0005-0000-0000-000074010000}"/>
    <cellStyle name="Calculation 2 5" xfId="2055" xr:uid="{00000000-0005-0000-0000-000075010000}"/>
    <cellStyle name="Calculation 3" xfId="543" xr:uid="{00000000-0005-0000-0000-000076010000}"/>
    <cellStyle name="Calculation 3 2" xfId="762" xr:uid="{00000000-0005-0000-0000-000077010000}"/>
    <cellStyle name="Calculation 3 2 2" xfId="1011" xr:uid="{00000000-0005-0000-0000-000078010000}"/>
    <cellStyle name="Calculation 3 2 2 2" xfId="1697" xr:uid="{00000000-0005-0000-0000-000079010000}"/>
    <cellStyle name="Calculation 3 2 2 2 2" xfId="3089" xr:uid="{00000000-0005-0000-0000-00007A010000}"/>
    <cellStyle name="Calculation 3 2 2 3" xfId="1899" xr:uid="{00000000-0005-0000-0000-00007B010000}"/>
    <cellStyle name="Calculation 3 2 2 3 2" xfId="3266" xr:uid="{00000000-0005-0000-0000-00007C010000}"/>
    <cellStyle name="Calculation 3 2 2 4" xfId="1832" xr:uid="{00000000-0005-0000-0000-00007D010000}"/>
    <cellStyle name="Calculation 3 2 2 4 2" xfId="3208" xr:uid="{00000000-0005-0000-0000-00007E010000}"/>
    <cellStyle name="Calculation 3 2 2 5" xfId="1939" xr:uid="{00000000-0005-0000-0000-00007F010000}"/>
    <cellStyle name="Calculation 3 2 2 6" xfId="2477" xr:uid="{00000000-0005-0000-0000-000080010000}"/>
    <cellStyle name="Calculation 3 2 3" xfId="1562" xr:uid="{00000000-0005-0000-0000-000081010000}"/>
    <cellStyle name="Calculation 3 2 3 2" xfId="2958" xr:uid="{00000000-0005-0000-0000-000082010000}"/>
    <cellStyle name="Calculation 3 2 4" xfId="1380" xr:uid="{00000000-0005-0000-0000-000083010000}"/>
    <cellStyle name="Calculation 3 2 4 2" xfId="2806" xr:uid="{00000000-0005-0000-0000-000084010000}"/>
    <cellStyle name="Calculation 3 2 5" xfId="1508" xr:uid="{00000000-0005-0000-0000-000085010000}"/>
    <cellStyle name="Calculation 3 2 5 2" xfId="2906" xr:uid="{00000000-0005-0000-0000-000086010000}"/>
    <cellStyle name="Calculation 3 2 6" xfId="1721" xr:uid="{00000000-0005-0000-0000-000087010000}"/>
    <cellStyle name="Calculation 3 2 6 2" xfId="3108" xr:uid="{00000000-0005-0000-0000-000088010000}"/>
    <cellStyle name="Calculation 3 2 7" xfId="1443" xr:uid="{00000000-0005-0000-0000-000089010000}"/>
    <cellStyle name="Calculation 3 2 8" xfId="2244" xr:uid="{00000000-0005-0000-0000-00008A010000}"/>
    <cellStyle name="Calculation 3 3" xfId="890" xr:uid="{00000000-0005-0000-0000-00008B010000}"/>
    <cellStyle name="Calculation 3 3 2" xfId="1631" xr:uid="{00000000-0005-0000-0000-00008C010000}"/>
    <cellStyle name="Calculation 3 3 2 2" xfId="3023" xr:uid="{00000000-0005-0000-0000-00008D010000}"/>
    <cellStyle name="Calculation 3 3 3" xfId="1490" xr:uid="{00000000-0005-0000-0000-00008E010000}"/>
    <cellStyle name="Calculation 3 3 3 2" xfId="2891" xr:uid="{00000000-0005-0000-0000-00008F010000}"/>
    <cellStyle name="Calculation 3 3 4" xfId="1578" xr:uid="{00000000-0005-0000-0000-000090010000}"/>
    <cellStyle name="Calculation 3 3 4 2" xfId="2973" xr:uid="{00000000-0005-0000-0000-000091010000}"/>
    <cellStyle name="Calculation 3 3 5" xfId="1823" xr:uid="{00000000-0005-0000-0000-000092010000}"/>
    <cellStyle name="Calculation 3 3 6" xfId="2363" xr:uid="{00000000-0005-0000-0000-000093010000}"/>
    <cellStyle name="Calculation 3 4" xfId="1135" xr:uid="{00000000-0005-0000-0000-000094010000}"/>
    <cellStyle name="Calculation 3 4 2" xfId="1770" xr:uid="{00000000-0005-0000-0000-000095010000}"/>
    <cellStyle name="Calculation 3 4 2 2" xfId="3152" xr:uid="{00000000-0005-0000-0000-000096010000}"/>
    <cellStyle name="Calculation 3 4 3" xfId="1517" xr:uid="{00000000-0005-0000-0000-000097010000}"/>
    <cellStyle name="Calculation 3 4 3 2" xfId="2913" xr:uid="{00000000-0005-0000-0000-000098010000}"/>
    <cellStyle name="Calculation 3 4 4" xfId="1975" xr:uid="{00000000-0005-0000-0000-000099010000}"/>
    <cellStyle name="Calculation 3 4 4 2" xfId="3327" xr:uid="{00000000-0005-0000-0000-00009A010000}"/>
    <cellStyle name="Calculation 3 4 5" xfId="2019" xr:uid="{00000000-0005-0000-0000-00009B010000}"/>
    <cellStyle name="Calculation 3 4 6" xfId="2593" xr:uid="{00000000-0005-0000-0000-00009C010000}"/>
    <cellStyle name="Calculation 3 5" xfId="2124" xr:uid="{00000000-0005-0000-0000-00009D010000}"/>
    <cellStyle name="Calculation 4" xfId="2041" xr:uid="{00000000-0005-0000-0000-00009E010000}"/>
    <cellStyle name="Changeable" xfId="369" xr:uid="{00000000-0005-0000-0000-00009F010000}"/>
    <cellStyle name="ChartingText" xfId="370" xr:uid="{00000000-0005-0000-0000-0000A0010000}"/>
    <cellStyle name="Check Cell" xfId="31" builtinId="23" customBuiltin="1"/>
    <cellStyle name="Check Cell 2" xfId="151" xr:uid="{00000000-0005-0000-0000-0000A2010000}"/>
    <cellStyle name="Check Cell 2 2" xfId="615" xr:uid="{00000000-0005-0000-0000-0000A3010000}"/>
    <cellStyle name="Check Cell 2 2 2" xfId="776" xr:uid="{00000000-0005-0000-0000-0000A4010000}"/>
    <cellStyle name="Check Cell 2 2 2 2" xfId="1024" xr:uid="{00000000-0005-0000-0000-0000A5010000}"/>
    <cellStyle name="Check Cell 2 2 2 2 2" xfId="1708" xr:uid="{00000000-0005-0000-0000-0000A6010000}"/>
    <cellStyle name="Check Cell 2 2 2 2 2 2" xfId="3098" xr:uid="{00000000-0005-0000-0000-0000A7010000}"/>
    <cellStyle name="Check Cell 2 2 2 2 3" xfId="1352" xr:uid="{00000000-0005-0000-0000-0000A8010000}"/>
    <cellStyle name="Check Cell 2 2 2 2 3 2" xfId="2786" xr:uid="{00000000-0005-0000-0000-0000A9010000}"/>
    <cellStyle name="Check Cell 2 2 2 2 4" xfId="1455" xr:uid="{00000000-0005-0000-0000-0000AA010000}"/>
    <cellStyle name="Check Cell 2 2 2 2 4 2" xfId="2865" xr:uid="{00000000-0005-0000-0000-0000AB010000}"/>
    <cellStyle name="Check Cell 2 2 2 2 5" xfId="1639" xr:uid="{00000000-0005-0000-0000-0000AC010000}"/>
    <cellStyle name="Check Cell 2 2 2 2 5 2" xfId="3031" xr:uid="{00000000-0005-0000-0000-0000AD010000}"/>
    <cellStyle name="Check Cell 2 2 2 2 6" xfId="1356" xr:uid="{00000000-0005-0000-0000-0000AE010000}"/>
    <cellStyle name="Check Cell 2 2 2 2 6 2" xfId="2790" xr:uid="{00000000-0005-0000-0000-0000AF010000}"/>
    <cellStyle name="Check Cell 2 2 2 3" xfId="1246" xr:uid="{00000000-0005-0000-0000-0000B0010000}"/>
    <cellStyle name="Check Cell 2 2 2 3 2" xfId="1827" xr:uid="{00000000-0005-0000-0000-0000B1010000}"/>
    <cellStyle name="Check Cell 2 2 2 3 2 2" xfId="3203" xr:uid="{00000000-0005-0000-0000-0000B2010000}"/>
    <cellStyle name="Check Cell 2 2 2 3 3" xfId="1915" xr:uid="{00000000-0005-0000-0000-0000B3010000}"/>
    <cellStyle name="Check Cell 2 2 2 3 3 2" xfId="3279" xr:uid="{00000000-0005-0000-0000-0000B4010000}"/>
    <cellStyle name="Check Cell 2 2 2 3 4" xfId="1952" xr:uid="{00000000-0005-0000-0000-0000B5010000}"/>
    <cellStyle name="Check Cell 2 2 2 3 4 2" xfId="3309" xr:uid="{00000000-0005-0000-0000-0000B6010000}"/>
    <cellStyle name="Check Cell 2 2 2 3 5" xfId="2001" xr:uid="{00000000-0005-0000-0000-0000B7010000}"/>
    <cellStyle name="Check Cell 2 2 2 3 5 2" xfId="3348" xr:uid="{00000000-0005-0000-0000-0000B8010000}"/>
    <cellStyle name="Check Cell 2 2 2 3 6" xfId="2032" xr:uid="{00000000-0005-0000-0000-0000B9010000}"/>
    <cellStyle name="Check Cell 2 2 2 3 6 2" xfId="3367" xr:uid="{00000000-0005-0000-0000-0000BA010000}"/>
    <cellStyle name="Check Cell 2 2 2 4" xfId="1569" xr:uid="{00000000-0005-0000-0000-0000BB010000}"/>
    <cellStyle name="Check Cell 2 2 2 4 2" xfId="2965" xr:uid="{00000000-0005-0000-0000-0000BC010000}"/>
    <cellStyle name="Check Cell 2 2 2 5" xfId="1551" xr:uid="{00000000-0005-0000-0000-0000BD010000}"/>
    <cellStyle name="Check Cell 2 2 2 5 2" xfId="2947" xr:uid="{00000000-0005-0000-0000-0000BE010000}"/>
    <cellStyle name="Check Cell 2 2 2 6" xfId="1310" xr:uid="{00000000-0005-0000-0000-0000BF010000}"/>
    <cellStyle name="Check Cell 2 2 2 6 2" xfId="2753" xr:uid="{00000000-0005-0000-0000-0000C0010000}"/>
    <cellStyle name="Check Cell 2 2 2 7" xfId="1342" xr:uid="{00000000-0005-0000-0000-0000C1010000}"/>
    <cellStyle name="Check Cell 2 2 2 7 2" xfId="2777" xr:uid="{00000000-0005-0000-0000-0000C2010000}"/>
    <cellStyle name="Check Cell 2 2 2 8" xfId="1640" xr:uid="{00000000-0005-0000-0000-0000C3010000}"/>
    <cellStyle name="Check Cell 2 2 2 8 2" xfId="3032" xr:uid="{00000000-0005-0000-0000-0000C4010000}"/>
    <cellStyle name="Check Cell 2 2 3" xfId="833" xr:uid="{00000000-0005-0000-0000-0000C5010000}"/>
    <cellStyle name="Check Cell 2 2 3 2" xfId="1077" xr:uid="{00000000-0005-0000-0000-0000C6010000}"/>
    <cellStyle name="Check Cell 2 2 3 2 2" xfId="1735" xr:uid="{00000000-0005-0000-0000-0000C7010000}"/>
    <cellStyle name="Check Cell 2 2 3 2 2 2" xfId="3117" xr:uid="{00000000-0005-0000-0000-0000C8010000}"/>
    <cellStyle name="Check Cell 2 2 3 2 3" xfId="1854" xr:uid="{00000000-0005-0000-0000-0000C9010000}"/>
    <cellStyle name="Check Cell 2 2 3 2 3 2" xfId="3228" xr:uid="{00000000-0005-0000-0000-0000CA010000}"/>
    <cellStyle name="Check Cell 2 2 3 2 4" xfId="1814" xr:uid="{00000000-0005-0000-0000-0000CB010000}"/>
    <cellStyle name="Check Cell 2 2 3 2 4 2" xfId="3191" xr:uid="{00000000-0005-0000-0000-0000CC010000}"/>
    <cellStyle name="Check Cell 2 2 3 2 5" xfId="1374" xr:uid="{00000000-0005-0000-0000-0000CD010000}"/>
    <cellStyle name="Check Cell 2 2 3 2 5 2" xfId="2802" xr:uid="{00000000-0005-0000-0000-0000CE010000}"/>
    <cellStyle name="Check Cell 2 2 3 2 6" xfId="1959" xr:uid="{00000000-0005-0000-0000-0000CF010000}"/>
    <cellStyle name="Check Cell 2 2 3 2 6 2" xfId="3311" xr:uid="{00000000-0005-0000-0000-0000D0010000}"/>
    <cellStyle name="Check Cell 2 2 3 3" xfId="1295" xr:uid="{00000000-0005-0000-0000-0000D1010000}"/>
    <cellStyle name="Check Cell 2 2 3 3 2" xfId="1843" xr:uid="{00000000-0005-0000-0000-0000D2010000}"/>
    <cellStyle name="Check Cell 2 2 3 3 2 2" xfId="3219" xr:uid="{00000000-0005-0000-0000-0000D3010000}"/>
    <cellStyle name="Check Cell 2 2 3 3 3" xfId="1933" xr:uid="{00000000-0005-0000-0000-0000D4010000}"/>
    <cellStyle name="Check Cell 2 2 3 3 3 2" xfId="3296" xr:uid="{00000000-0005-0000-0000-0000D5010000}"/>
    <cellStyle name="Check Cell 2 2 3 3 4" xfId="1965" xr:uid="{00000000-0005-0000-0000-0000D6010000}"/>
    <cellStyle name="Check Cell 2 2 3 3 4 2" xfId="3317" xr:uid="{00000000-0005-0000-0000-0000D7010000}"/>
    <cellStyle name="Check Cell 2 2 3 3 5" xfId="2010" xr:uid="{00000000-0005-0000-0000-0000D8010000}"/>
    <cellStyle name="Check Cell 2 2 3 3 5 2" xfId="3355" xr:uid="{00000000-0005-0000-0000-0000D9010000}"/>
    <cellStyle name="Check Cell 2 2 3 3 6" xfId="2035" xr:uid="{00000000-0005-0000-0000-0000DA010000}"/>
    <cellStyle name="Check Cell 2 2 3 3 6 2" xfId="3370" xr:uid="{00000000-0005-0000-0000-0000DB010000}"/>
    <cellStyle name="Check Cell 2 2 3 4" xfId="1594" xr:uid="{00000000-0005-0000-0000-0000DC010000}"/>
    <cellStyle name="Check Cell 2 2 3 4 2" xfId="2987" xr:uid="{00000000-0005-0000-0000-0000DD010000}"/>
    <cellStyle name="Check Cell 2 2 3 5" xfId="1377" xr:uid="{00000000-0005-0000-0000-0000DE010000}"/>
    <cellStyle name="Check Cell 2 2 3 5 2" xfId="2804" xr:uid="{00000000-0005-0000-0000-0000DF010000}"/>
    <cellStyle name="Check Cell 2 2 3 6" xfId="1546" xr:uid="{00000000-0005-0000-0000-0000E0010000}"/>
    <cellStyle name="Check Cell 2 2 3 6 2" xfId="2942" xr:uid="{00000000-0005-0000-0000-0000E1010000}"/>
    <cellStyle name="Check Cell 2 2 3 7" xfId="1813" xr:uid="{00000000-0005-0000-0000-0000E2010000}"/>
    <cellStyle name="Check Cell 2 2 3 7 2" xfId="3190" xr:uid="{00000000-0005-0000-0000-0000E3010000}"/>
    <cellStyle name="Check Cell 2 2 3 8" xfId="1348" xr:uid="{00000000-0005-0000-0000-0000E4010000}"/>
    <cellStyle name="Check Cell 2 2 3 8 2" xfId="2782" xr:uid="{00000000-0005-0000-0000-0000E5010000}"/>
    <cellStyle name="Check Cell 2 3" xfId="700" xr:uid="{00000000-0005-0000-0000-0000E6010000}"/>
    <cellStyle name="Check Cell 2 3 2" xfId="956" xr:uid="{00000000-0005-0000-0000-0000E7010000}"/>
    <cellStyle name="Check Cell 2 3 2 2" xfId="1659" xr:uid="{00000000-0005-0000-0000-0000E8010000}"/>
    <cellStyle name="Check Cell 2 3 2 2 2" xfId="3051" xr:uid="{00000000-0005-0000-0000-0000E9010000}"/>
    <cellStyle name="Check Cell 2 3 2 3" xfId="1317" xr:uid="{00000000-0005-0000-0000-0000EA010000}"/>
    <cellStyle name="Check Cell 2 3 2 3 2" xfId="2759" xr:uid="{00000000-0005-0000-0000-0000EB010000}"/>
    <cellStyle name="Check Cell 2 3 2 4" xfId="1771" xr:uid="{00000000-0005-0000-0000-0000EC010000}"/>
    <cellStyle name="Check Cell 2 3 2 4 2" xfId="3153" xr:uid="{00000000-0005-0000-0000-0000ED010000}"/>
    <cellStyle name="Check Cell 2 3 2 5" xfId="1468" xr:uid="{00000000-0005-0000-0000-0000EE010000}"/>
    <cellStyle name="Check Cell 2 3 2 5 2" xfId="2872" xr:uid="{00000000-0005-0000-0000-0000EF010000}"/>
    <cellStyle name="Check Cell 2 3 2 6" xfId="1759" xr:uid="{00000000-0005-0000-0000-0000F0010000}"/>
    <cellStyle name="Check Cell 2 3 2 6 2" xfId="3141" xr:uid="{00000000-0005-0000-0000-0000F1010000}"/>
    <cellStyle name="Check Cell 2 3 3" xfId="1198" xr:uid="{00000000-0005-0000-0000-0000F2010000}"/>
    <cellStyle name="Check Cell 2 3 3 2" xfId="1800" xr:uid="{00000000-0005-0000-0000-0000F3010000}"/>
    <cellStyle name="Check Cell 2 3 3 2 2" xfId="3178" xr:uid="{00000000-0005-0000-0000-0000F4010000}"/>
    <cellStyle name="Check Cell 2 3 3 3" xfId="1894" xr:uid="{00000000-0005-0000-0000-0000F5010000}"/>
    <cellStyle name="Check Cell 2 3 3 3 2" xfId="3261" xr:uid="{00000000-0005-0000-0000-0000F6010000}"/>
    <cellStyle name="Check Cell 2 3 3 4" xfId="1849" xr:uid="{00000000-0005-0000-0000-0000F7010000}"/>
    <cellStyle name="Check Cell 2 3 3 4 2" xfId="3225" xr:uid="{00000000-0005-0000-0000-0000F8010000}"/>
    <cellStyle name="Check Cell 2 3 3 5" xfId="1988" xr:uid="{00000000-0005-0000-0000-0000F9010000}"/>
    <cellStyle name="Check Cell 2 3 3 5 2" xfId="3338" xr:uid="{00000000-0005-0000-0000-0000FA010000}"/>
    <cellStyle name="Check Cell 2 3 3 6" xfId="2027" xr:uid="{00000000-0005-0000-0000-0000FB010000}"/>
    <cellStyle name="Check Cell 2 3 3 6 2" xfId="3362" xr:uid="{00000000-0005-0000-0000-0000FC010000}"/>
    <cellStyle name="Check Cell 2 3 4" xfId="1525" xr:uid="{00000000-0005-0000-0000-0000FD010000}"/>
    <cellStyle name="Check Cell 2 3 4 2" xfId="2921" xr:uid="{00000000-0005-0000-0000-0000FE010000}"/>
    <cellStyle name="Check Cell 2 3 5" xfId="1447" xr:uid="{00000000-0005-0000-0000-0000FF010000}"/>
    <cellStyle name="Check Cell 2 3 5 2" xfId="2861" xr:uid="{00000000-0005-0000-0000-000000020000}"/>
    <cellStyle name="Check Cell 2 3 6" xfId="1648" xr:uid="{00000000-0005-0000-0000-000001020000}"/>
    <cellStyle name="Check Cell 2 3 6 2" xfId="3040" xr:uid="{00000000-0005-0000-0000-000002020000}"/>
    <cellStyle name="Check Cell 2 3 7" xfId="1328" xr:uid="{00000000-0005-0000-0000-000003020000}"/>
    <cellStyle name="Check Cell 2 3 7 2" xfId="2768" xr:uid="{00000000-0005-0000-0000-000004020000}"/>
    <cellStyle name="Check Cell 2 3 8" xfId="1999" xr:uid="{00000000-0005-0000-0000-000005020000}"/>
    <cellStyle name="Check Cell 2 3 8 2" xfId="3346" xr:uid="{00000000-0005-0000-0000-000006020000}"/>
    <cellStyle name="Check Cell 2 4" xfId="749" xr:uid="{00000000-0005-0000-0000-000007020000}"/>
    <cellStyle name="Check Cell 2 4 2" xfId="1000" xr:uid="{00000000-0005-0000-0000-000008020000}"/>
    <cellStyle name="Check Cell 2 4 2 2" xfId="1688" xr:uid="{00000000-0005-0000-0000-000009020000}"/>
    <cellStyle name="Check Cell 2 4 2 2 2" xfId="3080" xr:uid="{00000000-0005-0000-0000-00000A020000}"/>
    <cellStyle name="Check Cell 2 4 2 3" xfId="1472" xr:uid="{00000000-0005-0000-0000-00000B020000}"/>
    <cellStyle name="Check Cell 2 4 2 3 2" xfId="2876" xr:uid="{00000000-0005-0000-0000-00000C020000}"/>
    <cellStyle name="Check Cell 2 4 2 4" xfId="1898" xr:uid="{00000000-0005-0000-0000-00000D020000}"/>
    <cellStyle name="Check Cell 2 4 2 4 2" xfId="3265" xr:uid="{00000000-0005-0000-0000-00000E020000}"/>
    <cellStyle name="Check Cell 2 4 2 5" xfId="1343" xr:uid="{00000000-0005-0000-0000-00000F020000}"/>
    <cellStyle name="Check Cell 2 4 2 5 2" xfId="2778" xr:uid="{00000000-0005-0000-0000-000010020000}"/>
    <cellStyle name="Check Cell 2 4 2 6" xfId="1575" xr:uid="{00000000-0005-0000-0000-000011020000}"/>
    <cellStyle name="Check Cell 2 4 2 6 2" xfId="2970" xr:uid="{00000000-0005-0000-0000-000012020000}"/>
    <cellStyle name="Check Cell 2 4 3" xfId="1228" xr:uid="{00000000-0005-0000-0000-000013020000}"/>
    <cellStyle name="Check Cell 2 4 3 2" xfId="1817" xr:uid="{00000000-0005-0000-0000-000014020000}"/>
    <cellStyle name="Check Cell 2 4 3 2 2" xfId="3194" xr:uid="{00000000-0005-0000-0000-000015020000}"/>
    <cellStyle name="Check Cell 2 4 3 3" xfId="1904" xr:uid="{00000000-0005-0000-0000-000016020000}"/>
    <cellStyle name="Check Cell 2 4 3 3 2" xfId="3271" xr:uid="{00000000-0005-0000-0000-000017020000}"/>
    <cellStyle name="Check Cell 2 4 3 4" xfId="1947" xr:uid="{00000000-0005-0000-0000-000018020000}"/>
    <cellStyle name="Check Cell 2 4 3 4 2" xfId="3305" xr:uid="{00000000-0005-0000-0000-000019020000}"/>
    <cellStyle name="Check Cell 2 4 3 5" xfId="1994" xr:uid="{00000000-0005-0000-0000-00001A020000}"/>
    <cellStyle name="Check Cell 2 4 3 5 2" xfId="3343" xr:uid="{00000000-0005-0000-0000-00001B020000}"/>
    <cellStyle name="Check Cell 2 4 3 6" xfId="2030" xr:uid="{00000000-0005-0000-0000-00001C020000}"/>
    <cellStyle name="Check Cell 2 4 3 6 2" xfId="3365" xr:uid="{00000000-0005-0000-0000-00001D020000}"/>
    <cellStyle name="Check Cell 2 4 4" xfId="1554" xr:uid="{00000000-0005-0000-0000-00001E020000}"/>
    <cellStyle name="Check Cell 2 4 4 2" xfId="2950" xr:uid="{00000000-0005-0000-0000-00001F020000}"/>
    <cellStyle name="Check Cell 2 4 5" xfId="1563" xr:uid="{00000000-0005-0000-0000-000020020000}"/>
    <cellStyle name="Check Cell 2 4 5 2" xfId="2959" xr:uid="{00000000-0005-0000-0000-000021020000}"/>
    <cellStyle name="Check Cell 2 4 6" xfId="1355" xr:uid="{00000000-0005-0000-0000-000022020000}"/>
    <cellStyle name="Check Cell 2 4 6 2" xfId="2789" xr:uid="{00000000-0005-0000-0000-000023020000}"/>
    <cellStyle name="Check Cell 2 4 7" xfId="1433" xr:uid="{00000000-0005-0000-0000-000024020000}"/>
    <cellStyle name="Check Cell 2 4 7 2" xfId="2851" xr:uid="{00000000-0005-0000-0000-000025020000}"/>
    <cellStyle name="Check Cell 2 4 8" xfId="1734" xr:uid="{00000000-0005-0000-0000-000026020000}"/>
    <cellStyle name="Check Cell 2 4 8 2" xfId="3116" xr:uid="{00000000-0005-0000-0000-000027020000}"/>
    <cellStyle name="Check Cell 3" xfId="2042" xr:uid="{00000000-0005-0000-0000-000028020000}"/>
    <cellStyle name="ColumnHeaderNormal" xfId="371" xr:uid="{00000000-0005-0000-0000-000029020000}"/>
    <cellStyle name="columns" xfId="440" xr:uid="{00000000-0005-0000-0000-00002A020000}"/>
    <cellStyle name="Comma" xfId="32" builtinId="3"/>
    <cellStyle name="comma (0)" xfId="441" xr:uid="{00000000-0005-0000-0000-00002C020000}"/>
    <cellStyle name="comma (0) 2" xfId="2109" xr:uid="{00000000-0005-0000-0000-00002D020000}"/>
    <cellStyle name="Comma (1)" xfId="372" xr:uid="{00000000-0005-0000-0000-00002E020000}"/>
    <cellStyle name="Comma [1]" xfId="373" xr:uid="{00000000-0005-0000-0000-00002F020000}"/>
    <cellStyle name="Comma 10" xfId="601" xr:uid="{00000000-0005-0000-0000-000030020000}"/>
    <cellStyle name="Comma 11" xfId="585" xr:uid="{00000000-0005-0000-0000-000031020000}"/>
    <cellStyle name="Comma 12" xfId="602" xr:uid="{00000000-0005-0000-0000-000032020000}"/>
    <cellStyle name="Comma 13" xfId="541" xr:uid="{00000000-0005-0000-0000-000033020000}"/>
    <cellStyle name="Comma 13 2" xfId="670" xr:uid="{00000000-0005-0000-0000-000034020000}"/>
    <cellStyle name="Comma 14" xfId="609" xr:uid="{00000000-0005-0000-0000-000035020000}"/>
    <cellStyle name="Comma 14 2" xfId="690" xr:uid="{00000000-0005-0000-0000-000036020000}"/>
    <cellStyle name="Comma 15" xfId="608" xr:uid="{00000000-0005-0000-0000-000037020000}"/>
    <cellStyle name="Comma 15 2" xfId="689" xr:uid="{00000000-0005-0000-0000-000038020000}"/>
    <cellStyle name="Comma 16" xfId="119" xr:uid="{00000000-0005-0000-0000-000039020000}"/>
    <cellStyle name="Comma 17" xfId="1305" xr:uid="{00000000-0005-0000-0000-00003A020000}"/>
    <cellStyle name="Comma 18" xfId="1418" xr:uid="{00000000-0005-0000-0000-00003B020000}"/>
    <cellStyle name="Comma 19" xfId="1715" xr:uid="{00000000-0005-0000-0000-00003C020000}"/>
    <cellStyle name="Comma 2" xfId="72" xr:uid="{00000000-0005-0000-0000-00003D020000}"/>
    <cellStyle name="Comma 2 10" xfId="442" xr:uid="{00000000-0005-0000-0000-00003E020000}"/>
    <cellStyle name="Comma 2 11" xfId="374" xr:uid="{00000000-0005-0000-0000-00003F020000}"/>
    <cellStyle name="Comma 2 12" xfId="123" xr:uid="{00000000-0005-0000-0000-000040020000}"/>
    <cellStyle name="Comma 2 13" xfId="2049" xr:uid="{00000000-0005-0000-0000-000041020000}"/>
    <cellStyle name="Comma 2 2" xfId="110" xr:uid="{00000000-0005-0000-0000-000042020000}"/>
    <cellStyle name="Comma 2 2 2" xfId="118" xr:uid="{00000000-0005-0000-0000-000043020000}"/>
    <cellStyle name="Comma 2 2 2 2" xfId="248" xr:uid="{00000000-0005-0000-0000-000044020000}"/>
    <cellStyle name="Comma 2 2 3" xfId="329" xr:uid="{00000000-0005-0000-0000-000045020000}"/>
    <cellStyle name="Comma 2 2 3 2" xfId="330" xr:uid="{00000000-0005-0000-0000-000046020000}"/>
    <cellStyle name="Comma 2 2 3 2 2" xfId="632" xr:uid="{00000000-0005-0000-0000-000047020000}"/>
    <cellStyle name="Comma 2 2 3 2 2 2" xfId="792" xr:uid="{00000000-0005-0000-0000-000048020000}"/>
    <cellStyle name="Comma 2 2 3 2 2 2 2" xfId="1040" xr:uid="{00000000-0005-0000-0000-000049020000}"/>
    <cellStyle name="Comma 2 2 3 2 2 2 2 2" xfId="2505" xr:uid="{00000000-0005-0000-0000-00004A020000}"/>
    <cellStyle name="Comma 2 2 3 2 2 2 3" xfId="1259" xr:uid="{00000000-0005-0000-0000-00004B020000}"/>
    <cellStyle name="Comma 2 2 3 2 2 2 3 2" xfId="2710" xr:uid="{00000000-0005-0000-0000-00004C020000}"/>
    <cellStyle name="Comma 2 2 3 2 2 2 4" xfId="2272" xr:uid="{00000000-0005-0000-0000-00004D020000}"/>
    <cellStyle name="Comma 2 2 3 2 2 3" xfId="914" xr:uid="{00000000-0005-0000-0000-00004E020000}"/>
    <cellStyle name="Comma 2 2 3 2 2 3 2" xfId="2387" xr:uid="{00000000-0005-0000-0000-00004F020000}"/>
    <cellStyle name="Comma 2 2 3 2 2 4" xfId="1162" xr:uid="{00000000-0005-0000-0000-000050020000}"/>
    <cellStyle name="Comma 2 2 3 2 2 4 2" xfId="2620" xr:uid="{00000000-0005-0000-0000-000051020000}"/>
    <cellStyle name="Comma 2 2 3 2 2 5" xfId="2151" xr:uid="{00000000-0005-0000-0000-000052020000}"/>
    <cellStyle name="Comma 2 2 3 2 3" xfId="731" xr:uid="{00000000-0005-0000-0000-000053020000}"/>
    <cellStyle name="Comma 2 2 3 2 3 2" xfId="984" xr:uid="{00000000-0005-0000-0000-000054020000}"/>
    <cellStyle name="Comma 2 2 3 2 3 2 2" xfId="2453" xr:uid="{00000000-0005-0000-0000-000055020000}"/>
    <cellStyle name="Comma 2 2 3 2 3 3" xfId="1212" xr:uid="{00000000-0005-0000-0000-000056020000}"/>
    <cellStyle name="Comma 2 2 3 2 3 3 2" xfId="2667" xr:uid="{00000000-0005-0000-0000-000057020000}"/>
    <cellStyle name="Comma 2 2 3 2 3 4" xfId="2217" xr:uid="{00000000-0005-0000-0000-000058020000}"/>
    <cellStyle name="Comma 2 2 3 2 4" xfId="866" xr:uid="{00000000-0005-0000-0000-000059020000}"/>
    <cellStyle name="Comma 2 2 3 2 4 2" xfId="2339" xr:uid="{00000000-0005-0000-0000-00005A020000}"/>
    <cellStyle name="Comma 2 2 3 2 5" xfId="1108" xr:uid="{00000000-0005-0000-0000-00005B020000}"/>
    <cellStyle name="Comma 2 2 3 2 5 2" xfId="2567" xr:uid="{00000000-0005-0000-0000-00005C020000}"/>
    <cellStyle name="Comma 2 2 3 2 6" xfId="2087" xr:uid="{00000000-0005-0000-0000-00005D020000}"/>
    <cellStyle name="Comma 2 2 3 3" xfId="631" xr:uid="{00000000-0005-0000-0000-00005E020000}"/>
    <cellStyle name="Comma 2 2 3 3 2" xfId="791" xr:uid="{00000000-0005-0000-0000-00005F020000}"/>
    <cellStyle name="Comma 2 2 3 3 2 2" xfId="1039" xr:uid="{00000000-0005-0000-0000-000060020000}"/>
    <cellStyle name="Comma 2 2 3 3 2 2 2" xfId="2504" xr:uid="{00000000-0005-0000-0000-000061020000}"/>
    <cellStyle name="Comma 2 2 3 3 2 3" xfId="1258" xr:uid="{00000000-0005-0000-0000-000062020000}"/>
    <cellStyle name="Comma 2 2 3 3 2 3 2" xfId="2709" xr:uid="{00000000-0005-0000-0000-000063020000}"/>
    <cellStyle name="Comma 2 2 3 3 2 4" xfId="2271" xr:uid="{00000000-0005-0000-0000-000064020000}"/>
    <cellStyle name="Comma 2 2 3 3 3" xfId="913" xr:uid="{00000000-0005-0000-0000-000065020000}"/>
    <cellStyle name="Comma 2 2 3 3 3 2" xfId="2386" xr:uid="{00000000-0005-0000-0000-000066020000}"/>
    <cellStyle name="Comma 2 2 3 3 4" xfId="1161" xr:uid="{00000000-0005-0000-0000-000067020000}"/>
    <cellStyle name="Comma 2 2 3 3 4 2" xfId="2619" xr:uid="{00000000-0005-0000-0000-000068020000}"/>
    <cellStyle name="Comma 2 2 3 3 5" xfId="2150" xr:uid="{00000000-0005-0000-0000-000069020000}"/>
    <cellStyle name="Comma 2 2 3 4" xfId="730" xr:uid="{00000000-0005-0000-0000-00006A020000}"/>
    <cellStyle name="Comma 2 2 3 4 2" xfId="983" xr:uid="{00000000-0005-0000-0000-00006B020000}"/>
    <cellStyle name="Comma 2 2 3 4 2 2" xfId="2452" xr:uid="{00000000-0005-0000-0000-00006C020000}"/>
    <cellStyle name="Comma 2 2 3 4 3" xfId="1211" xr:uid="{00000000-0005-0000-0000-00006D020000}"/>
    <cellStyle name="Comma 2 2 3 4 3 2" xfId="2666" xr:uid="{00000000-0005-0000-0000-00006E020000}"/>
    <cellStyle name="Comma 2 2 3 4 4" xfId="2216" xr:uid="{00000000-0005-0000-0000-00006F020000}"/>
    <cellStyle name="Comma 2 2 3 5" xfId="865" xr:uid="{00000000-0005-0000-0000-000070020000}"/>
    <cellStyle name="Comma 2 2 3 5 2" xfId="2338" xr:uid="{00000000-0005-0000-0000-000071020000}"/>
    <cellStyle name="Comma 2 2 3 6" xfId="1107" xr:uid="{00000000-0005-0000-0000-000072020000}"/>
    <cellStyle name="Comma 2 2 3 6 2" xfId="2566" xr:uid="{00000000-0005-0000-0000-000073020000}"/>
    <cellStyle name="Comma 2 2 3 7" xfId="2086" xr:uid="{00000000-0005-0000-0000-000074020000}"/>
    <cellStyle name="Comma 2 2 4" xfId="113" xr:uid="{00000000-0005-0000-0000-000075020000}"/>
    <cellStyle name="Comma 2 2 7" xfId="102" xr:uid="{00000000-0005-0000-0000-000076020000}"/>
    <cellStyle name="Comma 2 2 7 2" xfId="2052" xr:uid="{00000000-0005-0000-0000-000077020000}"/>
    <cellStyle name="Comma 2 3" xfId="171" xr:uid="{00000000-0005-0000-0000-000078020000}"/>
    <cellStyle name="Comma 2 3 2" xfId="331" xr:uid="{00000000-0005-0000-0000-000079020000}"/>
    <cellStyle name="Comma 2 3 3" xfId="332" xr:uid="{00000000-0005-0000-0000-00007A020000}"/>
    <cellStyle name="Comma 2 4" xfId="443" xr:uid="{00000000-0005-0000-0000-00007B020000}"/>
    <cellStyle name="Comma 2 5" xfId="444" xr:uid="{00000000-0005-0000-0000-00007C020000}"/>
    <cellStyle name="Comma 2 6" xfId="445" xr:uid="{00000000-0005-0000-0000-00007D020000}"/>
    <cellStyle name="Comma 2 7" xfId="446" xr:uid="{00000000-0005-0000-0000-00007E020000}"/>
    <cellStyle name="Comma 2 8" xfId="447" xr:uid="{00000000-0005-0000-0000-00007F020000}"/>
    <cellStyle name="Comma 2 9" xfId="448" xr:uid="{00000000-0005-0000-0000-000080020000}"/>
    <cellStyle name="Comma 20" xfId="1440" xr:uid="{00000000-0005-0000-0000-000081020000}"/>
    <cellStyle name="Comma 21" xfId="1416" xr:uid="{00000000-0005-0000-0000-000082020000}"/>
    <cellStyle name="Comma 22" xfId="172" xr:uid="{00000000-0005-0000-0000-000083020000}"/>
    <cellStyle name="Comma 24 2" xfId="96" xr:uid="{00000000-0005-0000-0000-000084020000}"/>
    <cellStyle name="Comma 3" xfId="94" xr:uid="{00000000-0005-0000-0000-000085020000}"/>
    <cellStyle name="Comma 3 2" xfId="289" xr:uid="{00000000-0005-0000-0000-000086020000}"/>
    <cellStyle name="Comma 3 3" xfId="477" xr:uid="{00000000-0005-0000-0000-000087020000}"/>
    <cellStyle name="Comma 3 4" xfId="185" xr:uid="{00000000-0005-0000-0000-000088020000}"/>
    <cellStyle name="Comma 4" xfId="100" xr:uid="{00000000-0005-0000-0000-000089020000}"/>
    <cellStyle name="Comma 4 2" xfId="290" xr:uid="{00000000-0005-0000-0000-00008A020000}"/>
    <cellStyle name="Comma 4 3" xfId="249" xr:uid="{00000000-0005-0000-0000-00008B020000}"/>
    <cellStyle name="Comma 4 4" xfId="2051" xr:uid="{00000000-0005-0000-0000-00008C020000}"/>
    <cellStyle name="Comma 5" xfId="291" xr:uid="{00000000-0005-0000-0000-00008D020000}"/>
    <cellStyle name="Comma 5 2" xfId="588" xr:uid="{00000000-0005-0000-0000-00008E020000}"/>
    <cellStyle name="Comma 5 2 2" xfId="683" xr:uid="{00000000-0005-0000-0000-00008F020000}"/>
    <cellStyle name="Comma 5 2 2 2" xfId="825" xr:uid="{00000000-0005-0000-0000-000090020000}"/>
    <cellStyle name="Comma 5 2 2 2 2" xfId="1069" xr:uid="{00000000-0005-0000-0000-000091020000}"/>
    <cellStyle name="Comma 5 2 2 2 2 2" xfId="2532" xr:uid="{00000000-0005-0000-0000-000092020000}"/>
    <cellStyle name="Comma 5 2 2 2 3" xfId="1287" xr:uid="{00000000-0005-0000-0000-000093020000}"/>
    <cellStyle name="Comma 5 2 2 2 3 2" xfId="2736" xr:uid="{00000000-0005-0000-0000-000094020000}"/>
    <cellStyle name="Comma 5 2 2 2 4" xfId="2302" xr:uid="{00000000-0005-0000-0000-000095020000}"/>
    <cellStyle name="Comma 5 2 2 3" xfId="946" xr:uid="{00000000-0005-0000-0000-000096020000}"/>
    <cellStyle name="Comma 5 2 2 3 2" xfId="2418" xr:uid="{00000000-0005-0000-0000-000097020000}"/>
    <cellStyle name="Comma 5 2 2 4" xfId="1189" xr:uid="{00000000-0005-0000-0000-000098020000}"/>
    <cellStyle name="Comma 5 2 2 4 2" xfId="2647" xr:uid="{00000000-0005-0000-0000-000099020000}"/>
    <cellStyle name="Comma 5 2 2 5" xfId="2179" xr:uid="{00000000-0005-0000-0000-00009A020000}"/>
    <cellStyle name="Comma 5 2 3" xfId="768" xr:uid="{00000000-0005-0000-0000-00009B020000}"/>
    <cellStyle name="Comma 5 2 3 2" xfId="1016" xr:uid="{00000000-0005-0000-0000-00009C020000}"/>
    <cellStyle name="Comma 5 2 3 2 2" xfId="2482" xr:uid="{00000000-0005-0000-0000-00009D020000}"/>
    <cellStyle name="Comma 5 2 3 3" xfId="1240" xr:uid="{00000000-0005-0000-0000-00009E020000}"/>
    <cellStyle name="Comma 5 2 3 3 2" xfId="2692" xr:uid="{00000000-0005-0000-0000-00009F020000}"/>
    <cellStyle name="Comma 5 2 3 4" xfId="2249" xr:uid="{00000000-0005-0000-0000-0000A0020000}"/>
    <cellStyle name="Comma 5 2 4" xfId="895" xr:uid="{00000000-0005-0000-0000-0000A1020000}"/>
    <cellStyle name="Comma 5 2 4 2" xfId="2368" xr:uid="{00000000-0005-0000-0000-0000A2020000}"/>
    <cellStyle name="Comma 5 2 5" xfId="1140" xr:uid="{00000000-0005-0000-0000-0000A3020000}"/>
    <cellStyle name="Comma 5 2 5 2" xfId="2598" xr:uid="{00000000-0005-0000-0000-0000A4020000}"/>
    <cellStyle name="Comma 5 2 6" xfId="2129" xr:uid="{00000000-0005-0000-0000-0000A5020000}"/>
    <cellStyle name="Comma 6" xfId="292" xr:uid="{00000000-0005-0000-0000-0000A6020000}"/>
    <cellStyle name="Comma 7" xfId="293" xr:uid="{00000000-0005-0000-0000-0000A7020000}"/>
    <cellStyle name="Comma 8" xfId="294" xr:uid="{00000000-0005-0000-0000-0000A8020000}"/>
    <cellStyle name="Comma 9" xfId="583" xr:uid="{00000000-0005-0000-0000-0000A9020000}"/>
    <cellStyle name="CommaU [0]" xfId="375" xr:uid="{00000000-0005-0000-0000-0000AA020000}"/>
    <cellStyle name="CommaU [1]" xfId="376" xr:uid="{00000000-0005-0000-0000-0000AB020000}"/>
    <cellStyle name="CommaU [2]" xfId="377" xr:uid="{00000000-0005-0000-0000-0000AC020000}"/>
    <cellStyle name="CompanyName" xfId="378" xr:uid="{00000000-0005-0000-0000-0000AD020000}"/>
    <cellStyle name="Currency" xfId="3380" builtinId="4"/>
    <cellStyle name="Currency (1)" xfId="379" xr:uid="{00000000-0005-0000-0000-0000AF020000}"/>
    <cellStyle name="Currency [1]" xfId="380" xr:uid="{00000000-0005-0000-0000-0000B0020000}"/>
    <cellStyle name="Currency 10" xfId="584" xr:uid="{00000000-0005-0000-0000-0000B1020000}"/>
    <cellStyle name="Currency 11" xfId="600" xr:uid="{00000000-0005-0000-0000-0000B2020000}"/>
    <cellStyle name="Currency 12" xfId="540" xr:uid="{00000000-0005-0000-0000-0000B3020000}"/>
    <cellStyle name="Currency 12 2" xfId="669" xr:uid="{00000000-0005-0000-0000-0000B4020000}"/>
    <cellStyle name="Currency 13" xfId="610" xr:uid="{00000000-0005-0000-0000-0000B5020000}"/>
    <cellStyle name="Currency 13 2" xfId="691" xr:uid="{00000000-0005-0000-0000-0000B6020000}"/>
    <cellStyle name="Currency 14" xfId="607" xr:uid="{00000000-0005-0000-0000-0000B7020000}"/>
    <cellStyle name="Currency 14 2" xfId="688" xr:uid="{00000000-0005-0000-0000-0000B8020000}"/>
    <cellStyle name="Currency 15" xfId="120" xr:uid="{00000000-0005-0000-0000-0000B9020000}"/>
    <cellStyle name="Currency 16" xfId="1306" xr:uid="{00000000-0005-0000-0000-0000BA020000}"/>
    <cellStyle name="Currency 17" xfId="1451" xr:uid="{00000000-0005-0000-0000-0000BB020000}"/>
    <cellStyle name="Currency 18" xfId="1710" xr:uid="{00000000-0005-0000-0000-0000BC020000}"/>
    <cellStyle name="Currency 19" xfId="1341" xr:uid="{00000000-0005-0000-0000-0000BD020000}"/>
    <cellStyle name="Currency 2" xfId="76" xr:uid="{00000000-0005-0000-0000-0000BE020000}"/>
    <cellStyle name="Currency 2 2" xfId="111" xr:uid="{00000000-0005-0000-0000-0000BF020000}"/>
    <cellStyle name="Currency 2 2 2" xfId="295" xr:uid="{00000000-0005-0000-0000-0000C0020000}"/>
    <cellStyle name="Currency 2 2 3" xfId="166" xr:uid="{00000000-0005-0000-0000-0000C1020000}"/>
    <cellStyle name="Currency 2 3" xfId="478" xr:uid="{00000000-0005-0000-0000-0000C2020000}"/>
    <cellStyle name="Currency 2 4" xfId="173" xr:uid="{00000000-0005-0000-0000-0000C3020000}"/>
    <cellStyle name="Currency 2 5" xfId="2050" xr:uid="{00000000-0005-0000-0000-0000C4020000}"/>
    <cellStyle name="Currency 20" xfId="1907" xr:uid="{00000000-0005-0000-0000-0000C5020000}"/>
    <cellStyle name="Currency 3" xfId="296" xr:uid="{00000000-0005-0000-0000-0000C6020000}"/>
    <cellStyle name="Currency 3 2" xfId="297" xr:uid="{00000000-0005-0000-0000-0000C7020000}"/>
    <cellStyle name="Currency 4" xfId="186" xr:uid="{00000000-0005-0000-0000-0000C8020000}"/>
    <cellStyle name="Currency 4 2" xfId="112" xr:uid="{00000000-0005-0000-0000-0000C9020000}"/>
    <cellStyle name="Currency 5" xfId="174" xr:uid="{00000000-0005-0000-0000-0000CA020000}"/>
    <cellStyle name="Currency 5 2" xfId="333" xr:uid="{00000000-0005-0000-0000-0000CB020000}"/>
    <cellStyle name="Currency 6" xfId="298" xr:uid="{00000000-0005-0000-0000-0000CC020000}"/>
    <cellStyle name="Currency 7" xfId="299" xr:uid="{00000000-0005-0000-0000-0000CD020000}"/>
    <cellStyle name="Currency 8" xfId="582" xr:uid="{00000000-0005-0000-0000-0000CE020000}"/>
    <cellStyle name="Currency 9" xfId="599" xr:uid="{00000000-0005-0000-0000-0000CF020000}"/>
    <cellStyle name="Currency0" xfId="479" xr:uid="{00000000-0005-0000-0000-0000D0020000}"/>
    <cellStyle name="Currency1" xfId="480" xr:uid="{00000000-0005-0000-0000-0000D1020000}"/>
    <cellStyle name="Currency2" xfId="481" xr:uid="{00000000-0005-0000-0000-0000D2020000}"/>
    <cellStyle name="Currency2 2" xfId="2110" xr:uid="{00000000-0005-0000-0000-0000D3020000}"/>
    <cellStyle name="d_yield" xfId="482" xr:uid="{00000000-0005-0000-0000-0000D4020000}"/>
    <cellStyle name="Dash" xfId="381" xr:uid="{00000000-0005-0000-0000-0000D5020000}"/>
    <cellStyle name="Date" xfId="382" xr:uid="{00000000-0005-0000-0000-0000D6020000}"/>
    <cellStyle name="DateTime" xfId="300" xr:uid="{00000000-0005-0000-0000-0000D7020000}"/>
    <cellStyle name="Dollar" xfId="383" xr:uid="{00000000-0005-0000-0000-0000D8020000}"/>
    <cellStyle name="eps" xfId="483" xr:uid="{00000000-0005-0000-0000-0000D9020000}"/>
    <cellStyle name="eps$" xfId="484" xr:uid="{00000000-0005-0000-0000-0000DA020000}"/>
    <cellStyle name="eps$A" xfId="485" xr:uid="{00000000-0005-0000-0000-0000DB020000}"/>
    <cellStyle name="eps$E" xfId="486" xr:uid="{00000000-0005-0000-0000-0000DC020000}"/>
    <cellStyle name="epsA" xfId="487" xr:uid="{00000000-0005-0000-0000-0000DD020000}"/>
    <cellStyle name="epsE" xfId="488" xr:uid="{00000000-0005-0000-0000-0000DE020000}"/>
    <cellStyle name="Euro" xfId="384" xr:uid="{00000000-0005-0000-0000-0000DF020000}"/>
    <cellStyle name="Explanatory Text" xfId="33" builtinId="53" customBuiltin="1"/>
    <cellStyle name="Explanatory Text 2" xfId="152" xr:uid="{00000000-0005-0000-0000-0000E1020000}"/>
    <cellStyle name="Fixed" xfId="385" xr:uid="{00000000-0005-0000-0000-0000E2020000}"/>
    <cellStyle name="footnote" xfId="449" xr:uid="{00000000-0005-0000-0000-0000E3020000}"/>
    <cellStyle name="fy_eps$" xfId="489" xr:uid="{00000000-0005-0000-0000-0000E4020000}"/>
    <cellStyle name="g_rate" xfId="490" xr:uid="{00000000-0005-0000-0000-0000E5020000}"/>
    <cellStyle name="Good" xfId="34" builtinId="26" customBuiltin="1"/>
    <cellStyle name="Good 2" xfId="153" xr:uid="{00000000-0005-0000-0000-0000E7020000}"/>
    <cellStyle name="Grey" xfId="386" xr:uid="{00000000-0005-0000-0000-0000E8020000}"/>
    <cellStyle name="HEADER" xfId="387" xr:uid="{00000000-0005-0000-0000-0000E9020000}"/>
    <cellStyle name="Header1" xfId="388" xr:uid="{00000000-0005-0000-0000-0000EA020000}"/>
    <cellStyle name="Header1 2" xfId="1729" xr:uid="{00000000-0005-0000-0000-0000EB020000}"/>
    <cellStyle name="Header2" xfId="389" xr:uid="{00000000-0005-0000-0000-0000EC020000}"/>
    <cellStyle name="Header2 2" xfId="650" xr:uid="{00000000-0005-0000-0000-0000ED020000}"/>
    <cellStyle name="Header2 2 2" xfId="808" xr:uid="{00000000-0005-0000-0000-0000EE020000}"/>
    <cellStyle name="Header2 2 2 2" xfId="2288" xr:uid="{00000000-0005-0000-0000-0000EF020000}"/>
    <cellStyle name="Header2 2 3" xfId="835" xr:uid="{00000000-0005-0000-0000-0000F0020000}"/>
    <cellStyle name="Header2 2 3 2" xfId="1297" xr:uid="{00000000-0005-0000-0000-0000F1020000}"/>
    <cellStyle name="Header2 2 3 2 2" xfId="1845" xr:uid="{00000000-0005-0000-0000-0000F2020000}"/>
    <cellStyle name="Header2 2 3 2 2 2" xfId="3221" xr:uid="{00000000-0005-0000-0000-0000F3020000}"/>
    <cellStyle name="Header2 2 3 2 3" xfId="1967" xr:uid="{00000000-0005-0000-0000-0000F4020000}"/>
    <cellStyle name="Header2 2 3 2 3 2" xfId="3319" xr:uid="{00000000-0005-0000-0000-0000F5020000}"/>
    <cellStyle name="Header2 2 3 2 4" xfId="2012" xr:uid="{00000000-0005-0000-0000-0000F6020000}"/>
    <cellStyle name="Header2 2 3 2 4 2" xfId="3357" xr:uid="{00000000-0005-0000-0000-0000F7020000}"/>
    <cellStyle name="Header2 2 3 2 5" xfId="2036" xr:uid="{00000000-0005-0000-0000-0000F8020000}"/>
    <cellStyle name="Header2 2 3 2 5 2" xfId="3371" xr:uid="{00000000-0005-0000-0000-0000F9020000}"/>
    <cellStyle name="Header2 2 3 2 6" xfId="2745" xr:uid="{00000000-0005-0000-0000-0000FA020000}"/>
    <cellStyle name="Header2 2 3 3" xfId="1596" xr:uid="{00000000-0005-0000-0000-0000FB020000}"/>
    <cellStyle name="Header2 2 3 3 2" xfId="2989" xr:uid="{00000000-0005-0000-0000-0000FC020000}"/>
    <cellStyle name="Header2 2 3 4" xfId="1543" xr:uid="{00000000-0005-0000-0000-0000FD020000}"/>
    <cellStyle name="Header2 2 3 4 2" xfId="2939" xr:uid="{00000000-0005-0000-0000-0000FE020000}"/>
    <cellStyle name="Header2 2 3 5" xfId="1683" xr:uid="{00000000-0005-0000-0000-0000FF020000}"/>
    <cellStyle name="Header2 2 3 5 2" xfId="3075" xr:uid="{00000000-0005-0000-0000-000000030000}"/>
    <cellStyle name="Header2 2 3 6" xfId="1590" xr:uid="{00000000-0005-0000-0000-000001030000}"/>
    <cellStyle name="Header2 2 3 6 2" xfId="2985" xr:uid="{00000000-0005-0000-0000-000002030000}"/>
    <cellStyle name="Header2 2 3 7" xfId="2311" xr:uid="{00000000-0005-0000-0000-000003030000}"/>
    <cellStyle name="Header2 2 4" xfId="930" xr:uid="{00000000-0005-0000-0000-000004030000}"/>
    <cellStyle name="Header2 2 4 2" xfId="1645" xr:uid="{00000000-0005-0000-0000-000005030000}"/>
    <cellStyle name="Header2 2 4 2 2" xfId="3037" xr:uid="{00000000-0005-0000-0000-000006030000}"/>
    <cellStyle name="Header2 2 4 3" xfId="1547" xr:uid="{00000000-0005-0000-0000-000007030000}"/>
    <cellStyle name="Header2 2 4 3 2" xfId="2943" xr:uid="{00000000-0005-0000-0000-000008030000}"/>
    <cellStyle name="Header2 2 4 4" xfId="1309" xr:uid="{00000000-0005-0000-0000-000009030000}"/>
    <cellStyle name="Header2 2 4 4 2" xfId="2752" xr:uid="{00000000-0005-0000-0000-00000A030000}"/>
    <cellStyle name="Header2 2 4 5" xfId="1990" xr:uid="{00000000-0005-0000-0000-00000B030000}"/>
    <cellStyle name="Header2 2 4 5 2" xfId="3340" xr:uid="{00000000-0005-0000-0000-00000C030000}"/>
    <cellStyle name="Header2 2 4 6" xfId="2403" xr:uid="{00000000-0005-0000-0000-00000D030000}"/>
    <cellStyle name="Header2 2 5" xfId="1502" xr:uid="{00000000-0005-0000-0000-00000E030000}"/>
    <cellStyle name="Header2 2 5 2" xfId="2900" xr:uid="{00000000-0005-0000-0000-00000F030000}"/>
    <cellStyle name="Header2 2 6" xfId="1482" xr:uid="{00000000-0005-0000-0000-000010030000}"/>
    <cellStyle name="Header2 2 6 2" xfId="2885" xr:uid="{00000000-0005-0000-0000-000011030000}"/>
    <cellStyle name="Header2 2 7" xfId="1475" xr:uid="{00000000-0005-0000-0000-000012030000}"/>
    <cellStyle name="Header2 2 7 2" xfId="2879" xr:uid="{00000000-0005-0000-0000-000013030000}"/>
    <cellStyle name="Header2 2 8" xfId="1812" xr:uid="{00000000-0005-0000-0000-000014030000}"/>
    <cellStyle name="Header2 2 8 2" xfId="3189" xr:uid="{00000000-0005-0000-0000-000015030000}"/>
    <cellStyle name="Header2 2 9" xfId="1351" xr:uid="{00000000-0005-0000-0000-000016030000}"/>
    <cellStyle name="Header2 2 9 2" xfId="2785" xr:uid="{00000000-0005-0000-0000-000017030000}"/>
    <cellStyle name="Header2 3" xfId="746" xr:uid="{00000000-0005-0000-0000-000018030000}"/>
    <cellStyle name="Header2 3 2" xfId="2232" xr:uid="{00000000-0005-0000-0000-000019030000}"/>
    <cellStyle name="Header2 4" xfId="1122" xr:uid="{00000000-0005-0000-0000-00001A030000}"/>
    <cellStyle name="Header2 4 2" xfId="1762" xr:uid="{00000000-0005-0000-0000-00001B030000}"/>
    <cellStyle name="Header2 4 2 2" xfId="3144" xr:uid="{00000000-0005-0000-0000-00001C030000}"/>
    <cellStyle name="Header2 4 3" xfId="1336" xr:uid="{00000000-0005-0000-0000-00001D030000}"/>
    <cellStyle name="Header2 4 3 2" xfId="2773" xr:uid="{00000000-0005-0000-0000-00001E030000}"/>
    <cellStyle name="Header2 4 4" xfId="1350" xr:uid="{00000000-0005-0000-0000-00001F030000}"/>
    <cellStyle name="Header2 4 4 2" xfId="2784" xr:uid="{00000000-0005-0000-0000-000020030000}"/>
    <cellStyle name="Header2 4 5" xfId="1858" xr:uid="{00000000-0005-0000-0000-000021030000}"/>
    <cellStyle name="Header2 4 5 2" xfId="3232" xr:uid="{00000000-0005-0000-0000-000022030000}"/>
    <cellStyle name="Header2 4 6" xfId="2581" xr:uid="{00000000-0005-0000-0000-000023030000}"/>
    <cellStyle name="Header2 5" xfId="1406" xr:uid="{00000000-0005-0000-0000-000024030000}"/>
    <cellStyle name="Header2 5 2" xfId="2829" xr:uid="{00000000-0005-0000-0000-000025030000}"/>
    <cellStyle name="Header2 6" xfId="1577" xr:uid="{00000000-0005-0000-0000-000026030000}"/>
    <cellStyle name="Header2 6 2" xfId="2972" xr:uid="{00000000-0005-0000-0000-000027030000}"/>
    <cellStyle name="Header2 7" xfId="2003" xr:uid="{00000000-0005-0000-0000-000028030000}"/>
    <cellStyle name="Header2 7 2" xfId="3350" xr:uid="{00000000-0005-0000-0000-000029030000}"/>
    <cellStyle name="heading" xfId="450" xr:uid="{00000000-0005-0000-0000-00002A030000}"/>
    <cellStyle name="Heading 1" xfId="35" builtinId="16" customBuiltin="1"/>
    <cellStyle name="Heading 1 2" xfId="154" xr:uid="{00000000-0005-0000-0000-00002C030000}"/>
    <cellStyle name="Heading 1 3" xfId="539" xr:uid="{00000000-0005-0000-0000-00002D030000}"/>
    <cellStyle name="Heading 2" xfId="36" builtinId="17" customBuiltin="1"/>
    <cellStyle name="Heading 2 2" xfId="155" xr:uid="{00000000-0005-0000-0000-00002F030000}"/>
    <cellStyle name="Heading 2 3" xfId="538" xr:uid="{00000000-0005-0000-0000-000030030000}"/>
    <cellStyle name="Heading 3" xfId="37" builtinId="18" customBuiltin="1"/>
    <cellStyle name="Heading 3 2" xfId="156" xr:uid="{00000000-0005-0000-0000-000032030000}"/>
    <cellStyle name="Heading 3 3" xfId="537" xr:uid="{00000000-0005-0000-0000-000033030000}"/>
    <cellStyle name="Heading 3 3 2" xfId="668" xr:uid="{00000000-0005-0000-0000-000034030000}"/>
    <cellStyle name="Heading 3 4" xfId="611" xr:uid="{00000000-0005-0000-0000-000035030000}"/>
    <cellStyle name="Heading 4" xfId="38" builtinId="19" customBuiltin="1"/>
    <cellStyle name="Heading 4 2" xfId="157" xr:uid="{00000000-0005-0000-0000-000037030000}"/>
    <cellStyle name="Heading 4 3" xfId="536" xr:uid="{00000000-0005-0000-0000-000038030000}"/>
    <cellStyle name="Heading1" xfId="390" xr:uid="{00000000-0005-0000-0000-000039030000}"/>
    <cellStyle name="Heading2" xfId="391" xr:uid="{00000000-0005-0000-0000-00003A030000}"/>
    <cellStyle name="HeadlineStyle" xfId="301" xr:uid="{00000000-0005-0000-0000-00003B030000}"/>
    <cellStyle name="HeadlineStyleJustified" xfId="302" xr:uid="{00000000-0005-0000-0000-00003C030000}"/>
    <cellStyle name="hidden" xfId="392" xr:uid="{00000000-0005-0000-0000-00003D030000}"/>
    <cellStyle name="hidden 2" xfId="2104" xr:uid="{00000000-0005-0000-0000-00003E030000}"/>
    <cellStyle name="HIGHLIGHT" xfId="393" xr:uid="{00000000-0005-0000-0000-00003F030000}"/>
    <cellStyle name="HIGHLIGHT 2" xfId="651" xr:uid="{00000000-0005-0000-0000-000040030000}"/>
    <cellStyle name="HIGHLIGHT 2 2" xfId="809" xr:uid="{00000000-0005-0000-0000-000041030000}"/>
    <cellStyle name="HIGHLIGHT 2 2 2" xfId="1056" xr:uid="{00000000-0005-0000-0000-000042030000}"/>
    <cellStyle name="HIGHLIGHT 2 2 2 2" xfId="1725" xr:uid="{00000000-0005-0000-0000-000043030000}"/>
    <cellStyle name="HIGHLIGHT 2 2 2 2 2" xfId="3110" xr:uid="{00000000-0005-0000-0000-000044030000}"/>
    <cellStyle name="HIGHLIGHT 2 2 2 3" xfId="1474" xr:uid="{00000000-0005-0000-0000-000045030000}"/>
    <cellStyle name="HIGHLIGHT 2 2 2 3 2" xfId="2878" xr:uid="{00000000-0005-0000-0000-000046030000}"/>
    <cellStyle name="HIGHLIGHT 2 2 2 4" xfId="1693" xr:uid="{00000000-0005-0000-0000-000047030000}"/>
    <cellStyle name="HIGHLIGHT 2 2 2 4 2" xfId="3085" xr:uid="{00000000-0005-0000-0000-000048030000}"/>
    <cellStyle name="HIGHLIGHT 2 2 2 5" xfId="1885" xr:uid="{00000000-0005-0000-0000-000049030000}"/>
    <cellStyle name="HIGHLIGHT 2 2 2 5 2" xfId="3253" xr:uid="{00000000-0005-0000-0000-00004A030000}"/>
    <cellStyle name="HIGHLIGHT 2 2 2 6" xfId="1834" xr:uid="{00000000-0005-0000-0000-00004B030000}"/>
    <cellStyle name="HIGHLIGHT 2 2 2 6 2" xfId="3210" xr:uid="{00000000-0005-0000-0000-00004C030000}"/>
    <cellStyle name="HIGHLIGHT 2 2 3" xfId="1275" xr:uid="{00000000-0005-0000-0000-00004D030000}"/>
    <cellStyle name="HIGHLIGHT 2 2 3 2" xfId="1838" xr:uid="{00000000-0005-0000-0000-00004E030000}"/>
    <cellStyle name="HIGHLIGHT 2 2 3 2 2" xfId="3214" xr:uid="{00000000-0005-0000-0000-00004F030000}"/>
    <cellStyle name="HIGHLIGHT 2 2 3 3" xfId="1926" xr:uid="{00000000-0005-0000-0000-000050030000}"/>
    <cellStyle name="HIGHLIGHT 2 2 3 3 2" xfId="3289" xr:uid="{00000000-0005-0000-0000-000051030000}"/>
    <cellStyle name="HIGHLIGHT 2 2 3 4" xfId="1961" xr:uid="{00000000-0005-0000-0000-000052030000}"/>
    <cellStyle name="HIGHLIGHT 2 2 3 4 2" xfId="3313" xr:uid="{00000000-0005-0000-0000-000053030000}"/>
    <cellStyle name="HIGHLIGHT 2 2 3 5" xfId="2005" xr:uid="{00000000-0005-0000-0000-000054030000}"/>
    <cellStyle name="HIGHLIGHT 2 2 3 5 2" xfId="3352" xr:uid="{00000000-0005-0000-0000-000055030000}"/>
    <cellStyle name="HIGHLIGHT 2 2 3 6" xfId="2033" xr:uid="{00000000-0005-0000-0000-000056030000}"/>
    <cellStyle name="HIGHLIGHT 2 2 3 6 2" xfId="3368" xr:uid="{00000000-0005-0000-0000-000057030000}"/>
    <cellStyle name="HIGHLIGHT 2 2 4" xfId="1584" xr:uid="{00000000-0005-0000-0000-000058030000}"/>
    <cellStyle name="HIGHLIGHT 2 2 4 2" xfId="2979" xr:uid="{00000000-0005-0000-0000-000059030000}"/>
    <cellStyle name="HIGHLIGHT 2 2 5" xfId="1338" xr:uid="{00000000-0005-0000-0000-00005A030000}"/>
    <cellStyle name="HIGHLIGHT 2 2 5 2" xfId="2775" xr:uid="{00000000-0005-0000-0000-00005B030000}"/>
    <cellStyle name="HIGHLIGHT 2 2 6" xfId="1519" xr:uid="{00000000-0005-0000-0000-00005C030000}"/>
    <cellStyle name="HIGHLIGHT 2 2 6 2" xfId="2915" xr:uid="{00000000-0005-0000-0000-00005D030000}"/>
    <cellStyle name="HIGHLIGHT 2 2 7" xfId="1910" xr:uid="{00000000-0005-0000-0000-00005E030000}"/>
    <cellStyle name="HIGHLIGHT 2 2 7 2" xfId="3275" xr:uid="{00000000-0005-0000-0000-00005F030000}"/>
    <cellStyle name="HIGHLIGHT 2 2 8" xfId="1679" xr:uid="{00000000-0005-0000-0000-000060030000}"/>
    <cellStyle name="HIGHLIGHT 2 2 8 2" xfId="3071" xr:uid="{00000000-0005-0000-0000-000061030000}"/>
    <cellStyle name="HIGHLIGHT 2 3" xfId="836" xr:uid="{00000000-0005-0000-0000-000062030000}"/>
    <cellStyle name="HIGHLIGHT 2 3 2" xfId="1079" xr:uid="{00000000-0005-0000-0000-000063030000}"/>
    <cellStyle name="HIGHLIGHT 2 3 2 2" xfId="1737" xr:uid="{00000000-0005-0000-0000-000064030000}"/>
    <cellStyle name="HIGHLIGHT 2 3 2 2 2" xfId="3119" xr:uid="{00000000-0005-0000-0000-000065030000}"/>
    <cellStyle name="HIGHLIGHT 2 3 2 3" xfId="1856" xr:uid="{00000000-0005-0000-0000-000066030000}"/>
    <cellStyle name="HIGHLIGHT 2 3 2 3 2" xfId="3230" xr:uid="{00000000-0005-0000-0000-000067030000}"/>
    <cellStyle name="HIGHLIGHT 2 3 2 4" xfId="1623" xr:uid="{00000000-0005-0000-0000-000068030000}"/>
    <cellStyle name="HIGHLIGHT 2 3 2 4 2" xfId="3015" xr:uid="{00000000-0005-0000-0000-000069030000}"/>
    <cellStyle name="HIGHLIGHT 2 3 2 5" xfId="1457" xr:uid="{00000000-0005-0000-0000-00006A030000}"/>
    <cellStyle name="HIGHLIGHT 2 3 2 5 2" xfId="2866" xr:uid="{00000000-0005-0000-0000-00006B030000}"/>
    <cellStyle name="HIGHLIGHT 2 3 2 6" xfId="1831" xr:uid="{00000000-0005-0000-0000-00006C030000}"/>
    <cellStyle name="HIGHLIGHT 2 3 2 6 2" xfId="3207" xr:uid="{00000000-0005-0000-0000-00006D030000}"/>
    <cellStyle name="HIGHLIGHT 2 3 3" xfId="1298" xr:uid="{00000000-0005-0000-0000-00006E030000}"/>
    <cellStyle name="HIGHLIGHT 2 3 3 2" xfId="1846" xr:uid="{00000000-0005-0000-0000-00006F030000}"/>
    <cellStyle name="HIGHLIGHT 2 3 3 2 2" xfId="3222" xr:uid="{00000000-0005-0000-0000-000070030000}"/>
    <cellStyle name="HIGHLIGHT 2 3 3 3" xfId="1935" xr:uid="{00000000-0005-0000-0000-000071030000}"/>
    <cellStyle name="HIGHLIGHT 2 3 3 3 2" xfId="3298" xr:uid="{00000000-0005-0000-0000-000072030000}"/>
    <cellStyle name="HIGHLIGHT 2 3 3 4" xfId="1968" xr:uid="{00000000-0005-0000-0000-000073030000}"/>
    <cellStyle name="HIGHLIGHT 2 3 3 4 2" xfId="3320" xr:uid="{00000000-0005-0000-0000-000074030000}"/>
    <cellStyle name="HIGHLIGHT 2 3 3 5" xfId="2013" xr:uid="{00000000-0005-0000-0000-000075030000}"/>
    <cellStyle name="HIGHLIGHT 2 3 3 5 2" xfId="3358" xr:uid="{00000000-0005-0000-0000-000076030000}"/>
    <cellStyle name="HIGHLIGHT 2 3 3 6" xfId="2037" xr:uid="{00000000-0005-0000-0000-000077030000}"/>
    <cellStyle name="HIGHLIGHT 2 3 3 6 2" xfId="3372" xr:uid="{00000000-0005-0000-0000-000078030000}"/>
    <cellStyle name="HIGHLIGHT 2 3 4" xfId="1597" xr:uid="{00000000-0005-0000-0000-000079030000}"/>
    <cellStyle name="HIGHLIGHT 2 3 4 2" xfId="2990" xr:uid="{00000000-0005-0000-0000-00007A030000}"/>
    <cellStyle name="HIGHLIGHT 2 3 5" xfId="1634" xr:uid="{00000000-0005-0000-0000-00007B030000}"/>
    <cellStyle name="HIGHLIGHT 2 3 5 2" xfId="3026" xr:uid="{00000000-0005-0000-0000-00007C030000}"/>
    <cellStyle name="HIGHLIGHT 2 3 6" xfId="1367" xr:uid="{00000000-0005-0000-0000-00007D030000}"/>
    <cellStyle name="HIGHLIGHT 2 3 6 2" xfId="2798" xr:uid="{00000000-0005-0000-0000-00007E030000}"/>
    <cellStyle name="HIGHLIGHT 2 3 7" xfId="1864" xr:uid="{00000000-0005-0000-0000-00007F030000}"/>
    <cellStyle name="HIGHLIGHT 2 3 7 2" xfId="3236" xr:uid="{00000000-0005-0000-0000-000080030000}"/>
    <cellStyle name="HIGHLIGHT 2 3 8" xfId="1924" xr:uid="{00000000-0005-0000-0000-000081030000}"/>
    <cellStyle name="HIGHLIGHT 2 3 8 2" xfId="3287" xr:uid="{00000000-0005-0000-0000-000082030000}"/>
    <cellStyle name="HIGHLIGHT 3" xfId="747" xr:uid="{00000000-0005-0000-0000-000083030000}"/>
    <cellStyle name="HIGHLIGHT 3 2" xfId="999" xr:uid="{00000000-0005-0000-0000-000084030000}"/>
    <cellStyle name="HIGHLIGHT 3 2 2" xfId="1687" xr:uid="{00000000-0005-0000-0000-000085030000}"/>
    <cellStyle name="HIGHLIGHT 3 2 2 2" xfId="3079" xr:uid="{00000000-0005-0000-0000-000086030000}"/>
    <cellStyle name="HIGHLIGHT 3 2 3" xfId="1513" xr:uid="{00000000-0005-0000-0000-000087030000}"/>
    <cellStyle name="HIGHLIGHT 3 2 3 2" xfId="2909" xr:uid="{00000000-0005-0000-0000-000088030000}"/>
    <cellStyle name="HIGHLIGHT 3 2 4" xfId="1617" xr:uid="{00000000-0005-0000-0000-000089030000}"/>
    <cellStyle name="HIGHLIGHT 3 2 4 2" xfId="3010" xr:uid="{00000000-0005-0000-0000-00008A030000}"/>
    <cellStyle name="HIGHLIGHT 3 2 5" xfId="1383" xr:uid="{00000000-0005-0000-0000-00008B030000}"/>
    <cellStyle name="HIGHLIGHT 3 2 5 2" xfId="2809" xr:uid="{00000000-0005-0000-0000-00008C030000}"/>
    <cellStyle name="HIGHLIGHT 3 2 6" xfId="1430" xr:uid="{00000000-0005-0000-0000-00008D030000}"/>
    <cellStyle name="HIGHLIGHT 3 2 6 2" xfId="2849" xr:uid="{00000000-0005-0000-0000-00008E030000}"/>
    <cellStyle name="HIGHLIGHT 3 3" xfId="1227" xr:uid="{00000000-0005-0000-0000-00008F030000}"/>
    <cellStyle name="HIGHLIGHT 3 3 2" xfId="1816" xr:uid="{00000000-0005-0000-0000-000090030000}"/>
    <cellStyle name="HIGHLIGHT 3 3 2 2" xfId="3193" xr:uid="{00000000-0005-0000-0000-000091030000}"/>
    <cellStyle name="HIGHLIGHT 3 3 3" xfId="1903" xr:uid="{00000000-0005-0000-0000-000092030000}"/>
    <cellStyle name="HIGHLIGHT 3 3 3 2" xfId="3270" xr:uid="{00000000-0005-0000-0000-000093030000}"/>
    <cellStyle name="HIGHLIGHT 3 3 4" xfId="1946" xr:uid="{00000000-0005-0000-0000-000094030000}"/>
    <cellStyle name="HIGHLIGHT 3 3 4 2" xfId="3304" xr:uid="{00000000-0005-0000-0000-000095030000}"/>
    <cellStyle name="HIGHLIGHT 3 3 5" xfId="1993" xr:uid="{00000000-0005-0000-0000-000096030000}"/>
    <cellStyle name="HIGHLIGHT 3 3 5 2" xfId="3342" xr:uid="{00000000-0005-0000-0000-000097030000}"/>
    <cellStyle name="HIGHLIGHT 3 3 6" xfId="2029" xr:uid="{00000000-0005-0000-0000-000098030000}"/>
    <cellStyle name="HIGHLIGHT 3 3 6 2" xfId="3364" xr:uid="{00000000-0005-0000-0000-000099030000}"/>
    <cellStyle name="HIGHLIGHT 3 4" xfId="1552" xr:uid="{00000000-0005-0000-0000-00009A030000}"/>
    <cellStyle name="HIGHLIGHT 3 4 2" xfId="2948" xr:uid="{00000000-0005-0000-0000-00009B030000}"/>
    <cellStyle name="HIGHLIGHT 3 5" xfId="1553" xr:uid="{00000000-0005-0000-0000-00009C030000}"/>
    <cellStyle name="HIGHLIGHT 3 5 2" xfId="2949" xr:uid="{00000000-0005-0000-0000-00009D030000}"/>
    <cellStyle name="HIGHLIGHT 3 6" xfId="1486" xr:uid="{00000000-0005-0000-0000-00009E030000}"/>
    <cellStyle name="HIGHLIGHT 3 6 2" xfId="2887" xr:uid="{00000000-0005-0000-0000-00009F030000}"/>
    <cellStyle name="HIGHLIGHT 3 7" xfId="1781" xr:uid="{00000000-0005-0000-0000-0000A0030000}"/>
    <cellStyle name="HIGHLIGHT 3 7 2" xfId="3162" xr:uid="{00000000-0005-0000-0000-0000A1030000}"/>
    <cellStyle name="HIGHLIGHT 3 8" xfId="2008" xr:uid="{00000000-0005-0000-0000-0000A2030000}"/>
    <cellStyle name="HIGHLIGHT 3 8 2" xfId="3354" xr:uid="{00000000-0005-0000-0000-0000A3030000}"/>
    <cellStyle name="HIGHLIGHT 4" xfId="698" xr:uid="{00000000-0005-0000-0000-0000A4030000}"/>
    <cellStyle name="HIGHLIGHT 4 2" xfId="954" xr:uid="{00000000-0005-0000-0000-0000A5030000}"/>
    <cellStyle name="HIGHLIGHT 4 2 2" xfId="1657" xr:uid="{00000000-0005-0000-0000-0000A6030000}"/>
    <cellStyle name="HIGHLIGHT 4 2 2 2" xfId="3049" xr:uid="{00000000-0005-0000-0000-0000A7030000}"/>
    <cellStyle name="HIGHLIGHT 4 2 3" xfId="1318" xr:uid="{00000000-0005-0000-0000-0000A8030000}"/>
    <cellStyle name="HIGHLIGHT 4 2 3 2" xfId="2760" xr:uid="{00000000-0005-0000-0000-0000A9030000}"/>
    <cellStyle name="HIGHLIGHT 4 2 4" xfId="1807" xr:uid="{00000000-0005-0000-0000-0000AA030000}"/>
    <cellStyle name="HIGHLIGHT 4 2 4 2" xfId="3185" xr:uid="{00000000-0005-0000-0000-0000AB030000}"/>
    <cellStyle name="HIGHLIGHT 4 2 5" xfId="1315" xr:uid="{00000000-0005-0000-0000-0000AC030000}"/>
    <cellStyle name="HIGHLIGHT 4 2 5 2" xfId="2757" xr:uid="{00000000-0005-0000-0000-0000AD030000}"/>
    <cellStyle name="HIGHLIGHT 4 2 6" xfId="1420" xr:uid="{00000000-0005-0000-0000-0000AE030000}"/>
    <cellStyle name="HIGHLIGHT 4 2 6 2" xfId="2841" xr:uid="{00000000-0005-0000-0000-0000AF030000}"/>
    <cellStyle name="HIGHLIGHT 4 3" xfId="1197" xr:uid="{00000000-0005-0000-0000-0000B0030000}"/>
    <cellStyle name="HIGHLIGHT 4 3 2" xfId="1799" xr:uid="{00000000-0005-0000-0000-0000B1030000}"/>
    <cellStyle name="HIGHLIGHT 4 3 2 2" xfId="3177" xr:uid="{00000000-0005-0000-0000-0000B2030000}"/>
    <cellStyle name="HIGHLIGHT 4 3 3" xfId="1893" xr:uid="{00000000-0005-0000-0000-0000B3030000}"/>
    <cellStyle name="HIGHLIGHT 4 3 3 2" xfId="3260" xr:uid="{00000000-0005-0000-0000-0000B4030000}"/>
    <cellStyle name="HIGHLIGHT 4 3 4" xfId="1628" xr:uid="{00000000-0005-0000-0000-0000B5030000}"/>
    <cellStyle name="HIGHLIGHT 4 3 4 2" xfId="3020" xr:uid="{00000000-0005-0000-0000-0000B6030000}"/>
    <cellStyle name="HIGHLIGHT 4 3 5" xfId="1987" xr:uid="{00000000-0005-0000-0000-0000B7030000}"/>
    <cellStyle name="HIGHLIGHT 4 3 5 2" xfId="3337" xr:uid="{00000000-0005-0000-0000-0000B8030000}"/>
    <cellStyle name="HIGHLIGHT 4 3 6" xfId="2026" xr:uid="{00000000-0005-0000-0000-0000B9030000}"/>
    <cellStyle name="HIGHLIGHT 4 3 6 2" xfId="3361" xr:uid="{00000000-0005-0000-0000-0000BA030000}"/>
    <cellStyle name="HIGHLIGHT 4 4" xfId="1523" xr:uid="{00000000-0005-0000-0000-0000BB030000}"/>
    <cellStyle name="HIGHLIGHT 4 4 2" xfId="2919" xr:uid="{00000000-0005-0000-0000-0000BC030000}"/>
    <cellStyle name="HIGHLIGHT 4 5" xfId="1506" xr:uid="{00000000-0005-0000-0000-0000BD030000}"/>
    <cellStyle name="HIGHLIGHT 4 5 2" xfId="2904" xr:uid="{00000000-0005-0000-0000-0000BE030000}"/>
    <cellStyle name="HIGHLIGHT 4 6" xfId="1402" xr:uid="{00000000-0005-0000-0000-0000BF030000}"/>
    <cellStyle name="HIGHLIGHT 4 6 2" xfId="2826" xr:uid="{00000000-0005-0000-0000-0000C0030000}"/>
    <cellStyle name="HIGHLIGHT 4 7" xfId="1932" xr:uid="{00000000-0005-0000-0000-0000C1030000}"/>
    <cellStyle name="HIGHLIGHT 4 7 2" xfId="3295" xr:uid="{00000000-0005-0000-0000-0000C2030000}"/>
    <cellStyle name="HIGHLIGHT 4 8" xfId="1977" xr:uid="{00000000-0005-0000-0000-0000C3030000}"/>
    <cellStyle name="HIGHLIGHT 4 8 2" xfId="3328" xr:uid="{00000000-0005-0000-0000-0000C4030000}"/>
    <cellStyle name="Hyperlink" xfId="39" builtinId="8"/>
    <cellStyle name="Hyperlink 2" xfId="250" xr:uid="{00000000-0005-0000-0000-0000C6030000}"/>
    <cellStyle name="Hyperlink 2 2" xfId="66" xr:uid="{00000000-0005-0000-0000-0000C7030000}"/>
    <cellStyle name="Hyperlink 2 2 2" xfId="175" xr:uid="{00000000-0005-0000-0000-0000C8030000}"/>
    <cellStyle name="Hyperlink 2 3" xfId="491" xr:uid="{00000000-0005-0000-0000-0000C9030000}"/>
    <cellStyle name="Hyperlink 3" xfId="592" xr:uid="{00000000-0005-0000-0000-0000CA030000}"/>
    <cellStyle name="Hyperlink 3 2" xfId="3375" xr:uid="{00000000-0005-0000-0000-0000CB030000}"/>
    <cellStyle name="Hyperlink 4" xfId="394" xr:uid="{00000000-0005-0000-0000-0000CC030000}"/>
    <cellStyle name="Hyperlink 5" xfId="176" xr:uid="{00000000-0005-0000-0000-0000CD030000}"/>
    <cellStyle name="Hyperlink 6" xfId="189" xr:uid="{00000000-0005-0000-0000-0000CE030000}"/>
    <cellStyle name="Input" xfId="40" builtinId="20" customBuiltin="1"/>
    <cellStyle name="Input [yellow]" xfId="396" xr:uid="{00000000-0005-0000-0000-0000D0030000}"/>
    <cellStyle name="Input [yellow] 2" xfId="579" xr:uid="{00000000-0005-0000-0000-0000D1030000}"/>
    <cellStyle name="Input [yellow] 2 2" xfId="765" xr:uid="{00000000-0005-0000-0000-0000D2030000}"/>
    <cellStyle name="Input [yellow] 3" xfId="652" xr:uid="{00000000-0005-0000-0000-0000D3030000}"/>
    <cellStyle name="Input [yellow] 3 2" xfId="810" xr:uid="{00000000-0005-0000-0000-0000D4030000}"/>
    <cellStyle name="Input [yellow] 3 3" xfId="837" xr:uid="{00000000-0005-0000-0000-0000D5030000}"/>
    <cellStyle name="Input [yellow] 3 3 2" xfId="1080" xr:uid="{00000000-0005-0000-0000-0000D6030000}"/>
    <cellStyle name="Input [yellow] 3 3 2 2" xfId="1738" xr:uid="{00000000-0005-0000-0000-0000D7030000}"/>
    <cellStyle name="Input [yellow] 3 3 2 2 2" xfId="3120" xr:uid="{00000000-0005-0000-0000-0000D8030000}"/>
    <cellStyle name="Input [yellow] 3 3 2 3" xfId="1589" xr:uid="{00000000-0005-0000-0000-0000D9030000}"/>
    <cellStyle name="Input [yellow] 3 3 2 3 2" xfId="2984" xr:uid="{00000000-0005-0000-0000-0000DA030000}"/>
    <cellStyle name="Input [yellow] 3 3 2 4" xfId="1498" xr:uid="{00000000-0005-0000-0000-0000DB030000}"/>
    <cellStyle name="Input [yellow] 3 3 2 4 2" xfId="2896" xr:uid="{00000000-0005-0000-0000-0000DC030000}"/>
    <cellStyle name="Input [yellow] 3 3 2 5" xfId="496" xr:uid="{00000000-0005-0000-0000-0000DD030000}"/>
    <cellStyle name="Input [yellow] 3 3 2 5 2" xfId="2111" xr:uid="{00000000-0005-0000-0000-0000DE030000}"/>
    <cellStyle name="Input [yellow] 3 3 2 6" xfId="2541" xr:uid="{00000000-0005-0000-0000-0000DF030000}"/>
    <cellStyle name="Input [yellow] 3 3 3" xfId="1598" xr:uid="{00000000-0005-0000-0000-0000E0030000}"/>
    <cellStyle name="Input [yellow] 3 3 3 2" xfId="2991" xr:uid="{00000000-0005-0000-0000-0000E1030000}"/>
    <cellStyle name="Input [yellow] 3 3 4" xfId="1368" xr:uid="{00000000-0005-0000-0000-0000E2030000}"/>
    <cellStyle name="Input [yellow] 3 3 4 2" xfId="2799" xr:uid="{00000000-0005-0000-0000-0000E3030000}"/>
    <cellStyle name="Input [yellow] 3 3 5" xfId="1878" xr:uid="{00000000-0005-0000-0000-0000E4030000}"/>
    <cellStyle name="Input [yellow] 3 3 5 2" xfId="3247" xr:uid="{00000000-0005-0000-0000-0000E5030000}"/>
    <cellStyle name="Input [yellow] 3 3 6" xfId="1754" xr:uid="{00000000-0005-0000-0000-0000E6030000}"/>
    <cellStyle name="Input [yellow] 3 3 6 2" xfId="3136" xr:uid="{00000000-0005-0000-0000-0000E7030000}"/>
    <cellStyle name="Input [yellow] 3 3 7" xfId="2312" xr:uid="{00000000-0005-0000-0000-0000E8030000}"/>
    <cellStyle name="Input [yellow] 3 4" xfId="931" xr:uid="{00000000-0005-0000-0000-0000E9030000}"/>
    <cellStyle name="Input [yellow] 3 4 2" xfId="1646" xr:uid="{00000000-0005-0000-0000-0000EA030000}"/>
    <cellStyle name="Input [yellow] 3 4 2 2" xfId="3038" xr:uid="{00000000-0005-0000-0000-0000EB030000}"/>
    <cellStyle name="Input [yellow] 3 4 3" xfId="1691" xr:uid="{00000000-0005-0000-0000-0000EC030000}"/>
    <cellStyle name="Input [yellow] 3 4 3 2" xfId="3083" xr:uid="{00000000-0005-0000-0000-0000ED030000}"/>
    <cellStyle name="Input [yellow] 3 4 4" xfId="1720" xr:uid="{00000000-0005-0000-0000-0000EE030000}"/>
    <cellStyle name="Input [yellow] 3 4 4 2" xfId="3107" xr:uid="{00000000-0005-0000-0000-0000EF030000}"/>
    <cellStyle name="Input [yellow] 3 4 5" xfId="1558" xr:uid="{00000000-0005-0000-0000-0000F0030000}"/>
    <cellStyle name="Input [yellow] 3 4 5 2" xfId="2954" xr:uid="{00000000-0005-0000-0000-0000F1030000}"/>
    <cellStyle name="Input [yellow] 3 4 6" xfId="2404" xr:uid="{00000000-0005-0000-0000-0000F2030000}"/>
    <cellStyle name="Input [yellow] 3 5" xfId="1503" xr:uid="{00000000-0005-0000-0000-0000F3030000}"/>
    <cellStyle name="Input [yellow] 3 5 2" xfId="2901" xr:uid="{00000000-0005-0000-0000-0000F4030000}"/>
    <cellStyle name="Input [yellow] 3 6" xfId="1633" xr:uid="{00000000-0005-0000-0000-0000F5030000}"/>
    <cellStyle name="Input [yellow] 3 6 2" xfId="3025" xr:uid="{00000000-0005-0000-0000-0000F6030000}"/>
    <cellStyle name="Input [yellow] 3 7" xfId="1401" xr:uid="{00000000-0005-0000-0000-0000F7030000}"/>
    <cellStyle name="Input [yellow] 3 7 2" xfId="2825" xr:uid="{00000000-0005-0000-0000-0000F8030000}"/>
    <cellStyle name="Input [yellow] 3 8" xfId="1544" xr:uid="{00000000-0005-0000-0000-0000F9030000}"/>
    <cellStyle name="Input [yellow] 3 8 2" xfId="2940" xr:uid="{00000000-0005-0000-0000-0000FA030000}"/>
    <cellStyle name="Input [yellow] 3 9" xfId="1364" xr:uid="{00000000-0005-0000-0000-0000FB030000}"/>
    <cellStyle name="Input [yellow] 3 9 2" xfId="2796" xr:uid="{00000000-0005-0000-0000-0000FC030000}"/>
    <cellStyle name="Input [yellow] 4" xfId="748" xr:uid="{00000000-0005-0000-0000-0000FD030000}"/>
    <cellStyle name="Input [yellow] 5" xfId="1123" xr:uid="{00000000-0005-0000-0000-0000FE030000}"/>
    <cellStyle name="Input [yellow] 5 2" xfId="1763" xr:uid="{00000000-0005-0000-0000-0000FF030000}"/>
    <cellStyle name="Input [yellow] 5 2 2" xfId="3145" xr:uid="{00000000-0005-0000-0000-000000040000}"/>
    <cellStyle name="Input [yellow] 5 3" xfId="1339" xr:uid="{00000000-0005-0000-0000-000001040000}"/>
    <cellStyle name="Input [yellow] 5 3 2" xfId="2776" xr:uid="{00000000-0005-0000-0000-000002040000}"/>
    <cellStyle name="Input [yellow] 5 4" xfId="1916" xr:uid="{00000000-0005-0000-0000-000003040000}"/>
    <cellStyle name="Input [yellow] 5 4 2" xfId="3280" xr:uid="{00000000-0005-0000-0000-000004040000}"/>
    <cellStyle name="Input [yellow] 5 5" xfId="1889" xr:uid="{00000000-0005-0000-0000-000005040000}"/>
    <cellStyle name="Input [yellow] 5 5 2" xfId="3256" xr:uid="{00000000-0005-0000-0000-000006040000}"/>
    <cellStyle name="Input [yellow] 5 6" xfId="2582" xr:uid="{00000000-0005-0000-0000-000007040000}"/>
    <cellStyle name="Input [yellow] 6" xfId="1411" xr:uid="{00000000-0005-0000-0000-000008040000}"/>
    <cellStyle name="Input [yellow] 6 2" xfId="2834" xr:uid="{00000000-0005-0000-0000-000009040000}"/>
    <cellStyle name="Input [yellow] 7" xfId="1822" xr:uid="{00000000-0005-0000-0000-00000A040000}"/>
    <cellStyle name="Input [yellow] 7 2" xfId="3199" xr:uid="{00000000-0005-0000-0000-00000B040000}"/>
    <cellStyle name="Input [yellow] 8" xfId="1859" xr:uid="{00000000-0005-0000-0000-00000C040000}"/>
    <cellStyle name="Input [yellow] 8 2" xfId="3233" xr:uid="{00000000-0005-0000-0000-00000D040000}"/>
    <cellStyle name="Input 10" xfId="606" xr:uid="{00000000-0005-0000-0000-00000E040000}"/>
    <cellStyle name="Input 10 2" xfId="774" xr:uid="{00000000-0005-0000-0000-00000F040000}"/>
    <cellStyle name="Input 10 2 2" xfId="1022" xr:uid="{00000000-0005-0000-0000-000010040000}"/>
    <cellStyle name="Input 10 2 2 2" xfId="1706" xr:uid="{00000000-0005-0000-0000-000011040000}"/>
    <cellStyle name="Input 10 2 2 2 2" xfId="3096" xr:uid="{00000000-0005-0000-0000-000012040000}"/>
    <cellStyle name="Input 10 2 2 3" xfId="1435" xr:uid="{00000000-0005-0000-0000-000013040000}"/>
    <cellStyle name="Input 10 2 2 3 2" xfId="2853" xr:uid="{00000000-0005-0000-0000-000014040000}"/>
    <cellStyle name="Input 10 2 2 4" xfId="1884" xr:uid="{00000000-0005-0000-0000-000015040000}"/>
    <cellStyle name="Input 10 2 2 4 2" xfId="3252" xr:uid="{00000000-0005-0000-0000-000016040000}"/>
    <cellStyle name="Input 10 2 2 5" xfId="1912" xr:uid="{00000000-0005-0000-0000-000017040000}"/>
    <cellStyle name="Input 10 2 2 6" xfId="2488" xr:uid="{00000000-0005-0000-0000-000018040000}"/>
    <cellStyle name="Input 10 2 3" xfId="1567" xr:uid="{00000000-0005-0000-0000-000019040000}"/>
    <cellStyle name="Input 10 2 3 2" xfId="2963" xr:uid="{00000000-0005-0000-0000-00001A040000}"/>
    <cellStyle name="Input 10 2 4" xfId="1325" xr:uid="{00000000-0005-0000-0000-00001B040000}"/>
    <cellStyle name="Input 10 2 4 2" xfId="2765" xr:uid="{00000000-0005-0000-0000-00001C040000}"/>
    <cellStyle name="Input 10 2 5" xfId="1521" xr:uid="{00000000-0005-0000-0000-00001D040000}"/>
    <cellStyle name="Input 10 2 5 2" xfId="2917" xr:uid="{00000000-0005-0000-0000-00001E040000}"/>
    <cellStyle name="Input 10 2 6" xfId="1330" xr:uid="{00000000-0005-0000-0000-00001F040000}"/>
    <cellStyle name="Input 10 2 6 2" xfId="2770" xr:uid="{00000000-0005-0000-0000-000020040000}"/>
    <cellStyle name="Input 10 2 7" xfId="1331" xr:uid="{00000000-0005-0000-0000-000021040000}"/>
    <cellStyle name="Input 10 2 8" xfId="2255" xr:uid="{00000000-0005-0000-0000-000022040000}"/>
    <cellStyle name="Input 10 3" xfId="900" xr:uid="{00000000-0005-0000-0000-000023040000}"/>
    <cellStyle name="Input 10 3 2" xfId="1636" xr:uid="{00000000-0005-0000-0000-000024040000}"/>
    <cellStyle name="Input 10 3 2 2" xfId="3028" xr:uid="{00000000-0005-0000-0000-000025040000}"/>
    <cellStyle name="Input 10 3 3" xfId="1518" xr:uid="{00000000-0005-0000-0000-000026040000}"/>
    <cellStyle name="Input 10 3 3 2" xfId="2914" xr:uid="{00000000-0005-0000-0000-000027040000}"/>
    <cellStyle name="Input 10 3 4" xfId="1919" xr:uid="{00000000-0005-0000-0000-000028040000}"/>
    <cellStyle name="Input 10 3 4 2" xfId="3283" xr:uid="{00000000-0005-0000-0000-000029040000}"/>
    <cellStyle name="Input 10 3 5" xfId="1494" xr:uid="{00000000-0005-0000-0000-00002A040000}"/>
    <cellStyle name="Input 10 3 6" xfId="2373" xr:uid="{00000000-0005-0000-0000-00002B040000}"/>
    <cellStyle name="Input 10 4" xfId="1145" xr:uid="{00000000-0005-0000-0000-00002C040000}"/>
    <cellStyle name="Input 10 4 2" xfId="1774" xr:uid="{00000000-0005-0000-0000-00002D040000}"/>
    <cellStyle name="Input 10 4 2 2" xfId="3156" xr:uid="{00000000-0005-0000-0000-00002E040000}"/>
    <cellStyle name="Input 10 4 3" xfId="1732" xr:uid="{00000000-0005-0000-0000-00002F040000}"/>
    <cellStyle name="Input 10 4 3 2" xfId="3115" xr:uid="{00000000-0005-0000-0000-000030040000}"/>
    <cellStyle name="Input 10 4 4" xfId="1978" xr:uid="{00000000-0005-0000-0000-000031040000}"/>
    <cellStyle name="Input 10 4 4 2" xfId="3329" xr:uid="{00000000-0005-0000-0000-000032040000}"/>
    <cellStyle name="Input 10 4 5" xfId="2020" xr:uid="{00000000-0005-0000-0000-000033040000}"/>
    <cellStyle name="Input 10 4 6" xfId="2603" xr:uid="{00000000-0005-0000-0000-000034040000}"/>
    <cellStyle name="Input 10 5" xfId="2134" xr:uid="{00000000-0005-0000-0000-000035040000}"/>
    <cellStyle name="Input 11" xfId="2043" xr:uid="{00000000-0005-0000-0000-000036040000}"/>
    <cellStyle name="Input 2" xfId="158" xr:uid="{00000000-0005-0000-0000-000037040000}"/>
    <cellStyle name="Input 2 2" xfId="701" xr:uid="{00000000-0005-0000-0000-000038040000}"/>
    <cellStyle name="Input 2 2 2" xfId="957" xr:uid="{00000000-0005-0000-0000-000039040000}"/>
    <cellStyle name="Input 2 2 2 2" xfId="1660" xr:uid="{00000000-0005-0000-0000-00003A040000}"/>
    <cellStyle name="Input 2 2 2 2 2" xfId="3052" xr:uid="{00000000-0005-0000-0000-00003B040000}"/>
    <cellStyle name="Input 2 2 2 3" xfId="1428" xr:uid="{00000000-0005-0000-0000-00003C040000}"/>
    <cellStyle name="Input 2 2 2 3 2" xfId="2848" xr:uid="{00000000-0005-0000-0000-00003D040000}"/>
    <cellStyle name="Input 2 2 2 4" xfId="1918" xr:uid="{00000000-0005-0000-0000-00003E040000}"/>
    <cellStyle name="Input 2 2 2 4 2" xfId="3282" xr:uid="{00000000-0005-0000-0000-00003F040000}"/>
    <cellStyle name="Input 2 2 2 5" xfId="1422" xr:uid="{00000000-0005-0000-0000-000040040000}"/>
    <cellStyle name="Input 2 2 2 6" xfId="2427" xr:uid="{00000000-0005-0000-0000-000041040000}"/>
    <cellStyle name="Input 2 2 3" xfId="1526" xr:uid="{00000000-0005-0000-0000-000042040000}"/>
    <cellStyle name="Input 2 2 3 2" xfId="2922" xr:uid="{00000000-0005-0000-0000-000043040000}"/>
    <cellStyle name="Input 2 2 4" xfId="1766" xr:uid="{00000000-0005-0000-0000-000044040000}"/>
    <cellStyle name="Input 2 2 4 2" xfId="3148" xr:uid="{00000000-0005-0000-0000-000045040000}"/>
    <cellStyle name="Input 2 2 5" xfId="1789" xr:uid="{00000000-0005-0000-0000-000046040000}"/>
    <cellStyle name="Input 2 2 5 2" xfId="3168" xr:uid="{00000000-0005-0000-0000-000047040000}"/>
    <cellStyle name="Input 2 2 6" xfId="1964" xr:uid="{00000000-0005-0000-0000-000048040000}"/>
    <cellStyle name="Input 2 2 6 2" xfId="3316" xr:uid="{00000000-0005-0000-0000-000049040000}"/>
    <cellStyle name="Input 2 2 7" xfId="1777" xr:uid="{00000000-0005-0000-0000-00004A040000}"/>
    <cellStyle name="Input 2 2 8" xfId="2188" xr:uid="{00000000-0005-0000-0000-00004B040000}"/>
    <cellStyle name="Input 2 3" xfId="844" xr:uid="{00000000-0005-0000-0000-00004C040000}"/>
    <cellStyle name="Input 2 3 2" xfId="1604" xr:uid="{00000000-0005-0000-0000-00004D040000}"/>
    <cellStyle name="Input 2 3 2 2" xfId="2997" xr:uid="{00000000-0005-0000-0000-00004E040000}"/>
    <cellStyle name="Input 2 3 3" xfId="1316" xr:uid="{00000000-0005-0000-0000-00004F040000}"/>
    <cellStyle name="Input 2 3 3 2" xfId="2758" xr:uid="{00000000-0005-0000-0000-000050040000}"/>
    <cellStyle name="Input 2 3 4" xfId="1901" xr:uid="{00000000-0005-0000-0000-000051040000}"/>
    <cellStyle name="Input 2 3 4 2" xfId="3268" xr:uid="{00000000-0005-0000-0000-000052040000}"/>
    <cellStyle name="Input 2 3 5" xfId="1698" xr:uid="{00000000-0005-0000-0000-000053040000}"/>
    <cellStyle name="Input 2 3 6" xfId="2317" xr:uid="{00000000-0005-0000-0000-000054040000}"/>
    <cellStyle name="Input 2 4" xfId="1086" xr:uid="{00000000-0005-0000-0000-000055040000}"/>
    <cellStyle name="Input 2 4 2" xfId="1743" xr:uid="{00000000-0005-0000-0000-000056040000}"/>
    <cellStyle name="Input 2 4 2 2" xfId="3125" xr:uid="{00000000-0005-0000-0000-000057040000}"/>
    <cellStyle name="Input 2 4 3" xfId="1713" xr:uid="{00000000-0005-0000-0000-000058040000}"/>
    <cellStyle name="Input 2 4 3 2" xfId="3102" xr:uid="{00000000-0005-0000-0000-000059040000}"/>
    <cellStyle name="Input 2 4 4" xfId="1412" xr:uid="{00000000-0005-0000-0000-00005A040000}"/>
    <cellStyle name="Input 2 4 4 2" xfId="2835" xr:uid="{00000000-0005-0000-0000-00005B040000}"/>
    <cellStyle name="Input 2 4 5" xfId="1574" xr:uid="{00000000-0005-0000-0000-00005C040000}"/>
    <cellStyle name="Input 2 4 6" xfId="2545" xr:uid="{00000000-0005-0000-0000-00005D040000}"/>
    <cellStyle name="Input 2 5" xfId="2056" xr:uid="{00000000-0005-0000-0000-00005E040000}"/>
    <cellStyle name="Input 3" xfId="395" xr:uid="{00000000-0005-0000-0000-00005F040000}"/>
    <cellStyle name="Input 4" xfId="580" xr:uid="{00000000-0005-0000-0000-000060040000}"/>
    <cellStyle name="Input 5" xfId="597" xr:uid="{00000000-0005-0000-0000-000061040000}"/>
    <cellStyle name="Input 6" xfId="581" xr:uid="{00000000-0005-0000-0000-000062040000}"/>
    <cellStyle name="Input 7" xfId="598" xr:uid="{00000000-0005-0000-0000-000063040000}"/>
    <cellStyle name="Input 8" xfId="535" xr:uid="{00000000-0005-0000-0000-000064040000}"/>
    <cellStyle name="Input 8 2" xfId="761" xr:uid="{00000000-0005-0000-0000-000065040000}"/>
    <cellStyle name="Input 8 2 2" xfId="1010" xr:uid="{00000000-0005-0000-0000-000066040000}"/>
    <cellStyle name="Input 8 2 2 2" xfId="1696" xr:uid="{00000000-0005-0000-0000-000067040000}"/>
    <cellStyle name="Input 8 2 2 2 2" xfId="3088" xr:uid="{00000000-0005-0000-0000-000068040000}"/>
    <cellStyle name="Input 8 2 2 3" xfId="1806" xr:uid="{00000000-0005-0000-0000-000069040000}"/>
    <cellStyle name="Input 8 2 2 3 2" xfId="3184" xr:uid="{00000000-0005-0000-0000-00006A040000}"/>
    <cellStyle name="Input 8 2 2 4" xfId="1665" xr:uid="{00000000-0005-0000-0000-00006B040000}"/>
    <cellStyle name="Input 8 2 2 4 2" xfId="3057" xr:uid="{00000000-0005-0000-0000-00006C040000}"/>
    <cellStyle name="Input 8 2 2 5" xfId="1439" xr:uid="{00000000-0005-0000-0000-00006D040000}"/>
    <cellStyle name="Input 8 2 2 6" xfId="2476" xr:uid="{00000000-0005-0000-0000-00006E040000}"/>
    <cellStyle name="Input 8 2 3" xfId="1561" xr:uid="{00000000-0005-0000-0000-00006F040000}"/>
    <cellStyle name="Input 8 2 3 2" xfId="2957" xr:uid="{00000000-0005-0000-0000-000070040000}"/>
    <cellStyle name="Input 8 2 4" xfId="1381" xr:uid="{00000000-0005-0000-0000-000071040000}"/>
    <cellStyle name="Input 8 2 4 2" xfId="2807" xr:uid="{00000000-0005-0000-0000-000072040000}"/>
    <cellStyle name="Input 8 2 5" xfId="1427" xr:uid="{00000000-0005-0000-0000-000073040000}"/>
    <cellStyle name="Input 8 2 5 2" xfId="2847" xr:uid="{00000000-0005-0000-0000-000074040000}"/>
    <cellStyle name="Input 8 2 6" xfId="1666" xr:uid="{00000000-0005-0000-0000-000075040000}"/>
    <cellStyle name="Input 8 2 6 2" xfId="3058" xr:uid="{00000000-0005-0000-0000-000076040000}"/>
    <cellStyle name="Input 8 2 7" xfId="1362" xr:uid="{00000000-0005-0000-0000-000077040000}"/>
    <cellStyle name="Input 8 2 8" xfId="2243" xr:uid="{00000000-0005-0000-0000-000078040000}"/>
    <cellStyle name="Input 8 3" xfId="889" xr:uid="{00000000-0005-0000-0000-000079040000}"/>
    <cellStyle name="Input 8 3 2" xfId="1630" xr:uid="{00000000-0005-0000-0000-00007A040000}"/>
    <cellStyle name="Input 8 3 2 2" xfId="3022" xr:uid="{00000000-0005-0000-0000-00007B040000}"/>
    <cellStyle name="Input 8 3 3" xfId="1677" xr:uid="{00000000-0005-0000-0000-00007C040000}"/>
    <cellStyle name="Input 8 3 3 2" xfId="3069" xr:uid="{00000000-0005-0000-0000-00007D040000}"/>
    <cellStyle name="Input 8 3 4" xfId="1704" xr:uid="{00000000-0005-0000-0000-00007E040000}"/>
    <cellStyle name="Input 8 3 4 2" xfId="3094" xr:uid="{00000000-0005-0000-0000-00007F040000}"/>
    <cellStyle name="Input 8 3 5" xfId="1943" xr:uid="{00000000-0005-0000-0000-000080040000}"/>
    <cellStyle name="Input 8 3 6" xfId="2362" xr:uid="{00000000-0005-0000-0000-000081040000}"/>
    <cellStyle name="Input 8 4" xfId="1134" xr:uid="{00000000-0005-0000-0000-000082040000}"/>
    <cellStyle name="Input 8 4 2" xfId="1769" xr:uid="{00000000-0005-0000-0000-000083040000}"/>
    <cellStyle name="Input 8 4 2 2" xfId="3151" xr:uid="{00000000-0005-0000-0000-000084040000}"/>
    <cellStyle name="Input 8 4 3" xfId="1481" xr:uid="{00000000-0005-0000-0000-000085040000}"/>
    <cellStyle name="Input 8 4 3 2" xfId="2884" xr:uid="{00000000-0005-0000-0000-000086040000}"/>
    <cellStyle name="Input 8 4 4" xfId="1974" xr:uid="{00000000-0005-0000-0000-000087040000}"/>
    <cellStyle name="Input 8 4 4 2" xfId="3326" xr:uid="{00000000-0005-0000-0000-000088040000}"/>
    <cellStyle name="Input 8 4 5" xfId="2018" xr:uid="{00000000-0005-0000-0000-000089040000}"/>
    <cellStyle name="Input 8 4 6" xfId="2592" xr:uid="{00000000-0005-0000-0000-00008A040000}"/>
    <cellStyle name="Input 8 5" xfId="2123" xr:uid="{00000000-0005-0000-0000-00008B040000}"/>
    <cellStyle name="Input 9" xfId="612" xr:uid="{00000000-0005-0000-0000-00008C040000}"/>
    <cellStyle name="Input 9 2" xfId="775" xr:uid="{00000000-0005-0000-0000-00008D040000}"/>
    <cellStyle name="Input 9 2 2" xfId="1023" xr:uid="{00000000-0005-0000-0000-00008E040000}"/>
    <cellStyle name="Input 9 2 2 2" xfId="1707" xr:uid="{00000000-0005-0000-0000-00008F040000}"/>
    <cellStyle name="Input 9 2 2 2 2" xfId="3097" xr:uid="{00000000-0005-0000-0000-000090040000}"/>
    <cellStyle name="Input 9 2 2 3" xfId="1419" xr:uid="{00000000-0005-0000-0000-000091040000}"/>
    <cellStyle name="Input 9 2 2 3 2" xfId="2840" xr:uid="{00000000-0005-0000-0000-000092040000}"/>
    <cellStyle name="Input 9 2 2 4" xfId="1828" xr:uid="{00000000-0005-0000-0000-000093040000}"/>
    <cellStyle name="Input 9 2 2 4 2" xfId="3204" xr:uid="{00000000-0005-0000-0000-000094040000}"/>
    <cellStyle name="Input 9 2 2 5" xfId="1955" xr:uid="{00000000-0005-0000-0000-000095040000}"/>
    <cellStyle name="Input 9 2 2 6" xfId="2489" xr:uid="{00000000-0005-0000-0000-000096040000}"/>
    <cellStyle name="Input 9 2 3" xfId="1568" xr:uid="{00000000-0005-0000-0000-000097040000}"/>
    <cellStyle name="Input 9 2 3 2" xfId="2964" xr:uid="{00000000-0005-0000-0000-000098040000}"/>
    <cellStyle name="Input 9 2 4" xfId="1423" xr:uid="{00000000-0005-0000-0000-000099040000}"/>
    <cellStyle name="Input 9 2 4 2" xfId="2843" xr:uid="{00000000-0005-0000-0000-00009A040000}"/>
    <cellStyle name="Input 9 2 5" xfId="1877" xr:uid="{00000000-0005-0000-0000-00009B040000}"/>
    <cellStyle name="Input 9 2 5 2" xfId="3246" xr:uid="{00000000-0005-0000-0000-00009C040000}"/>
    <cellStyle name="Input 9 2 6" xfId="1938" xr:uid="{00000000-0005-0000-0000-00009D040000}"/>
    <cellStyle name="Input 9 2 6 2" xfId="3301" xr:uid="{00000000-0005-0000-0000-00009E040000}"/>
    <cellStyle name="Input 9 2 7" xfId="1871" xr:uid="{00000000-0005-0000-0000-00009F040000}"/>
    <cellStyle name="Input 9 2 8" xfId="2256" xr:uid="{00000000-0005-0000-0000-0000A0040000}"/>
    <cellStyle name="Input 9 3" xfId="901" xr:uid="{00000000-0005-0000-0000-0000A1040000}"/>
    <cellStyle name="Input 9 3 2" xfId="1637" xr:uid="{00000000-0005-0000-0000-0000A2040000}"/>
    <cellStyle name="Input 9 3 2 2" xfId="3029" xr:uid="{00000000-0005-0000-0000-0000A3040000}"/>
    <cellStyle name="Input 9 3 3" xfId="1391" xr:uid="{00000000-0005-0000-0000-0000A4040000}"/>
    <cellStyle name="Input 9 3 3 2" xfId="2815" xr:uid="{00000000-0005-0000-0000-0000A5040000}"/>
    <cellStyle name="Input 9 3 4" xfId="1891" xr:uid="{00000000-0005-0000-0000-0000A6040000}"/>
    <cellStyle name="Input 9 3 4 2" xfId="3258" xr:uid="{00000000-0005-0000-0000-0000A7040000}"/>
    <cellStyle name="Input 9 3 5" xfId="1998" xr:uid="{00000000-0005-0000-0000-0000A8040000}"/>
    <cellStyle name="Input 9 3 6" xfId="2374" xr:uid="{00000000-0005-0000-0000-0000A9040000}"/>
    <cellStyle name="Input 9 4" xfId="1146" xr:uid="{00000000-0005-0000-0000-0000AA040000}"/>
    <cellStyle name="Input 9 4 2" xfId="1775" xr:uid="{00000000-0005-0000-0000-0000AB040000}"/>
    <cellStyle name="Input 9 4 2 2" xfId="3157" xr:uid="{00000000-0005-0000-0000-0000AC040000}"/>
    <cellStyle name="Input 9 4 3" xfId="1841" xr:uid="{00000000-0005-0000-0000-0000AD040000}"/>
    <cellStyle name="Input 9 4 3 2" xfId="3217" xr:uid="{00000000-0005-0000-0000-0000AE040000}"/>
    <cellStyle name="Input 9 4 4" xfId="1979" xr:uid="{00000000-0005-0000-0000-0000AF040000}"/>
    <cellStyle name="Input 9 4 4 2" xfId="3330" xr:uid="{00000000-0005-0000-0000-0000B0040000}"/>
    <cellStyle name="Input 9 4 5" xfId="2021" xr:uid="{00000000-0005-0000-0000-0000B1040000}"/>
    <cellStyle name="Input 9 4 6" xfId="2604" xr:uid="{00000000-0005-0000-0000-0000B2040000}"/>
    <cellStyle name="Input 9 5" xfId="2135" xr:uid="{00000000-0005-0000-0000-0000B3040000}"/>
    <cellStyle name="Integer" xfId="397" xr:uid="{00000000-0005-0000-0000-0000B4040000}"/>
    <cellStyle name="Invisible" xfId="398" xr:uid="{00000000-0005-0000-0000-0000B5040000}"/>
    <cellStyle name="KP_Normal" xfId="399" xr:uid="{00000000-0005-0000-0000-0000B6040000}"/>
    <cellStyle name="Linked Cell" xfId="41" builtinId="24" customBuiltin="1"/>
    <cellStyle name="Linked Cell 2" xfId="159" xr:uid="{00000000-0005-0000-0000-0000B8040000}"/>
    <cellStyle name="Linked Cell 2 2" xfId="702" xr:uid="{00000000-0005-0000-0000-0000B9040000}"/>
    <cellStyle name="Linked Cell 2 2 2" xfId="958" xr:uid="{00000000-0005-0000-0000-0000BA040000}"/>
    <cellStyle name="Linked Cell 2 2 2 2" xfId="2428" xr:uid="{00000000-0005-0000-0000-0000BB040000}"/>
    <cellStyle name="Linked Cell 2 2 3" xfId="2189" xr:uid="{00000000-0005-0000-0000-0000BC040000}"/>
    <cellStyle name="Linked Cell 2 3" xfId="2057" xr:uid="{00000000-0005-0000-0000-0000BD040000}"/>
    <cellStyle name="m" xfId="492" xr:uid="{00000000-0005-0000-0000-0000BE040000}"/>
    <cellStyle name="m$" xfId="493" xr:uid="{00000000-0005-0000-0000-0000BF040000}"/>
    <cellStyle name="middle" xfId="400" xr:uid="{00000000-0005-0000-0000-0000C0040000}"/>
    <cellStyle name="middle-title" xfId="401" xr:uid="{00000000-0005-0000-0000-0000C1040000}"/>
    <cellStyle name="mm" xfId="494" xr:uid="{00000000-0005-0000-0000-0000C2040000}"/>
    <cellStyle name="mm/dd/yy" xfId="402" xr:uid="{00000000-0005-0000-0000-0000C3040000}"/>
    <cellStyle name="Modified Hyperlink" xfId="303" xr:uid="{00000000-0005-0000-0000-0000C4040000}"/>
    <cellStyle name="MS_Arabic" xfId="304" xr:uid="{00000000-0005-0000-0000-0000C5040000}"/>
    <cellStyle name="Neutral" xfId="42" builtinId="28" customBuiltin="1"/>
    <cellStyle name="Neutral 2" xfId="160" xr:uid="{00000000-0005-0000-0000-0000C7040000}"/>
    <cellStyle name="NewColumnHeaderNormal" xfId="403" xr:uid="{00000000-0005-0000-0000-0000C8040000}"/>
    <cellStyle name="NewSectionHeaderNormal" xfId="404" xr:uid="{00000000-0005-0000-0000-0000C9040000}"/>
    <cellStyle name="NewTitleNormal" xfId="405" xr:uid="{00000000-0005-0000-0000-0000CA040000}"/>
    <cellStyle name="nodollars" xfId="495" xr:uid="{00000000-0005-0000-0000-0000CB040000}"/>
    <cellStyle name="Normal" xfId="0" builtinId="0"/>
    <cellStyle name="Normal - Style1" xfId="406" xr:uid="{00000000-0005-0000-0000-0000CD040000}"/>
    <cellStyle name="Normal 10" xfId="82" xr:uid="{00000000-0005-0000-0000-0000CE040000}"/>
    <cellStyle name="Normal 10 2" xfId="65" xr:uid="{00000000-0005-0000-0000-0000CF040000}"/>
    <cellStyle name="Normal 10 3" xfId="334" xr:uid="{00000000-0005-0000-0000-0000D0040000}"/>
    <cellStyle name="Normal 11" xfId="83" xr:uid="{00000000-0005-0000-0000-0000D1040000}"/>
    <cellStyle name="Normal 11 2" xfId="451" xr:uid="{00000000-0005-0000-0000-0000D2040000}"/>
    <cellStyle name="Normal 11 3" xfId="351" xr:uid="{00000000-0005-0000-0000-0000D3040000}"/>
    <cellStyle name="Normal 12" xfId="84" xr:uid="{00000000-0005-0000-0000-0000D4040000}"/>
    <cellStyle name="Normal 12 2" xfId="646" xr:uid="{00000000-0005-0000-0000-0000D5040000}"/>
    <cellStyle name="Normal 12 3" xfId="658" xr:uid="{00000000-0005-0000-0000-0000D6040000}"/>
    <cellStyle name="Normal 12 3 2" xfId="816" xr:uid="{00000000-0005-0000-0000-0000D7040000}"/>
    <cellStyle name="Normal 12 3 2 2" xfId="1060" xr:uid="{00000000-0005-0000-0000-0000D8040000}"/>
    <cellStyle name="Normal 12 3 2 2 2" xfId="2523" xr:uid="{00000000-0005-0000-0000-0000D9040000}"/>
    <cellStyle name="Normal 12 3 2 3" xfId="1279" xr:uid="{00000000-0005-0000-0000-0000DA040000}"/>
    <cellStyle name="Normal 12 3 2 3 2" xfId="2728" xr:uid="{00000000-0005-0000-0000-0000DB040000}"/>
    <cellStyle name="Normal 12 3 2 4" xfId="2293" xr:uid="{00000000-0005-0000-0000-0000DC040000}"/>
    <cellStyle name="Normal 12 3 3" xfId="936" xr:uid="{00000000-0005-0000-0000-0000DD040000}"/>
    <cellStyle name="Normal 12 3 3 2" xfId="2409" xr:uid="{00000000-0005-0000-0000-0000DE040000}"/>
    <cellStyle name="Normal 12 3 4" xfId="1180" xr:uid="{00000000-0005-0000-0000-0000DF040000}"/>
    <cellStyle name="Normal 12 3 4 2" xfId="2638" xr:uid="{00000000-0005-0000-0000-0000E0040000}"/>
    <cellStyle name="Normal 12 3 5" xfId="2170" xr:uid="{00000000-0005-0000-0000-0000E1040000}"/>
    <cellStyle name="Normal 12 4" xfId="755" xr:uid="{00000000-0005-0000-0000-0000E2040000}"/>
    <cellStyle name="Normal 12 4 2" xfId="1004" xr:uid="{00000000-0005-0000-0000-0000E3040000}"/>
    <cellStyle name="Normal 12 4 2 2" xfId="2470" xr:uid="{00000000-0005-0000-0000-0000E4040000}"/>
    <cellStyle name="Normal 12 4 3" xfId="1232" xr:uid="{00000000-0005-0000-0000-0000E5040000}"/>
    <cellStyle name="Normal 12 4 3 2" xfId="2684" xr:uid="{00000000-0005-0000-0000-0000E6040000}"/>
    <cellStyle name="Normal 12 4 4" xfId="2237" xr:uid="{00000000-0005-0000-0000-0000E7040000}"/>
    <cellStyle name="Normal 12 5" xfId="884" xr:uid="{00000000-0005-0000-0000-0000E8040000}"/>
    <cellStyle name="Normal 12 5 2" xfId="2357" xr:uid="{00000000-0005-0000-0000-0000E9040000}"/>
    <cellStyle name="Normal 12 6" xfId="1128" xr:uid="{00000000-0005-0000-0000-0000EA040000}"/>
    <cellStyle name="Normal 12 6 2" xfId="2587" xr:uid="{00000000-0005-0000-0000-0000EB040000}"/>
    <cellStyle name="Normal 12 7" xfId="497" xr:uid="{00000000-0005-0000-0000-0000EC040000}"/>
    <cellStyle name="Normal 12 7 2" xfId="2112" xr:uid="{00000000-0005-0000-0000-0000ED040000}"/>
    <cellStyle name="Normal 13" xfId="85" xr:uid="{00000000-0005-0000-0000-0000EE040000}"/>
    <cellStyle name="Normal 13 2" xfId="647" xr:uid="{00000000-0005-0000-0000-0000EF040000}"/>
    <cellStyle name="Normal 13 3" xfId="659" xr:uid="{00000000-0005-0000-0000-0000F0040000}"/>
    <cellStyle name="Normal 13 3 2" xfId="817" xr:uid="{00000000-0005-0000-0000-0000F1040000}"/>
    <cellStyle name="Normal 13 3 2 2" xfId="1061" xr:uid="{00000000-0005-0000-0000-0000F2040000}"/>
    <cellStyle name="Normal 13 3 2 2 2" xfId="2524" xr:uid="{00000000-0005-0000-0000-0000F3040000}"/>
    <cellStyle name="Normal 13 3 2 3" xfId="1280" xr:uid="{00000000-0005-0000-0000-0000F4040000}"/>
    <cellStyle name="Normal 13 3 2 3 2" xfId="2729" xr:uid="{00000000-0005-0000-0000-0000F5040000}"/>
    <cellStyle name="Normal 13 3 2 4" xfId="2294" xr:uid="{00000000-0005-0000-0000-0000F6040000}"/>
    <cellStyle name="Normal 13 3 3" xfId="937" xr:uid="{00000000-0005-0000-0000-0000F7040000}"/>
    <cellStyle name="Normal 13 3 3 2" xfId="2410" xr:uid="{00000000-0005-0000-0000-0000F8040000}"/>
    <cellStyle name="Normal 13 3 4" xfId="1181" xr:uid="{00000000-0005-0000-0000-0000F9040000}"/>
    <cellStyle name="Normal 13 3 4 2" xfId="2639" xr:uid="{00000000-0005-0000-0000-0000FA040000}"/>
    <cellStyle name="Normal 13 3 5" xfId="2171" xr:uid="{00000000-0005-0000-0000-0000FB040000}"/>
    <cellStyle name="Normal 13 4" xfId="756" xr:uid="{00000000-0005-0000-0000-0000FC040000}"/>
    <cellStyle name="Normal 13 4 2" xfId="1005" xr:uid="{00000000-0005-0000-0000-0000FD040000}"/>
    <cellStyle name="Normal 13 4 2 2" xfId="2471" xr:uid="{00000000-0005-0000-0000-0000FE040000}"/>
    <cellStyle name="Normal 13 4 3" xfId="1233" xr:uid="{00000000-0005-0000-0000-0000FF040000}"/>
    <cellStyle name="Normal 13 4 3 2" xfId="2685" xr:uid="{00000000-0005-0000-0000-000000050000}"/>
    <cellStyle name="Normal 13 4 4" xfId="2238" xr:uid="{00000000-0005-0000-0000-000001050000}"/>
    <cellStyle name="Normal 13 5" xfId="885" xr:uid="{00000000-0005-0000-0000-000002050000}"/>
    <cellStyle name="Normal 13 5 2" xfId="2358" xr:uid="{00000000-0005-0000-0000-000003050000}"/>
    <cellStyle name="Normal 13 6" xfId="1129" xr:uid="{00000000-0005-0000-0000-000004050000}"/>
    <cellStyle name="Normal 13 6 2" xfId="2588" xr:uid="{00000000-0005-0000-0000-000005050000}"/>
    <cellStyle name="Normal 13 7" xfId="498" xr:uid="{00000000-0005-0000-0000-000006050000}"/>
    <cellStyle name="Normal 13 7 2" xfId="2113" xr:uid="{00000000-0005-0000-0000-000007050000}"/>
    <cellStyle name="Normal 13 8" xfId="3378" xr:uid="{00000000-0005-0000-0000-000008050000}"/>
    <cellStyle name="Normal 14" xfId="86" xr:uid="{00000000-0005-0000-0000-000009050000}"/>
    <cellStyle name="Normal 14 2" xfId="660" xr:uid="{00000000-0005-0000-0000-00000A050000}"/>
    <cellStyle name="Normal 14 2 2" xfId="818" xr:uid="{00000000-0005-0000-0000-00000B050000}"/>
    <cellStyle name="Normal 14 2 2 2" xfId="1062" xr:uid="{00000000-0005-0000-0000-00000C050000}"/>
    <cellStyle name="Normal 14 2 2 2 2" xfId="2525" xr:uid="{00000000-0005-0000-0000-00000D050000}"/>
    <cellStyle name="Normal 14 2 2 3" xfId="1281" xr:uid="{00000000-0005-0000-0000-00000E050000}"/>
    <cellStyle name="Normal 14 2 2 3 2" xfId="2730" xr:uid="{00000000-0005-0000-0000-00000F050000}"/>
    <cellStyle name="Normal 14 2 2 4" xfId="2295" xr:uid="{00000000-0005-0000-0000-000010050000}"/>
    <cellStyle name="Normal 14 2 3" xfId="938" xr:uid="{00000000-0005-0000-0000-000011050000}"/>
    <cellStyle name="Normal 14 2 3 2" xfId="2411" xr:uid="{00000000-0005-0000-0000-000012050000}"/>
    <cellStyle name="Normal 14 2 4" xfId="1182" xr:uid="{00000000-0005-0000-0000-000013050000}"/>
    <cellStyle name="Normal 14 2 4 2" xfId="2640" xr:uid="{00000000-0005-0000-0000-000014050000}"/>
    <cellStyle name="Normal 14 2 5" xfId="2172" xr:uid="{00000000-0005-0000-0000-000015050000}"/>
    <cellStyle name="Normal 14 3" xfId="757" xr:uid="{00000000-0005-0000-0000-000016050000}"/>
    <cellStyle name="Normal 14 3 2" xfId="1006" xr:uid="{00000000-0005-0000-0000-000017050000}"/>
    <cellStyle name="Normal 14 3 2 2" xfId="2472" xr:uid="{00000000-0005-0000-0000-000018050000}"/>
    <cellStyle name="Normal 14 3 3" xfId="1234" xr:uid="{00000000-0005-0000-0000-000019050000}"/>
    <cellStyle name="Normal 14 3 3 2" xfId="2686" xr:uid="{00000000-0005-0000-0000-00001A050000}"/>
    <cellStyle name="Normal 14 3 4" xfId="2239" xr:uid="{00000000-0005-0000-0000-00001B050000}"/>
    <cellStyle name="Normal 14 4" xfId="886" xr:uid="{00000000-0005-0000-0000-00001C050000}"/>
    <cellStyle name="Normal 14 4 2" xfId="2359" xr:uid="{00000000-0005-0000-0000-00001D050000}"/>
    <cellStyle name="Normal 14 5" xfId="1130" xr:uid="{00000000-0005-0000-0000-00001E050000}"/>
    <cellStyle name="Normal 14 5 2" xfId="2589" xr:uid="{00000000-0005-0000-0000-00001F050000}"/>
    <cellStyle name="Normal 14 6" xfId="499" xr:uid="{00000000-0005-0000-0000-000020050000}"/>
    <cellStyle name="Normal 14 6 2" xfId="2114" xr:uid="{00000000-0005-0000-0000-000021050000}"/>
    <cellStyle name="Normal 15" xfId="87" xr:uid="{00000000-0005-0000-0000-000022050000}"/>
    <cellStyle name="Normal 15 2" xfId="500" xr:uid="{00000000-0005-0000-0000-000023050000}"/>
    <cellStyle name="Normal 15 2 2" xfId="3383" xr:uid="{4191F0F3-114E-4A83-9383-8CB5679BB1E3}"/>
    <cellStyle name="Normal 158" xfId="68" xr:uid="{00000000-0005-0000-0000-000024050000}"/>
    <cellStyle name="Normal 16" xfId="88" xr:uid="{00000000-0005-0000-0000-000025050000}"/>
    <cellStyle name="Normal 16 2" xfId="681" xr:uid="{00000000-0005-0000-0000-000026050000}"/>
    <cellStyle name="Normal 16 2 2" xfId="823" xr:uid="{00000000-0005-0000-0000-000027050000}"/>
    <cellStyle name="Normal 16 2 2 2" xfId="1067" xr:uid="{00000000-0005-0000-0000-000028050000}"/>
    <cellStyle name="Normal 16 2 2 2 2" xfId="2530" xr:uid="{00000000-0005-0000-0000-000029050000}"/>
    <cellStyle name="Normal 16 2 2 3" xfId="1285" xr:uid="{00000000-0005-0000-0000-00002A050000}"/>
    <cellStyle name="Normal 16 2 2 3 2" xfId="2734" xr:uid="{00000000-0005-0000-0000-00002B050000}"/>
    <cellStyle name="Normal 16 2 2 4" xfId="2300" xr:uid="{00000000-0005-0000-0000-00002C050000}"/>
    <cellStyle name="Normal 16 2 3" xfId="944" xr:uid="{00000000-0005-0000-0000-00002D050000}"/>
    <cellStyle name="Normal 16 2 3 2" xfId="2416" xr:uid="{00000000-0005-0000-0000-00002E050000}"/>
    <cellStyle name="Normal 16 2 4" xfId="1187" xr:uid="{00000000-0005-0000-0000-00002F050000}"/>
    <cellStyle name="Normal 16 2 4 2" xfId="2645" xr:uid="{00000000-0005-0000-0000-000030050000}"/>
    <cellStyle name="Normal 16 2 5" xfId="2177" xr:uid="{00000000-0005-0000-0000-000031050000}"/>
    <cellStyle name="Normal 16 3" xfId="766" xr:uid="{00000000-0005-0000-0000-000032050000}"/>
    <cellStyle name="Normal 16 3 2" xfId="1014" xr:uid="{00000000-0005-0000-0000-000033050000}"/>
    <cellStyle name="Normal 16 3 2 2" xfId="2480" xr:uid="{00000000-0005-0000-0000-000034050000}"/>
    <cellStyle name="Normal 16 3 3" xfId="1238" xr:uid="{00000000-0005-0000-0000-000035050000}"/>
    <cellStyle name="Normal 16 3 3 2" xfId="2690" xr:uid="{00000000-0005-0000-0000-000036050000}"/>
    <cellStyle name="Normal 16 3 4" xfId="2247" xr:uid="{00000000-0005-0000-0000-000037050000}"/>
    <cellStyle name="Normal 16 4" xfId="893" xr:uid="{00000000-0005-0000-0000-000038050000}"/>
    <cellStyle name="Normal 16 4 2" xfId="2366" xr:uid="{00000000-0005-0000-0000-000039050000}"/>
    <cellStyle name="Normal 16 5" xfId="1138" xr:uid="{00000000-0005-0000-0000-00003A050000}"/>
    <cellStyle name="Normal 16 5 2" xfId="2596" xr:uid="{00000000-0005-0000-0000-00003B050000}"/>
    <cellStyle name="Normal 16 6" xfId="586" xr:uid="{00000000-0005-0000-0000-00003C050000}"/>
    <cellStyle name="Normal 16 6 2" xfId="2127" xr:uid="{00000000-0005-0000-0000-00003D050000}"/>
    <cellStyle name="Normal 17" xfId="89" xr:uid="{00000000-0005-0000-0000-00003E050000}"/>
    <cellStyle name="Normal 17 2" xfId="682" xr:uid="{00000000-0005-0000-0000-00003F050000}"/>
    <cellStyle name="Normal 17 2 2" xfId="824" xr:uid="{00000000-0005-0000-0000-000040050000}"/>
    <cellStyle name="Normal 17 2 2 2" xfId="1068" xr:uid="{00000000-0005-0000-0000-000041050000}"/>
    <cellStyle name="Normal 17 2 2 2 2" xfId="2531" xr:uid="{00000000-0005-0000-0000-000042050000}"/>
    <cellStyle name="Normal 17 2 2 3" xfId="1286" xr:uid="{00000000-0005-0000-0000-000043050000}"/>
    <cellStyle name="Normal 17 2 2 3 2" xfId="2735" xr:uid="{00000000-0005-0000-0000-000044050000}"/>
    <cellStyle name="Normal 17 2 2 4" xfId="2301" xr:uid="{00000000-0005-0000-0000-000045050000}"/>
    <cellStyle name="Normal 17 2 3" xfId="945" xr:uid="{00000000-0005-0000-0000-000046050000}"/>
    <cellStyle name="Normal 17 2 3 2" xfId="2417" xr:uid="{00000000-0005-0000-0000-000047050000}"/>
    <cellStyle name="Normal 17 2 4" xfId="1188" xr:uid="{00000000-0005-0000-0000-000048050000}"/>
    <cellStyle name="Normal 17 2 4 2" xfId="2646" xr:uid="{00000000-0005-0000-0000-000049050000}"/>
    <cellStyle name="Normal 17 2 5" xfId="2178" xr:uid="{00000000-0005-0000-0000-00004A050000}"/>
    <cellStyle name="Normal 17 3" xfId="767" xr:uid="{00000000-0005-0000-0000-00004B050000}"/>
    <cellStyle name="Normal 17 3 2" xfId="1015" xr:uid="{00000000-0005-0000-0000-00004C050000}"/>
    <cellStyle name="Normal 17 3 2 2" xfId="2481" xr:uid="{00000000-0005-0000-0000-00004D050000}"/>
    <cellStyle name="Normal 17 3 3" xfId="1239" xr:uid="{00000000-0005-0000-0000-00004E050000}"/>
    <cellStyle name="Normal 17 3 3 2" xfId="2691" xr:uid="{00000000-0005-0000-0000-00004F050000}"/>
    <cellStyle name="Normal 17 3 4" xfId="2248" xr:uid="{00000000-0005-0000-0000-000050050000}"/>
    <cellStyle name="Normal 17 4" xfId="894" xr:uid="{00000000-0005-0000-0000-000051050000}"/>
    <cellStyle name="Normal 17 4 2" xfId="2367" xr:uid="{00000000-0005-0000-0000-000052050000}"/>
    <cellStyle name="Normal 17 5" xfId="1139" xr:uid="{00000000-0005-0000-0000-000053050000}"/>
    <cellStyle name="Normal 17 5 2" xfId="2597" xr:uid="{00000000-0005-0000-0000-000054050000}"/>
    <cellStyle name="Normal 17 6" xfId="587" xr:uid="{00000000-0005-0000-0000-000055050000}"/>
    <cellStyle name="Normal 17 6 2" xfId="2128" xr:uid="{00000000-0005-0000-0000-000056050000}"/>
    <cellStyle name="Normal 172" xfId="97" xr:uid="{00000000-0005-0000-0000-000057050000}"/>
    <cellStyle name="Normal 173" xfId="99" xr:uid="{00000000-0005-0000-0000-000058050000}"/>
    <cellStyle name="Normal 18" xfId="90" xr:uid="{00000000-0005-0000-0000-000059050000}"/>
    <cellStyle name="Normal 18 2" xfId="591" xr:uid="{00000000-0005-0000-0000-00005A050000}"/>
    <cellStyle name="Normal 19" xfId="91" xr:uid="{00000000-0005-0000-0000-00005B050000}"/>
    <cellStyle name="Normal 19 2" xfId="603" xr:uid="{00000000-0005-0000-0000-00005C050000}"/>
    <cellStyle name="Normal 2" xfId="62" xr:uid="{00000000-0005-0000-0000-00005D050000}"/>
    <cellStyle name="Normal 2 10" xfId="452" xr:uid="{00000000-0005-0000-0000-00005E050000}"/>
    <cellStyle name="Normal 2 11" xfId="434" xr:uid="{00000000-0005-0000-0000-00005F050000}"/>
    <cellStyle name="Normal 2 14 2" xfId="590" xr:uid="{00000000-0005-0000-0000-000060050000}"/>
    <cellStyle name="Normal 2 14 2 2" xfId="685" xr:uid="{00000000-0005-0000-0000-000061050000}"/>
    <cellStyle name="Normal 2 14 2 2 2" xfId="827" xr:uid="{00000000-0005-0000-0000-000062050000}"/>
    <cellStyle name="Normal 2 14 2 2 2 2" xfId="1071" xr:uid="{00000000-0005-0000-0000-000063050000}"/>
    <cellStyle name="Normal 2 14 2 2 2 2 2" xfId="2534" xr:uid="{00000000-0005-0000-0000-000064050000}"/>
    <cellStyle name="Normal 2 14 2 2 2 3" xfId="1289" xr:uid="{00000000-0005-0000-0000-000065050000}"/>
    <cellStyle name="Normal 2 14 2 2 2 3 2" xfId="2738" xr:uid="{00000000-0005-0000-0000-000066050000}"/>
    <cellStyle name="Normal 2 14 2 2 2 4" xfId="2304" xr:uid="{00000000-0005-0000-0000-000067050000}"/>
    <cellStyle name="Normal 2 14 2 2 3" xfId="948" xr:uid="{00000000-0005-0000-0000-000068050000}"/>
    <cellStyle name="Normal 2 14 2 2 3 2" xfId="2420" xr:uid="{00000000-0005-0000-0000-000069050000}"/>
    <cellStyle name="Normal 2 14 2 2 4" xfId="1191" xr:uid="{00000000-0005-0000-0000-00006A050000}"/>
    <cellStyle name="Normal 2 14 2 2 4 2" xfId="2649" xr:uid="{00000000-0005-0000-0000-00006B050000}"/>
    <cellStyle name="Normal 2 14 2 2 5" xfId="2181" xr:uid="{00000000-0005-0000-0000-00006C050000}"/>
    <cellStyle name="Normal 2 14 2 3" xfId="770" xr:uid="{00000000-0005-0000-0000-00006D050000}"/>
    <cellStyle name="Normal 2 14 2 3 2" xfId="1018" xr:uid="{00000000-0005-0000-0000-00006E050000}"/>
    <cellStyle name="Normal 2 14 2 3 2 2" xfId="2484" xr:uid="{00000000-0005-0000-0000-00006F050000}"/>
    <cellStyle name="Normal 2 14 2 3 3" xfId="1242" xr:uid="{00000000-0005-0000-0000-000070050000}"/>
    <cellStyle name="Normal 2 14 2 3 3 2" xfId="2694" xr:uid="{00000000-0005-0000-0000-000071050000}"/>
    <cellStyle name="Normal 2 14 2 3 4" xfId="2251" xr:uid="{00000000-0005-0000-0000-000072050000}"/>
    <cellStyle name="Normal 2 14 2 4" xfId="897" xr:uid="{00000000-0005-0000-0000-000073050000}"/>
    <cellStyle name="Normal 2 14 2 4 2" xfId="2370" xr:uid="{00000000-0005-0000-0000-000074050000}"/>
    <cellStyle name="Normal 2 14 2 5" xfId="1142" xr:uid="{00000000-0005-0000-0000-000075050000}"/>
    <cellStyle name="Normal 2 14 2 5 2" xfId="2600" xr:uid="{00000000-0005-0000-0000-000076050000}"/>
    <cellStyle name="Normal 2 14 2 6" xfId="2131" xr:uid="{00000000-0005-0000-0000-000077050000}"/>
    <cellStyle name="Normal 2 2" xfId="73" xr:uid="{00000000-0005-0000-0000-000078050000}"/>
    <cellStyle name="Normal 2 2 2" xfId="64" xr:uid="{00000000-0005-0000-0000-000079050000}"/>
    <cellStyle name="Normal 2 2 3" xfId="335" xr:uid="{00000000-0005-0000-0000-00007A050000}"/>
    <cellStyle name="Normal 2 2 3 2" xfId="336" xr:uid="{00000000-0005-0000-0000-00007B050000}"/>
    <cellStyle name="Normal 2 2 3 2 2" xfId="634" xr:uid="{00000000-0005-0000-0000-00007C050000}"/>
    <cellStyle name="Normal 2 2 3 2 2 2" xfId="794" xr:uid="{00000000-0005-0000-0000-00007D050000}"/>
    <cellStyle name="Normal 2 2 3 2 2 2 2" xfId="1042" xr:uid="{00000000-0005-0000-0000-00007E050000}"/>
    <cellStyle name="Normal 2 2 3 2 2 2 2 2" xfId="2507" xr:uid="{00000000-0005-0000-0000-00007F050000}"/>
    <cellStyle name="Normal 2 2 3 2 2 2 3" xfId="1261" xr:uid="{00000000-0005-0000-0000-000080050000}"/>
    <cellStyle name="Normal 2 2 3 2 2 2 3 2" xfId="2712" xr:uid="{00000000-0005-0000-0000-000081050000}"/>
    <cellStyle name="Normal 2 2 3 2 2 2 4" xfId="2274" xr:uid="{00000000-0005-0000-0000-000082050000}"/>
    <cellStyle name="Normal 2 2 3 2 2 3" xfId="916" xr:uid="{00000000-0005-0000-0000-000083050000}"/>
    <cellStyle name="Normal 2 2 3 2 2 3 2" xfId="2389" xr:uid="{00000000-0005-0000-0000-000084050000}"/>
    <cellStyle name="Normal 2 2 3 2 2 4" xfId="1164" xr:uid="{00000000-0005-0000-0000-000085050000}"/>
    <cellStyle name="Normal 2 2 3 2 2 4 2" xfId="2622" xr:uid="{00000000-0005-0000-0000-000086050000}"/>
    <cellStyle name="Normal 2 2 3 2 2 5" xfId="2153" xr:uid="{00000000-0005-0000-0000-000087050000}"/>
    <cellStyle name="Normal 2 2 3 2 3" xfId="733" xr:uid="{00000000-0005-0000-0000-000088050000}"/>
    <cellStyle name="Normal 2 2 3 2 3 2" xfId="986" xr:uid="{00000000-0005-0000-0000-000089050000}"/>
    <cellStyle name="Normal 2 2 3 2 3 2 2" xfId="2455" xr:uid="{00000000-0005-0000-0000-00008A050000}"/>
    <cellStyle name="Normal 2 2 3 2 3 3" xfId="1214" xr:uid="{00000000-0005-0000-0000-00008B050000}"/>
    <cellStyle name="Normal 2 2 3 2 3 3 2" xfId="2669" xr:uid="{00000000-0005-0000-0000-00008C050000}"/>
    <cellStyle name="Normal 2 2 3 2 3 4" xfId="2219" xr:uid="{00000000-0005-0000-0000-00008D050000}"/>
    <cellStyle name="Normal 2 2 3 2 4" xfId="868" xr:uid="{00000000-0005-0000-0000-00008E050000}"/>
    <cellStyle name="Normal 2 2 3 2 4 2" xfId="2341" xr:uid="{00000000-0005-0000-0000-00008F050000}"/>
    <cellStyle name="Normal 2 2 3 2 5" xfId="1110" xr:uid="{00000000-0005-0000-0000-000090050000}"/>
    <cellStyle name="Normal 2 2 3 2 5 2" xfId="2569" xr:uid="{00000000-0005-0000-0000-000091050000}"/>
    <cellStyle name="Normal 2 2 3 2 6" xfId="2089" xr:uid="{00000000-0005-0000-0000-000092050000}"/>
    <cellStyle name="Normal 2 2 3 3" xfId="633" xr:uid="{00000000-0005-0000-0000-000093050000}"/>
    <cellStyle name="Normal 2 2 3 3 2" xfId="793" xr:uid="{00000000-0005-0000-0000-000094050000}"/>
    <cellStyle name="Normal 2 2 3 3 2 2" xfId="1041" xr:uid="{00000000-0005-0000-0000-000095050000}"/>
    <cellStyle name="Normal 2 2 3 3 2 2 2" xfId="2506" xr:uid="{00000000-0005-0000-0000-000096050000}"/>
    <cellStyle name="Normal 2 2 3 3 2 3" xfId="1260" xr:uid="{00000000-0005-0000-0000-000097050000}"/>
    <cellStyle name="Normal 2 2 3 3 2 3 2" xfId="2711" xr:uid="{00000000-0005-0000-0000-000098050000}"/>
    <cellStyle name="Normal 2 2 3 3 2 4" xfId="2273" xr:uid="{00000000-0005-0000-0000-000099050000}"/>
    <cellStyle name="Normal 2 2 3 3 3" xfId="915" xr:uid="{00000000-0005-0000-0000-00009A050000}"/>
    <cellStyle name="Normal 2 2 3 3 3 2" xfId="2388" xr:uid="{00000000-0005-0000-0000-00009B050000}"/>
    <cellStyle name="Normal 2 2 3 3 4" xfId="1163" xr:uid="{00000000-0005-0000-0000-00009C050000}"/>
    <cellStyle name="Normal 2 2 3 3 4 2" xfId="2621" xr:uid="{00000000-0005-0000-0000-00009D050000}"/>
    <cellStyle name="Normal 2 2 3 3 5" xfId="2152" xr:uid="{00000000-0005-0000-0000-00009E050000}"/>
    <cellStyle name="Normal 2 2 3 4" xfId="732" xr:uid="{00000000-0005-0000-0000-00009F050000}"/>
    <cellStyle name="Normal 2 2 3 4 2" xfId="985" xr:uid="{00000000-0005-0000-0000-0000A0050000}"/>
    <cellStyle name="Normal 2 2 3 4 2 2" xfId="2454" xr:uid="{00000000-0005-0000-0000-0000A1050000}"/>
    <cellStyle name="Normal 2 2 3 4 3" xfId="1213" xr:uid="{00000000-0005-0000-0000-0000A2050000}"/>
    <cellStyle name="Normal 2 2 3 4 3 2" xfId="2668" xr:uid="{00000000-0005-0000-0000-0000A3050000}"/>
    <cellStyle name="Normal 2 2 3 4 4" xfId="2218" xr:uid="{00000000-0005-0000-0000-0000A4050000}"/>
    <cellStyle name="Normal 2 2 3 5" xfId="867" xr:uid="{00000000-0005-0000-0000-0000A5050000}"/>
    <cellStyle name="Normal 2 2 3 5 2" xfId="2340" xr:uid="{00000000-0005-0000-0000-0000A6050000}"/>
    <cellStyle name="Normal 2 2 3 6" xfId="1109" xr:uid="{00000000-0005-0000-0000-0000A7050000}"/>
    <cellStyle name="Normal 2 2 3 6 2" xfId="2568" xr:uid="{00000000-0005-0000-0000-0000A8050000}"/>
    <cellStyle name="Normal 2 2 3 7" xfId="2088" xr:uid="{00000000-0005-0000-0000-0000A9050000}"/>
    <cellStyle name="Normal 2 2 4" xfId="167" xr:uid="{00000000-0005-0000-0000-0000AA050000}"/>
    <cellStyle name="Normal 2 3" xfId="252" xr:uid="{00000000-0005-0000-0000-0000AB050000}"/>
    <cellStyle name="Normal 2 3 2" xfId="453" xr:uid="{00000000-0005-0000-0000-0000AC050000}"/>
    <cellStyle name="Normal 2 4" xfId="454" xr:uid="{00000000-0005-0000-0000-0000AD050000}"/>
    <cellStyle name="Normal 2 5" xfId="455" xr:uid="{00000000-0005-0000-0000-0000AE050000}"/>
    <cellStyle name="Normal 2 5 2" xfId="3384" xr:uid="{CA8F3DA0-2056-4484-A80E-79EBA02CBA74}"/>
    <cellStyle name="Normal 2 6" xfId="456" xr:uid="{00000000-0005-0000-0000-0000AF050000}"/>
    <cellStyle name="Normal 2 7" xfId="457" xr:uid="{00000000-0005-0000-0000-0000B0050000}"/>
    <cellStyle name="Normal 2 8" xfId="458" xr:uid="{00000000-0005-0000-0000-0000B1050000}"/>
    <cellStyle name="Normal 2 9" xfId="459" xr:uid="{00000000-0005-0000-0000-0000B2050000}"/>
    <cellStyle name="Normal 2_ADP-Wells" xfId="305" xr:uid="{00000000-0005-0000-0000-0000B3050000}"/>
    <cellStyle name="Normal 20" xfId="92" xr:uid="{00000000-0005-0000-0000-0000B4050000}"/>
    <cellStyle name="Normal 20 2" xfId="604" xr:uid="{00000000-0005-0000-0000-0000B5050000}"/>
    <cellStyle name="Normal 21" xfId="71" xr:uid="{00000000-0005-0000-0000-0000B6050000}"/>
    <cellStyle name="Normal 21 2" xfId="605" xr:uid="{00000000-0005-0000-0000-0000B7050000}"/>
    <cellStyle name="Normal 21 3" xfId="2048" xr:uid="{00000000-0005-0000-0000-0000B8050000}"/>
    <cellStyle name="Normal 22" xfId="93" xr:uid="{00000000-0005-0000-0000-0000B9050000}"/>
    <cellStyle name="Normal 22 2" xfId="177" xr:uid="{00000000-0005-0000-0000-0000BA050000}"/>
    <cellStyle name="Normal 23" xfId="574" xr:uid="{00000000-0005-0000-0000-0000BB050000}"/>
    <cellStyle name="Normal 23 2" xfId="678" xr:uid="{00000000-0005-0000-0000-0000BC050000}"/>
    <cellStyle name="Normal 24" xfId="522" xr:uid="{00000000-0005-0000-0000-0000BD050000}"/>
    <cellStyle name="Normal 24 2" xfId="663" xr:uid="{00000000-0005-0000-0000-0000BE050000}"/>
    <cellStyle name="Normal 25" xfId="614" xr:uid="{00000000-0005-0000-0000-0000BF050000}"/>
    <cellStyle name="Normal 25 2" xfId="693" xr:uid="{00000000-0005-0000-0000-0000C0050000}"/>
    <cellStyle name="Normal 26" xfId="694" xr:uid="{00000000-0005-0000-0000-0000C1050000}"/>
    <cellStyle name="Normal 27" xfId="695" xr:uid="{00000000-0005-0000-0000-0000C2050000}"/>
    <cellStyle name="Normal 27 2" xfId="830" xr:uid="{00000000-0005-0000-0000-0000C3050000}"/>
    <cellStyle name="Normal 27 2 2" xfId="1074" xr:uid="{00000000-0005-0000-0000-0000C4050000}"/>
    <cellStyle name="Normal 27 2 2 2" xfId="2537" xr:uid="{00000000-0005-0000-0000-0000C5050000}"/>
    <cellStyle name="Normal 27 2 3" xfId="1292" xr:uid="{00000000-0005-0000-0000-0000C6050000}"/>
    <cellStyle name="Normal 27 2 3 2" xfId="2741" xr:uid="{00000000-0005-0000-0000-0000C7050000}"/>
    <cellStyle name="Normal 27 2 4" xfId="2307" xr:uid="{00000000-0005-0000-0000-0000C8050000}"/>
    <cellStyle name="Normal 27 3" xfId="951" xr:uid="{00000000-0005-0000-0000-0000C9050000}"/>
    <cellStyle name="Normal 27 3 2" xfId="2423" xr:uid="{00000000-0005-0000-0000-0000CA050000}"/>
    <cellStyle name="Normal 27 4" xfId="1194" xr:uid="{00000000-0005-0000-0000-0000CB050000}"/>
    <cellStyle name="Normal 27 4 2" xfId="2652" xr:uid="{00000000-0005-0000-0000-0000CC050000}"/>
    <cellStyle name="Normal 27 5" xfId="2184" xr:uid="{00000000-0005-0000-0000-0000CD050000}"/>
    <cellStyle name="Normal 28" xfId="696" xr:uid="{00000000-0005-0000-0000-0000CE050000}"/>
    <cellStyle name="Normal 28 2" xfId="831" xr:uid="{00000000-0005-0000-0000-0000CF050000}"/>
    <cellStyle name="Normal 28 2 2" xfId="1075" xr:uid="{00000000-0005-0000-0000-0000D0050000}"/>
    <cellStyle name="Normal 28 2 2 2" xfId="2538" xr:uid="{00000000-0005-0000-0000-0000D1050000}"/>
    <cellStyle name="Normal 28 2 3" xfId="1293" xr:uid="{00000000-0005-0000-0000-0000D2050000}"/>
    <cellStyle name="Normal 28 2 3 2" xfId="2742" xr:uid="{00000000-0005-0000-0000-0000D3050000}"/>
    <cellStyle name="Normal 28 2 4" xfId="2308" xr:uid="{00000000-0005-0000-0000-0000D4050000}"/>
    <cellStyle name="Normal 28 3" xfId="952" xr:uid="{00000000-0005-0000-0000-0000D5050000}"/>
    <cellStyle name="Normal 28 3 2" xfId="2424" xr:uid="{00000000-0005-0000-0000-0000D6050000}"/>
    <cellStyle name="Normal 28 4" xfId="1195" xr:uid="{00000000-0005-0000-0000-0000D7050000}"/>
    <cellStyle name="Normal 28 4 2" xfId="2653" xr:uid="{00000000-0005-0000-0000-0000D8050000}"/>
    <cellStyle name="Normal 28 5" xfId="2185" xr:uid="{00000000-0005-0000-0000-0000D9050000}"/>
    <cellStyle name="Normal 29" xfId="841" xr:uid="{00000000-0005-0000-0000-0000DA050000}"/>
    <cellStyle name="Normal 29 2" xfId="1083" xr:uid="{00000000-0005-0000-0000-0000DB050000}"/>
    <cellStyle name="Normal 29 2 2" xfId="2542" xr:uid="{00000000-0005-0000-0000-0000DC050000}"/>
    <cellStyle name="Normal 29 3" xfId="1301" xr:uid="{00000000-0005-0000-0000-0000DD050000}"/>
    <cellStyle name="Normal 29 3 2" xfId="2747" xr:uid="{00000000-0005-0000-0000-0000DE050000}"/>
    <cellStyle name="Normal 29 4" xfId="2314" xr:uid="{00000000-0005-0000-0000-0000DF050000}"/>
    <cellStyle name="Normal 3" xfId="43" xr:uid="{00000000-0005-0000-0000-0000E0050000}"/>
    <cellStyle name="Normal 3 2" xfId="69" xr:uid="{00000000-0005-0000-0000-0000E1050000}"/>
    <cellStyle name="Normal 3 2 2" xfId="253" xr:uid="{00000000-0005-0000-0000-0000E2050000}"/>
    <cellStyle name="Normal 3 2 3" xfId="178" xr:uid="{00000000-0005-0000-0000-0000E3050000}"/>
    <cellStyle name="Normal 3 2 3 3" xfId="179" xr:uid="{00000000-0005-0000-0000-0000E4050000}"/>
    <cellStyle name="Normal 3 2_EPIQ-Official" xfId="306" xr:uid="{00000000-0005-0000-0000-0000E5050000}"/>
    <cellStyle name="Normal 3 3" xfId="74" xr:uid="{00000000-0005-0000-0000-0000E6050000}"/>
    <cellStyle name="Normal 3 3 2" xfId="308" xr:uid="{00000000-0005-0000-0000-0000E7050000}"/>
    <cellStyle name="Normal 3 3 3" xfId="307" xr:uid="{00000000-0005-0000-0000-0000E8050000}"/>
    <cellStyle name="Normal 3 4" xfId="337" xr:uid="{00000000-0005-0000-0000-0000E9050000}"/>
    <cellStyle name="Normal 3 4 2" xfId="520" xr:uid="{00000000-0005-0000-0000-0000EA050000}"/>
    <cellStyle name="Normal 3 5" xfId="436" xr:uid="{00000000-0005-0000-0000-0000EB050000}"/>
    <cellStyle name="Normal 3 5 2" xfId="655" xr:uid="{00000000-0005-0000-0000-0000EC050000}"/>
    <cellStyle name="Normal 3 5 2 2" xfId="813" xr:uid="{00000000-0005-0000-0000-0000ED050000}"/>
    <cellStyle name="Normal 3 5 2 2 2" xfId="1058" xr:uid="{00000000-0005-0000-0000-0000EE050000}"/>
    <cellStyle name="Normal 3 5 2 2 2 2" xfId="2521" xr:uid="{00000000-0005-0000-0000-0000EF050000}"/>
    <cellStyle name="Normal 3 5 2 2 3" xfId="1277" xr:uid="{00000000-0005-0000-0000-0000F0050000}"/>
    <cellStyle name="Normal 3 5 2 2 3 2" xfId="2726" xr:uid="{00000000-0005-0000-0000-0000F1050000}"/>
    <cellStyle name="Normal 3 5 2 2 4" xfId="2290" xr:uid="{00000000-0005-0000-0000-0000F2050000}"/>
    <cellStyle name="Normal 3 5 2 3" xfId="933" xr:uid="{00000000-0005-0000-0000-0000F3050000}"/>
    <cellStyle name="Normal 3 5 2 3 2" xfId="2406" xr:uid="{00000000-0005-0000-0000-0000F4050000}"/>
    <cellStyle name="Normal 3 5 2 4" xfId="1178" xr:uid="{00000000-0005-0000-0000-0000F5050000}"/>
    <cellStyle name="Normal 3 5 2 4 2" xfId="2636" xr:uid="{00000000-0005-0000-0000-0000F6050000}"/>
    <cellStyle name="Normal 3 5 2 5" xfId="2168" xr:uid="{00000000-0005-0000-0000-0000F7050000}"/>
    <cellStyle name="Normal 3 5 3" xfId="752" xr:uid="{00000000-0005-0000-0000-0000F8050000}"/>
    <cellStyle name="Normal 3 5 3 2" xfId="1002" xr:uid="{00000000-0005-0000-0000-0000F9050000}"/>
    <cellStyle name="Normal 3 5 3 2 2" xfId="2468" xr:uid="{00000000-0005-0000-0000-0000FA050000}"/>
    <cellStyle name="Normal 3 5 3 3" xfId="1230" xr:uid="{00000000-0005-0000-0000-0000FB050000}"/>
    <cellStyle name="Normal 3 5 3 3 2" xfId="2682" xr:uid="{00000000-0005-0000-0000-0000FC050000}"/>
    <cellStyle name="Normal 3 5 3 4" xfId="2234" xr:uid="{00000000-0005-0000-0000-0000FD050000}"/>
    <cellStyle name="Normal 3 5 4" xfId="882" xr:uid="{00000000-0005-0000-0000-0000FE050000}"/>
    <cellStyle name="Normal 3 5 4 2" xfId="2355" xr:uid="{00000000-0005-0000-0000-0000FF050000}"/>
    <cellStyle name="Normal 3 5 5" xfId="1125" xr:uid="{00000000-0005-0000-0000-000000060000}"/>
    <cellStyle name="Normal 3 5 5 2" xfId="2584" xr:uid="{00000000-0005-0000-0000-000001060000}"/>
    <cellStyle name="Normal 3 5 6" xfId="2107" xr:uid="{00000000-0005-0000-0000-000002060000}"/>
    <cellStyle name="Normal 3 6" xfId="575" xr:uid="{00000000-0005-0000-0000-000003060000}"/>
    <cellStyle name="Normal 3 6 2" xfId="679" xr:uid="{00000000-0005-0000-0000-000004060000}"/>
    <cellStyle name="Normal 3 6 2 2" xfId="821" xr:uid="{00000000-0005-0000-0000-000005060000}"/>
    <cellStyle name="Normal 3 6 2 2 2" xfId="1065" xr:uid="{00000000-0005-0000-0000-000006060000}"/>
    <cellStyle name="Normal 3 6 2 2 2 2" xfId="2528" xr:uid="{00000000-0005-0000-0000-000007060000}"/>
    <cellStyle name="Normal 3 6 2 2 3" xfId="1283" xr:uid="{00000000-0005-0000-0000-000008060000}"/>
    <cellStyle name="Normal 3 6 2 2 3 2" xfId="2732" xr:uid="{00000000-0005-0000-0000-000009060000}"/>
    <cellStyle name="Normal 3 6 2 2 4" xfId="2298" xr:uid="{00000000-0005-0000-0000-00000A060000}"/>
    <cellStyle name="Normal 3 6 2 3" xfId="942" xr:uid="{00000000-0005-0000-0000-00000B060000}"/>
    <cellStyle name="Normal 3 6 2 3 2" xfId="2414" xr:uid="{00000000-0005-0000-0000-00000C060000}"/>
    <cellStyle name="Normal 3 6 2 4" xfId="1185" xr:uid="{00000000-0005-0000-0000-00000D060000}"/>
    <cellStyle name="Normal 3 6 2 4 2" xfId="2643" xr:uid="{00000000-0005-0000-0000-00000E060000}"/>
    <cellStyle name="Normal 3 6 2 5" xfId="2175" xr:uid="{00000000-0005-0000-0000-00000F060000}"/>
    <cellStyle name="Normal 3 6 3" xfId="763" xr:uid="{00000000-0005-0000-0000-000010060000}"/>
    <cellStyle name="Normal 3 6 3 2" xfId="1012" xr:uid="{00000000-0005-0000-0000-000011060000}"/>
    <cellStyle name="Normal 3 6 3 2 2" xfId="2478" xr:uid="{00000000-0005-0000-0000-000012060000}"/>
    <cellStyle name="Normal 3 6 3 3" xfId="1236" xr:uid="{00000000-0005-0000-0000-000013060000}"/>
    <cellStyle name="Normal 3 6 3 3 2" xfId="2688" xr:uid="{00000000-0005-0000-0000-000014060000}"/>
    <cellStyle name="Normal 3 6 3 4" xfId="2245" xr:uid="{00000000-0005-0000-0000-000015060000}"/>
    <cellStyle name="Normal 3 6 4" xfId="891" xr:uid="{00000000-0005-0000-0000-000016060000}"/>
    <cellStyle name="Normal 3 6 4 2" xfId="2364" xr:uid="{00000000-0005-0000-0000-000017060000}"/>
    <cellStyle name="Normal 3 6 5" xfId="1136" xr:uid="{00000000-0005-0000-0000-000018060000}"/>
    <cellStyle name="Normal 3 6 5 2" xfId="2594" xr:uid="{00000000-0005-0000-0000-000019060000}"/>
    <cellStyle name="Normal 3 6 6" xfId="2125" xr:uid="{00000000-0005-0000-0000-00001A060000}"/>
    <cellStyle name="Normal 3 7" xfId="594" xr:uid="{00000000-0005-0000-0000-00001B060000}"/>
    <cellStyle name="Normal 3 7 2" xfId="687" xr:uid="{00000000-0005-0000-0000-00001C060000}"/>
    <cellStyle name="Normal 3 7 2 2" xfId="829" xr:uid="{00000000-0005-0000-0000-00001D060000}"/>
    <cellStyle name="Normal 3 7 2 2 2" xfId="1073" xr:uid="{00000000-0005-0000-0000-00001E060000}"/>
    <cellStyle name="Normal 3 7 2 2 2 2" xfId="2536" xr:uid="{00000000-0005-0000-0000-00001F060000}"/>
    <cellStyle name="Normal 3 7 2 2 3" xfId="1291" xr:uid="{00000000-0005-0000-0000-000020060000}"/>
    <cellStyle name="Normal 3 7 2 2 3 2" xfId="2740" xr:uid="{00000000-0005-0000-0000-000021060000}"/>
    <cellStyle name="Normal 3 7 2 2 4" xfId="2306" xr:uid="{00000000-0005-0000-0000-000022060000}"/>
    <cellStyle name="Normal 3 7 2 3" xfId="950" xr:uid="{00000000-0005-0000-0000-000023060000}"/>
    <cellStyle name="Normal 3 7 2 3 2" xfId="2422" xr:uid="{00000000-0005-0000-0000-000024060000}"/>
    <cellStyle name="Normal 3 7 2 4" xfId="1193" xr:uid="{00000000-0005-0000-0000-000025060000}"/>
    <cellStyle name="Normal 3 7 2 4 2" xfId="2651" xr:uid="{00000000-0005-0000-0000-000026060000}"/>
    <cellStyle name="Normal 3 7 2 5" xfId="2183" xr:uid="{00000000-0005-0000-0000-000027060000}"/>
    <cellStyle name="Normal 3 7 3" xfId="772" xr:uid="{00000000-0005-0000-0000-000028060000}"/>
    <cellStyle name="Normal 3 7 3 2" xfId="1020" xr:uid="{00000000-0005-0000-0000-000029060000}"/>
    <cellStyle name="Normal 3 7 3 2 2" xfId="2486" xr:uid="{00000000-0005-0000-0000-00002A060000}"/>
    <cellStyle name="Normal 3 7 3 3" xfId="1244" xr:uid="{00000000-0005-0000-0000-00002B060000}"/>
    <cellStyle name="Normal 3 7 3 3 2" xfId="2696" xr:uid="{00000000-0005-0000-0000-00002C060000}"/>
    <cellStyle name="Normal 3 7 3 4" xfId="2253" xr:uid="{00000000-0005-0000-0000-00002D060000}"/>
    <cellStyle name="Normal 3 7 4" xfId="899" xr:uid="{00000000-0005-0000-0000-00002E060000}"/>
    <cellStyle name="Normal 3 7 4 2" xfId="2372" xr:uid="{00000000-0005-0000-0000-00002F060000}"/>
    <cellStyle name="Normal 3 7 5" xfId="1144" xr:uid="{00000000-0005-0000-0000-000030060000}"/>
    <cellStyle name="Normal 3 7 5 2" xfId="2602" xr:uid="{00000000-0005-0000-0000-000031060000}"/>
    <cellStyle name="Normal 3 7 6" xfId="2133" xr:uid="{00000000-0005-0000-0000-000032060000}"/>
    <cellStyle name="Normal 3 8" xfId="576" xr:uid="{00000000-0005-0000-0000-000033060000}"/>
    <cellStyle name="Normal 3 8 2" xfId="680" xr:uid="{00000000-0005-0000-0000-000034060000}"/>
    <cellStyle name="Normal 3 8 2 2" xfId="822" xr:uid="{00000000-0005-0000-0000-000035060000}"/>
    <cellStyle name="Normal 3 8 2 2 2" xfId="1066" xr:uid="{00000000-0005-0000-0000-000036060000}"/>
    <cellStyle name="Normal 3 8 2 2 2 2" xfId="2529" xr:uid="{00000000-0005-0000-0000-000037060000}"/>
    <cellStyle name="Normal 3 8 2 2 3" xfId="1284" xr:uid="{00000000-0005-0000-0000-000038060000}"/>
    <cellStyle name="Normal 3 8 2 2 3 2" xfId="2733" xr:uid="{00000000-0005-0000-0000-000039060000}"/>
    <cellStyle name="Normal 3 8 2 2 4" xfId="2299" xr:uid="{00000000-0005-0000-0000-00003A060000}"/>
    <cellStyle name="Normal 3 8 2 3" xfId="943" xr:uid="{00000000-0005-0000-0000-00003B060000}"/>
    <cellStyle name="Normal 3 8 2 3 2" xfId="2415" xr:uid="{00000000-0005-0000-0000-00003C060000}"/>
    <cellStyle name="Normal 3 8 2 4" xfId="1186" xr:uid="{00000000-0005-0000-0000-00003D060000}"/>
    <cellStyle name="Normal 3 8 2 4 2" xfId="2644" xr:uid="{00000000-0005-0000-0000-00003E060000}"/>
    <cellStyle name="Normal 3 8 2 5" xfId="2176" xr:uid="{00000000-0005-0000-0000-00003F060000}"/>
    <cellStyle name="Normal 3 8 3" xfId="764" xr:uid="{00000000-0005-0000-0000-000040060000}"/>
    <cellStyle name="Normal 3 8 3 2" xfId="1013" xr:uid="{00000000-0005-0000-0000-000041060000}"/>
    <cellStyle name="Normal 3 8 3 2 2" xfId="2479" xr:uid="{00000000-0005-0000-0000-000042060000}"/>
    <cellStyle name="Normal 3 8 3 3" xfId="1237" xr:uid="{00000000-0005-0000-0000-000043060000}"/>
    <cellStyle name="Normal 3 8 3 3 2" xfId="2689" xr:uid="{00000000-0005-0000-0000-000044060000}"/>
    <cellStyle name="Normal 3 8 3 4" xfId="2246" xr:uid="{00000000-0005-0000-0000-000045060000}"/>
    <cellStyle name="Normal 3 8 4" xfId="892" xr:uid="{00000000-0005-0000-0000-000046060000}"/>
    <cellStyle name="Normal 3 8 4 2" xfId="2365" xr:uid="{00000000-0005-0000-0000-000047060000}"/>
    <cellStyle name="Normal 3 8 5" xfId="1137" xr:uid="{00000000-0005-0000-0000-000048060000}"/>
    <cellStyle name="Normal 3 8 5 2" xfId="2595" xr:uid="{00000000-0005-0000-0000-000049060000}"/>
    <cellStyle name="Normal 3 8 6" xfId="2126" xr:uid="{00000000-0005-0000-0000-00004A060000}"/>
    <cellStyle name="Normal 3 9" xfId="593" xr:uid="{00000000-0005-0000-0000-00004B060000}"/>
    <cellStyle name="Normal 3 9 2" xfId="686" xr:uid="{00000000-0005-0000-0000-00004C060000}"/>
    <cellStyle name="Normal 3 9 2 2" xfId="828" xr:uid="{00000000-0005-0000-0000-00004D060000}"/>
    <cellStyle name="Normal 3 9 2 2 2" xfId="1072" xr:uid="{00000000-0005-0000-0000-00004E060000}"/>
    <cellStyle name="Normal 3 9 2 2 2 2" xfId="2535" xr:uid="{00000000-0005-0000-0000-00004F060000}"/>
    <cellStyle name="Normal 3 9 2 2 3" xfId="1290" xr:uid="{00000000-0005-0000-0000-000050060000}"/>
    <cellStyle name="Normal 3 9 2 2 3 2" xfId="2739" xr:uid="{00000000-0005-0000-0000-000051060000}"/>
    <cellStyle name="Normal 3 9 2 2 4" xfId="2305" xr:uid="{00000000-0005-0000-0000-000052060000}"/>
    <cellStyle name="Normal 3 9 2 3" xfId="949" xr:uid="{00000000-0005-0000-0000-000053060000}"/>
    <cellStyle name="Normal 3 9 2 3 2" xfId="2421" xr:uid="{00000000-0005-0000-0000-000054060000}"/>
    <cellStyle name="Normal 3 9 2 4" xfId="1192" xr:uid="{00000000-0005-0000-0000-000055060000}"/>
    <cellStyle name="Normal 3 9 2 4 2" xfId="2650" xr:uid="{00000000-0005-0000-0000-000056060000}"/>
    <cellStyle name="Normal 3 9 2 5" xfId="2182" xr:uid="{00000000-0005-0000-0000-000057060000}"/>
    <cellStyle name="Normal 3 9 3" xfId="771" xr:uid="{00000000-0005-0000-0000-000058060000}"/>
    <cellStyle name="Normal 3 9 3 2" xfId="1019" xr:uid="{00000000-0005-0000-0000-000059060000}"/>
    <cellStyle name="Normal 3 9 3 2 2" xfId="2485" xr:uid="{00000000-0005-0000-0000-00005A060000}"/>
    <cellStyle name="Normal 3 9 3 3" xfId="1243" xr:uid="{00000000-0005-0000-0000-00005B060000}"/>
    <cellStyle name="Normal 3 9 3 3 2" xfId="2695" xr:uid="{00000000-0005-0000-0000-00005C060000}"/>
    <cellStyle name="Normal 3 9 3 4" xfId="2252" xr:uid="{00000000-0005-0000-0000-00005D060000}"/>
    <cellStyle name="Normal 3 9 4" xfId="898" xr:uid="{00000000-0005-0000-0000-00005E060000}"/>
    <cellStyle name="Normal 3 9 4 2" xfId="2371" xr:uid="{00000000-0005-0000-0000-00005F060000}"/>
    <cellStyle name="Normal 3 9 5" xfId="1143" xr:uid="{00000000-0005-0000-0000-000060060000}"/>
    <cellStyle name="Normal 3 9 5 2" xfId="2601" xr:uid="{00000000-0005-0000-0000-000061060000}"/>
    <cellStyle name="Normal 3 9 6" xfId="2132" xr:uid="{00000000-0005-0000-0000-000062060000}"/>
    <cellStyle name="Normal 3_ADP-Wells" xfId="309" xr:uid="{00000000-0005-0000-0000-000063060000}"/>
    <cellStyle name="Normal 30" xfId="107" xr:uid="{00000000-0005-0000-0000-000064060000}"/>
    <cellStyle name="Normal 31" xfId="251" xr:uid="{00000000-0005-0000-0000-000065060000}"/>
    <cellStyle name="Normal 32" xfId="1369" xr:uid="{00000000-0005-0000-0000-000066060000}"/>
    <cellStyle name="Normal 33" xfId="1872" xr:uid="{00000000-0005-0000-0000-000067060000}"/>
    <cellStyle name="Normal 34" xfId="1512" xr:uid="{00000000-0005-0000-0000-000068060000}"/>
    <cellStyle name="Normal 35" xfId="1853" xr:uid="{00000000-0005-0000-0000-000069060000}"/>
    <cellStyle name="Normal 36" xfId="3377" xr:uid="{00000000-0005-0000-0000-00006A060000}"/>
    <cellStyle name="Normal 37" xfId="3381" xr:uid="{63399460-3B9E-4940-8A84-72E99FB02841}"/>
    <cellStyle name="Normal 38" xfId="3382" xr:uid="{47E0822C-0167-4E77-83AE-F6A61E506A2A}"/>
    <cellStyle name="Normal 4" xfId="75" xr:uid="{00000000-0005-0000-0000-00006B060000}"/>
    <cellStyle name="Normal 4 2" xfId="310" xr:uid="{00000000-0005-0000-0000-00006C060000}"/>
    <cellStyle name="Normal 4 2 2" xfId="630" xr:uid="{00000000-0005-0000-0000-00006D060000}"/>
    <cellStyle name="Normal 4 2 2 2" xfId="790" xr:uid="{00000000-0005-0000-0000-00006E060000}"/>
    <cellStyle name="Normal 4 2 2 2 2" xfId="1038" xr:uid="{00000000-0005-0000-0000-00006F060000}"/>
    <cellStyle name="Normal 4 2 2 2 2 2" xfId="2503" xr:uid="{00000000-0005-0000-0000-000070060000}"/>
    <cellStyle name="Normal 4 2 2 2 3" xfId="1257" xr:uid="{00000000-0005-0000-0000-000071060000}"/>
    <cellStyle name="Normal 4 2 2 2 3 2" xfId="2708" xr:uid="{00000000-0005-0000-0000-000072060000}"/>
    <cellStyle name="Normal 4 2 2 2 4" xfId="2270" xr:uid="{00000000-0005-0000-0000-000073060000}"/>
    <cellStyle name="Normal 4 2 2 3" xfId="912" xr:uid="{00000000-0005-0000-0000-000074060000}"/>
    <cellStyle name="Normal 4 2 2 3 2" xfId="2385" xr:uid="{00000000-0005-0000-0000-000075060000}"/>
    <cellStyle name="Normal 4 2 2 4" xfId="1160" xr:uid="{00000000-0005-0000-0000-000076060000}"/>
    <cellStyle name="Normal 4 2 2 4 2" xfId="2618" xr:uid="{00000000-0005-0000-0000-000077060000}"/>
    <cellStyle name="Normal 4 2 2 5" xfId="2149" xr:uid="{00000000-0005-0000-0000-000078060000}"/>
    <cellStyle name="Normal 4 2 3" xfId="729" xr:uid="{00000000-0005-0000-0000-000079060000}"/>
    <cellStyle name="Normal 4 2 3 2" xfId="982" xr:uid="{00000000-0005-0000-0000-00007A060000}"/>
    <cellStyle name="Normal 4 2 3 2 2" xfId="2451" xr:uid="{00000000-0005-0000-0000-00007B060000}"/>
    <cellStyle name="Normal 4 2 3 3" xfId="1210" xr:uid="{00000000-0005-0000-0000-00007C060000}"/>
    <cellStyle name="Normal 4 2 3 3 2" xfId="2665" xr:uid="{00000000-0005-0000-0000-00007D060000}"/>
    <cellStyle name="Normal 4 2 3 4" xfId="2215" xr:uid="{00000000-0005-0000-0000-00007E060000}"/>
    <cellStyle name="Normal 4 2 4" xfId="864" xr:uid="{00000000-0005-0000-0000-00007F060000}"/>
    <cellStyle name="Normal 4 2 4 2" xfId="2337" xr:uid="{00000000-0005-0000-0000-000080060000}"/>
    <cellStyle name="Normal 4 2 5" xfId="1106" xr:uid="{00000000-0005-0000-0000-000081060000}"/>
    <cellStyle name="Normal 4 2 5 2" xfId="2565" xr:uid="{00000000-0005-0000-0000-000082060000}"/>
    <cellStyle name="Normal 4 2 6" xfId="2084" xr:uid="{00000000-0005-0000-0000-000083060000}"/>
    <cellStyle name="Normal 4 3" xfId="437" xr:uid="{00000000-0005-0000-0000-000084060000}"/>
    <cellStyle name="Normal 4 3 2" xfId="656" xr:uid="{00000000-0005-0000-0000-000085060000}"/>
    <cellStyle name="Normal 4 3 2 2" xfId="814" xr:uid="{00000000-0005-0000-0000-000086060000}"/>
    <cellStyle name="Normal 4 3 2 2 2" xfId="1059" xr:uid="{00000000-0005-0000-0000-000087060000}"/>
    <cellStyle name="Normal 4 3 2 2 2 2" xfId="2522" xr:uid="{00000000-0005-0000-0000-000088060000}"/>
    <cellStyle name="Normal 4 3 2 2 3" xfId="1278" xr:uid="{00000000-0005-0000-0000-000089060000}"/>
    <cellStyle name="Normal 4 3 2 2 3 2" xfId="2727" xr:uid="{00000000-0005-0000-0000-00008A060000}"/>
    <cellStyle name="Normal 4 3 2 2 4" xfId="2291" xr:uid="{00000000-0005-0000-0000-00008B060000}"/>
    <cellStyle name="Normal 4 3 2 3" xfId="934" xr:uid="{00000000-0005-0000-0000-00008C060000}"/>
    <cellStyle name="Normal 4 3 2 3 2" xfId="2407" xr:uid="{00000000-0005-0000-0000-00008D060000}"/>
    <cellStyle name="Normal 4 3 2 4" xfId="1179" xr:uid="{00000000-0005-0000-0000-00008E060000}"/>
    <cellStyle name="Normal 4 3 2 4 2" xfId="2637" xr:uid="{00000000-0005-0000-0000-00008F060000}"/>
    <cellStyle name="Normal 4 3 2 5" xfId="2169" xr:uid="{00000000-0005-0000-0000-000090060000}"/>
    <cellStyle name="Normal 4 3 3" xfId="753" xr:uid="{00000000-0005-0000-0000-000091060000}"/>
    <cellStyle name="Normal 4 3 3 2" xfId="1003" xr:uid="{00000000-0005-0000-0000-000092060000}"/>
    <cellStyle name="Normal 4 3 3 2 2" xfId="2469" xr:uid="{00000000-0005-0000-0000-000093060000}"/>
    <cellStyle name="Normal 4 3 3 3" xfId="1231" xr:uid="{00000000-0005-0000-0000-000094060000}"/>
    <cellStyle name="Normal 4 3 3 3 2" xfId="2683" xr:uid="{00000000-0005-0000-0000-000095060000}"/>
    <cellStyle name="Normal 4 3 3 4" xfId="2235" xr:uid="{00000000-0005-0000-0000-000096060000}"/>
    <cellStyle name="Normal 4 3 4" xfId="883" xr:uid="{00000000-0005-0000-0000-000097060000}"/>
    <cellStyle name="Normal 4 3 4 2" xfId="2356" xr:uid="{00000000-0005-0000-0000-000098060000}"/>
    <cellStyle name="Normal 4 3 5" xfId="1126" xr:uid="{00000000-0005-0000-0000-000099060000}"/>
    <cellStyle name="Normal 4 3 5 2" xfId="2585" xr:uid="{00000000-0005-0000-0000-00009A060000}"/>
    <cellStyle name="Normal 4 3 6" xfId="2108" xr:uid="{00000000-0005-0000-0000-00009B060000}"/>
    <cellStyle name="Normal 5" xfId="77" xr:uid="{00000000-0005-0000-0000-00009C060000}"/>
    <cellStyle name="Normal 5 10" xfId="254" xr:uid="{00000000-0005-0000-0000-00009D060000}"/>
    <cellStyle name="Normal 5 10 2" xfId="2061" xr:uid="{00000000-0005-0000-0000-00009E060000}"/>
    <cellStyle name="Normal 5 2" xfId="283" xr:uid="{00000000-0005-0000-0000-00009F060000}"/>
    <cellStyle name="Normal 5 2 2" xfId="624" xr:uid="{00000000-0005-0000-0000-0000A0060000}"/>
    <cellStyle name="Normal 5 2 2 2" xfId="784" xr:uid="{00000000-0005-0000-0000-0000A1060000}"/>
    <cellStyle name="Normal 5 2 2 2 2" xfId="1032" xr:uid="{00000000-0005-0000-0000-0000A2060000}"/>
    <cellStyle name="Normal 5 2 2 2 2 2" xfId="2497" xr:uid="{00000000-0005-0000-0000-0000A3060000}"/>
    <cellStyle name="Normal 5 2 2 2 3" xfId="1251" xr:uid="{00000000-0005-0000-0000-0000A4060000}"/>
    <cellStyle name="Normal 5 2 2 2 3 2" xfId="2702" xr:uid="{00000000-0005-0000-0000-0000A5060000}"/>
    <cellStyle name="Normal 5 2 2 2 4" xfId="2264" xr:uid="{00000000-0005-0000-0000-0000A6060000}"/>
    <cellStyle name="Normal 5 2 2 3" xfId="906" xr:uid="{00000000-0005-0000-0000-0000A7060000}"/>
    <cellStyle name="Normal 5 2 2 3 2" xfId="2379" xr:uid="{00000000-0005-0000-0000-0000A8060000}"/>
    <cellStyle name="Normal 5 2 2 4" xfId="1154" xr:uid="{00000000-0005-0000-0000-0000A9060000}"/>
    <cellStyle name="Normal 5 2 2 4 2" xfId="2612" xr:uid="{00000000-0005-0000-0000-0000AA060000}"/>
    <cellStyle name="Normal 5 2 2 5" xfId="2143" xr:uid="{00000000-0005-0000-0000-0000AB060000}"/>
    <cellStyle name="Normal 5 2 3" xfId="723" xr:uid="{00000000-0005-0000-0000-0000AC060000}"/>
    <cellStyle name="Normal 5 2 3 2" xfId="976" xr:uid="{00000000-0005-0000-0000-0000AD060000}"/>
    <cellStyle name="Normal 5 2 3 2 2" xfId="2445" xr:uid="{00000000-0005-0000-0000-0000AE060000}"/>
    <cellStyle name="Normal 5 2 3 3" xfId="1204" xr:uid="{00000000-0005-0000-0000-0000AF060000}"/>
    <cellStyle name="Normal 5 2 3 3 2" xfId="2659" xr:uid="{00000000-0005-0000-0000-0000B0060000}"/>
    <cellStyle name="Normal 5 2 3 4" xfId="2209" xr:uid="{00000000-0005-0000-0000-0000B1060000}"/>
    <cellStyle name="Normal 5 2 4" xfId="858" xr:uid="{00000000-0005-0000-0000-0000B2060000}"/>
    <cellStyle name="Normal 5 2 4 2" xfId="2331" xr:uid="{00000000-0005-0000-0000-0000B3060000}"/>
    <cellStyle name="Normal 5 2 5" xfId="1100" xr:uid="{00000000-0005-0000-0000-0000B4060000}"/>
    <cellStyle name="Normal 5 2 5 2" xfId="2559" xr:uid="{00000000-0005-0000-0000-0000B5060000}"/>
    <cellStyle name="Normal 5 2 6" xfId="2078" xr:uid="{00000000-0005-0000-0000-0000B6060000}"/>
    <cellStyle name="Normal 5 3" xfId="338" xr:uid="{00000000-0005-0000-0000-0000B7060000}"/>
    <cellStyle name="Normal 5 3 2" xfId="339" xr:uid="{00000000-0005-0000-0000-0000B8060000}"/>
    <cellStyle name="Normal 5 3 2 2" xfId="636" xr:uid="{00000000-0005-0000-0000-0000B9060000}"/>
    <cellStyle name="Normal 5 3 2 2 2" xfId="796" xr:uid="{00000000-0005-0000-0000-0000BA060000}"/>
    <cellStyle name="Normal 5 3 2 2 2 2" xfId="1044" xr:uid="{00000000-0005-0000-0000-0000BB060000}"/>
    <cellStyle name="Normal 5 3 2 2 2 2 2" xfId="2509" xr:uid="{00000000-0005-0000-0000-0000BC060000}"/>
    <cellStyle name="Normal 5 3 2 2 2 3" xfId="1263" xr:uid="{00000000-0005-0000-0000-0000BD060000}"/>
    <cellStyle name="Normal 5 3 2 2 2 3 2" xfId="2714" xr:uid="{00000000-0005-0000-0000-0000BE060000}"/>
    <cellStyle name="Normal 5 3 2 2 2 4" xfId="2276" xr:uid="{00000000-0005-0000-0000-0000BF060000}"/>
    <cellStyle name="Normal 5 3 2 2 3" xfId="918" xr:uid="{00000000-0005-0000-0000-0000C0060000}"/>
    <cellStyle name="Normal 5 3 2 2 3 2" xfId="2391" xr:uid="{00000000-0005-0000-0000-0000C1060000}"/>
    <cellStyle name="Normal 5 3 2 2 4" xfId="1166" xr:uid="{00000000-0005-0000-0000-0000C2060000}"/>
    <cellStyle name="Normal 5 3 2 2 4 2" xfId="2624" xr:uid="{00000000-0005-0000-0000-0000C3060000}"/>
    <cellStyle name="Normal 5 3 2 2 5" xfId="2155" xr:uid="{00000000-0005-0000-0000-0000C4060000}"/>
    <cellStyle name="Normal 5 3 2 3" xfId="735" xr:uid="{00000000-0005-0000-0000-0000C5060000}"/>
    <cellStyle name="Normal 5 3 2 3 2" xfId="988" xr:uid="{00000000-0005-0000-0000-0000C6060000}"/>
    <cellStyle name="Normal 5 3 2 3 2 2" xfId="2457" xr:uid="{00000000-0005-0000-0000-0000C7060000}"/>
    <cellStyle name="Normal 5 3 2 3 3" xfId="1216" xr:uid="{00000000-0005-0000-0000-0000C8060000}"/>
    <cellStyle name="Normal 5 3 2 3 3 2" xfId="2671" xr:uid="{00000000-0005-0000-0000-0000C9060000}"/>
    <cellStyle name="Normal 5 3 2 3 4" xfId="2221" xr:uid="{00000000-0005-0000-0000-0000CA060000}"/>
    <cellStyle name="Normal 5 3 2 4" xfId="870" xr:uid="{00000000-0005-0000-0000-0000CB060000}"/>
    <cellStyle name="Normal 5 3 2 4 2" xfId="2343" xr:uid="{00000000-0005-0000-0000-0000CC060000}"/>
    <cellStyle name="Normal 5 3 2 5" xfId="1112" xr:uid="{00000000-0005-0000-0000-0000CD060000}"/>
    <cellStyle name="Normal 5 3 2 5 2" xfId="2571" xr:uid="{00000000-0005-0000-0000-0000CE060000}"/>
    <cellStyle name="Normal 5 3 2 6" xfId="2091" xr:uid="{00000000-0005-0000-0000-0000CF060000}"/>
    <cellStyle name="Normal 5 3 3" xfId="635" xr:uid="{00000000-0005-0000-0000-0000D0060000}"/>
    <cellStyle name="Normal 5 3 3 2" xfId="795" xr:uid="{00000000-0005-0000-0000-0000D1060000}"/>
    <cellStyle name="Normal 5 3 3 2 2" xfId="1043" xr:uid="{00000000-0005-0000-0000-0000D2060000}"/>
    <cellStyle name="Normal 5 3 3 2 2 2" xfId="2508" xr:uid="{00000000-0005-0000-0000-0000D3060000}"/>
    <cellStyle name="Normal 5 3 3 2 3" xfId="1262" xr:uid="{00000000-0005-0000-0000-0000D4060000}"/>
    <cellStyle name="Normal 5 3 3 2 3 2" xfId="2713" xr:uid="{00000000-0005-0000-0000-0000D5060000}"/>
    <cellStyle name="Normal 5 3 3 2 4" xfId="2275" xr:uid="{00000000-0005-0000-0000-0000D6060000}"/>
    <cellStyle name="Normal 5 3 3 3" xfId="917" xr:uid="{00000000-0005-0000-0000-0000D7060000}"/>
    <cellStyle name="Normal 5 3 3 3 2" xfId="2390" xr:uid="{00000000-0005-0000-0000-0000D8060000}"/>
    <cellStyle name="Normal 5 3 3 4" xfId="1165" xr:uid="{00000000-0005-0000-0000-0000D9060000}"/>
    <cellStyle name="Normal 5 3 3 4 2" xfId="2623" xr:uid="{00000000-0005-0000-0000-0000DA060000}"/>
    <cellStyle name="Normal 5 3 3 5" xfId="2154" xr:uid="{00000000-0005-0000-0000-0000DB060000}"/>
    <cellStyle name="Normal 5 3 4" xfId="734" xr:uid="{00000000-0005-0000-0000-0000DC060000}"/>
    <cellStyle name="Normal 5 3 4 2" xfId="987" xr:uid="{00000000-0005-0000-0000-0000DD060000}"/>
    <cellStyle name="Normal 5 3 4 2 2" xfId="2456" xr:uid="{00000000-0005-0000-0000-0000DE060000}"/>
    <cellStyle name="Normal 5 3 4 3" xfId="1215" xr:uid="{00000000-0005-0000-0000-0000DF060000}"/>
    <cellStyle name="Normal 5 3 4 3 2" xfId="2670" xr:uid="{00000000-0005-0000-0000-0000E0060000}"/>
    <cellStyle name="Normal 5 3 4 4" xfId="2220" xr:uid="{00000000-0005-0000-0000-0000E1060000}"/>
    <cellStyle name="Normal 5 3 5" xfId="869" xr:uid="{00000000-0005-0000-0000-0000E2060000}"/>
    <cellStyle name="Normal 5 3 5 2" xfId="2342" xr:uid="{00000000-0005-0000-0000-0000E3060000}"/>
    <cellStyle name="Normal 5 3 6" xfId="1111" xr:uid="{00000000-0005-0000-0000-0000E4060000}"/>
    <cellStyle name="Normal 5 3 6 2" xfId="2570" xr:uid="{00000000-0005-0000-0000-0000E5060000}"/>
    <cellStyle name="Normal 5 3 7" xfId="2090" xr:uid="{00000000-0005-0000-0000-0000E6060000}"/>
    <cellStyle name="Normal 5 4" xfId="340" xr:uid="{00000000-0005-0000-0000-0000E7060000}"/>
    <cellStyle name="Normal 5 4 2" xfId="637" xr:uid="{00000000-0005-0000-0000-0000E8060000}"/>
    <cellStyle name="Normal 5 4 2 2" xfId="797" xr:uid="{00000000-0005-0000-0000-0000E9060000}"/>
    <cellStyle name="Normal 5 4 2 2 2" xfId="1045" xr:uid="{00000000-0005-0000-0000-0000EA060000}"/>
    <cellStyle name="Normal 5 4 2 2 2 2" xfId="2510" xr:uid="{00000000-0005-0000-0000-0000EB060000}"/>
    <cellStyle name="Normal 5 4 2 2 3" xfId="1264" xr:uid="{00000000-0005-0000-0000-0000EC060000}"/>
    <cellStyle name="Normal 5 4 2 2 3 2" xfId="2715" xr:uid="{00000000-0005-0000-0000-0000ED060000}"/>
    <cellStyle name="Normal 5 4 2 2 4" xfId="2277" xr:uid="{00000000-0005-0000-0000-0000EE060000}"/>
    <cellStyle name="Normal 5 4 2 3" xfId="919" xr:uid="{00000000-0005-0000-0000-0000EF060000}"/>
    <cellStyle name="Normal 5 4 2 3 2" xfId="2392" xr:uid="{00000000-0005-0000-0000-0000F0060000}"/>
    <cellStyle name="Normal 5 4 2 4" xfId="1167" xr:uid="{00000000-0005-0000-0000-0000F1060000}"/>
    <cellStyle name="Normal 5 4 2 4 2" xfId="2625" xr:uid="{00000000-0005-0000-0000-0000F2060000}"/>
    <cellStyle name="Normal 5 4 2 5" xfId="2156" xr:uid="{00000000-0005-0000-0000-0000F3060000}"/>
    <cellStyle name="Normal 5 4 3" xfId="736" xr:uid="{00000000-0005-0000-0000-0000F4060000}"/>
    <cellStyle name="Normal 5 4 3 2" xfId="989" xr:uid="{00000000-0005-0000-0000-0000F5060000}"/>
    <cellStyle name="Normal 5 4 3 2 2" xfId="2458" xr:uid="{00000000-0005-0000-0000-0000F6060000}"/>
    <cellStyle name="Normal 5 4 3 3" xfId="1217" xr:uid="{00000000-0005-0000-0000-0000F7060000}"/>
    <cellStyle name="Normal 5 4 3 3 2" xfId="2672" xr:uid="{00000000-0005-0000-0000-0000F8060000}"/>
    <cellStyle name="Normal 5 4 3 4" xfId="2222" xr:uid="{00000000-0005-0000-0000-0000F9060000}"/>
    <cellStyle name="Normal 5 4 4" xfId="871" xr:uid="{00000000-0005-0000-0000-0000FA060000}"/>
    <cellStyle name="Normal 5 4 4 2" xfId="2344" xr:uid="{00000000-0005-0000-0000-0000FB060000}"/>
    <cellStyle name="Normal 5 4 5" xfId="1113" xr:uid="{00000000-0005-0000-0000-0000FC060000}"/>
    <cellStyle name="Normal 5 4 5 2" xfId="2572" xr:uid="{00000000-0005-0000-0000-0000FD060000}"/>
    <cellStyle name="Normal 5 4 6" xfId="2092" xr:uid="{00000000-0005-0000-0000-0000FE060000}"/>
    <cellStyle name="Normal 5 5" xfId="435" xr:uid="{00000000-0005-0000-0000-0000FF060000}"/>
    <cellStyle name="Normal 5 6" xfId="618" xr:uid="{00000000-0005-0000-0000-000000070000}"/>
    <cellStyle name="Normal 5 6 2" xfId="778" xr:uid="{00000000-0005-0000-0000-000001070000}"/>
    <cellStyle name="Normal 5 6 2 2" xfId="1026" xr:uid="{00000000-0005-0000-0000-000002070000}"/>
    <cellStyle name="Normal 5 6 2 2 2" xfId="2491" xr:uid="{00000000-0005-0000-0000-000003070000}"/>
    <cellStyle name="Normal 5 6 2 3" xfId="1247" xr:uid="{00000000-0005-0000-0000-000004070000}"/>
    <cellStyle name="Normal 5 6 2 3 2" xfId="2698" xr:uid="{00000000-0005-0000-0000-000005070000}"/>
    <cellStyle name="Normal 5 6 2 4" xfId="2258" xr:uid="{00000000-0005-0000-0000-000006070000}"/>
    <cellStyle name="Normal 5 6 3" xfId="902" xr:uid="{00000000-0005-0000-0000-000007070000}"/>
    <cellStyle name="Normal 5 6 3 2" xfId="2375" xr:uid="{00000000-0005-0000-0000-000008070000}"/>
    <cellStyle name="Normal 5 6 4" xfId="1148" xr:uid="{00000000-0005-0000-0000-000009070000}"/>
    <cellStyle name="Normal 5 6 4 2" xfId="2606" xr:uid="{00000000-0005-0000-0000-00000A070000}"/>
    <cellStyle name="Normal 5 6 5" xfId="2137" xr:uid="{00000000-0005-0000-0000-00000B070000}"/>
    <cellStyle name="Normal 5 7" xfId="707" xr:uid="{00000000-0005-0000-0000-00000C070000}"/>
    <cellStyle name="Normal 5 7 2" xfId="963" xr:uid="{00000000-0005-0000-0000-00000D070000}"/>
    <cellStyle name="Normal 5 7 2 2" xfId="2432" xr:uid="{00000000-0005-0000-0000-00000E070000}"/>
    <cellStyle name="Normal 5 7 3" xfId="1200" xr:uid="{00000000-0005-0000-0000-00000F070000}"/>
    <cellStyle name="Normal 5 7 3 2" xfId="2655" xr:uid="{00000000-0005-0000-0000-000010070000}"/>
    <cellStyle name="Normal 5 7 4" xfId="2193" xr:uid="{00000000-0005-0000-0000-000011070000}"/>
    <cellStyle name="Normal 5 8" xfId="847" xr:uid="{00000000-0005-0000-0000-000012070000}"/>
    <cellStyle name="Normal 5 8 2" xfId="2320" xr:uid="{00000000-0005-0000-0000-000013070000}"/>
    <cellStyle name="Normal 5 9" xfId="1089" xr:uid="{00000000-0005-0000-0000-000014070000}"/>
    <cellStyle name="Normal 5 9 2" xfId="2548" xr:uid="{00000000-0005-0000-0000-000015070000}"/>
    <cellStyle name="Normal 5_EEFT-Official" xfId="311" xr:uid="{00000000-0005-0000-0000-000016070000}"/>
    <cellStyle name="Normal 6" xfId="78" xr:uid="{00000000-0005-0000-0000-000017070000}"/>
    <cellStyle name="Normal 6 2" xfId="341" xr:uid="{00000000-0005-0000-0000-000018070000}"/>
    <cellStyle name="Normal 6 2 2" xfId="471" xr:uid="{00000000-0005-0000-0000-000019070000}"/>
    <cellStyle name="Normal 6 3" xfId="470" xr:uid="{00000000-0005-0000-0000-00001A070000}"/>
    <cellStyle name="Normal 6 4" xfId="255" xr:uid="{00000000-0005-0000-0000-00001B070000}"/>
    <cellStyle name="Normal 7" xfId="79" xr:uid="{00000000-0005-0000-0000-00001C070000}"/>
    <cellStyle name="Normal 7 2" xfId="284" xr:uid="{00000000-0005-0000-0000-00001D070000}"/>
    <cellStyle name="Normal 7 2 2" xfId="342" xr:uid="{00000000-0005-0000-0000-00001E070000}"/>
    <cellStyle name="Normal 7 2 2 2" xfId="638" xr:uid="{00000000-0005-0000-0000-00001F070000}"/>
    <cellStyle name="Normal 7 2 2 2 2" xfId="798" xr:uid="{00000000-0005-0000-0000-000020070000}"/>
    <cellStyle name="Normal 7 2 2 2 2 2" xfId="1046" xr:uid="{00000000-0005-0000-0000-000021070000}"/>
    <cellStyle name="Normal 7 2 2 2 2 2 2" xfId="2511" xr:uid="{00000000-0005-0000-0000-000022070000}"/>
    <cellStyle name="Normal 7 2 2 2 2 3" xfId="1265" xr:uid="{00000000-0005-0000-0000-000023070000}"/>
    <cellStyle name="Normal 7 2 2 2 2 3 2" xfId="2716" xr:uid="{00000000-0005-0000-0000-000024070000}"/>
    <cellStyle name="Normal 7 2 2 2 2 4" xfId="2278" xr:uid="{00000000-0005-0000-0000-000025070000}"/>
    <cellStyle name="Normal 7 2 2 2 3" xfId="920" xr:uid="{00000000-0005-0000-0000-000026070000}"/>
    <cellStyle name="Normal 7 2 2 2 3 2" xfId="2393" xr:uid="{00000000-0005-0000-0000-000027070000}"/>
    <cellStyle name="Normal 7 2 2 2 4" xfId="1168" xr:uid="{00000000-0005-0000-0000-000028070000}"/>
    <cellStyle name="Normal 7 2 2 2 4 2" xfId="2626" xr:uid="{00000000-0005-0000-0000-000029070000}"/>
    <cellStyle name="Normal 7 2 2 2 5" xfId="2157" xr:uid="{00000000-0005-0000-0000-00002A070000}"/>
    <cellStyle name="Normal 7 2 2 3" xfId="737" xr:uid="{00000000-0005-0000-0000-00002B070000}"/>
    <cellStyle name="Normal 7 2 2 3 2" xfId="990" xr:uid="{00000000-0005-0000-0000-00002C070000}"/>
    <cellStyle name="Normal 7 2 2 3 2 2" xfId="2459" xr:uid="{00000000-0005-0000-0000-00002D070000}"/>
    <cellStyle name="Normal 7 2 2 3 3" xfId="1218" xr:uid="{00000000-0005-0000-0000-00002E070000}"/>
    <cellStyle name="Normal 7 2 2 3 3 2" xfId="2673" xr:uid="{00000000-0005-0000-0000-00002F070000}"/>
    <cellStyle name="Normal 7 2 2 3 4" xfId="2223" xr:uid="{00000000-0005-0000-0000-000030070000}"/>
    <cellStyle name="Normal 7 2 2 4" xfId="872" xr:uid="{00000000-0005-0000-0000-000031070000}"/>
    <cellStyle name="Normal 7 2 2 4 2" xfId="2345" xr:uid="{00000000-0005-0000-0000-000032070000}"/>
    <cellStyle name="Normal 7 2 2 5" xfId="1114" xr:uid="{00000000-0005-0000-0000-000033070000}"/>
    <cellStyle name="Normal 7 2 2 5 2" xfId="2573" xr:uid="{00000000-0005-0000-0000-000034070000}"/>
    <cellStyle name="Normal 7 2 2 6" xfId="2093" xr:uid="{00000000-0005-0000-0000-000035070000}"/>
    <cellStyle name="Normal 7 2 3" xfId="625" xr:uid="{00000000-0005-0000-0000-000036070000}"/>
    <cellStyle name="Normal 7 2 3 2" xfId="785" xr:uid="{00000000-0005-0000-0000-000037070000}"/>
    <cellStyle name="Normal 7 2 3 2 2" xfId="1033" xr:uid="{00000000-0005-0000-0000-000038070000}"/>
    <cellStyle name="Normal 7 2 3 2 2 2" xfId="2498" xr:uid="{00000000-0005-0000-0000-000039070000}"/>
    <cellStyle name="Normal 7 2 3 2 3" xfId="1252" xr:uid="{00000000-0005-0000-0000-00003A070000}"/>
    <cellStyle name="Normal 7 2 3 2 3 2" xfId="2703" xr:uid="{00000000-0005-0000-0000-00003B070000}"/>
    <cellStyle name="Normal 7 2 3 2 4" xfId="2265" xr:uid="{00000000-0005-0000-0000-00003C070000}"/>
    <cellStyle name="Normal 7 2 3 3" xfId="907" xr:uid="{00000000-0005-0000-0000-00003D070000}"/>
    <cellStyle name="Normal 7 2 3 3 2" xfId="2380" xr:uid="{00000000-0005-0000-0000-00003E070000}"/>
    <cellStyle name="Normal 7 2 3 4" xfId="1155" xr:uid="{00000000-0005-0000-0000-00003F070000}"/>
    <cellStyle name="Normal 7 2 3 4 2" xfId="2613" xr:uid="{00000000-0005-0000-0000-000040070000}"/>
    <cellStyle name="Normal 7 2 3 5" xfId="2144" xr:uid="{00000000-0005-0000-0000-000041070000}"/>
    <cellStyle name="Normal 7 2 4" xfId="724" xr:uid="{00000000-0005-0000-0000-000042070000}"/>
    <cellStyle name="Normal 7 2 4 2" xfId="977" xr:uid="{00000000-0005-0000-0000-000043070000}"/>
    <cellStyle name="Normal 7 2 4 2 2" xfId="2446" xr:uid="{00000000-0005-0000-0000-000044070000}"/>
    <cellStyle name="Normal 7 2 4 3" xfId="1205" xr:uid="{00000000-0005-0000-0000-000045070000}"/>
    <cellStyle name="Normal 7 2 4 3 2" xfId="2660" xr:uid="{00000000-0005-0000-0000-000046070000}"/>
    <cellStyle name="Normal 7 2 4 4" xfId="2210" xr:uid="{00000000-0005-0000-0000-000047070000}"/>
    <cellStyle name="Normal 7 2 5" xfId="859" xr:uid="{00000000-0005-0000-0000-000048070000}"/>
    <cellStyle name="Normal 7 2 5 2" xfId="2332" xr:uid="{00000000-0005-0000-0000-000049070000}"/>
    <cellStyle name="Normal 7 2 6" xfId="1101" xr:uid="{00000000-0005-0000-0000-00004A070000}"/>
    <cellStyle name="Normal 7 2 6 2" xfId="2560" xr:uid="{00000000-0005-0000-0000-00004B070000}"/>
    <cellStyle name="Normal 7 2 7" xfId="2079" xr:uid="{00000000-0005-0000-0000-00004C070000}"/>
    <cellStyle name="Normal 7 3" xfId="343" xr:uid="{00000000-0005-0000-0000-00004D070000}"/>
    <cellStyle name="Normal 7 3 2" xfId="639" xr:uid="{00000000-0005-0000-0000-00004E070000}"/>
    <cellStyle name="Normal 7 3 2 2" xfId="799" xr:uid="{00000000-0005-0000-0000-00004F070000}"/>
    <cellStyle name="Normal 7 3 2 2 2" xfId="1047" xr:uid="{00000000-0005-0000-0000-000050070000}"/>
    <cellStyle name="Normal 7 3 2 2 2 2" xfId="2512" xr:uid="{00000000-0005-0000-0000-000051070000}"/>
    <cellStyle name="Normal 7 3 2 2 3" xfId="1266" xr:uid="{00000000-0005-0000-0000-000052070000}"/>
    <cellStyle name="Normal 7 3 2 2 3 2" xfId="2717" xr:uid="{00000000-0005-0000-0000-000053070000}"/>
    <cellStyle name="Normal 7 3 2 2 4" xfId="2279" xr:uid="{00000000-0005-0000-0000-000054070000}"/>
    <cellStyle name="Normal 7 3 2 3" xfId="921" xr:uid="{00000000-0005-0000-0000-000055070000}"/>
    <cellStyle name="Normal 7 3 2 3 2" xfId="2394" xr:uid="{00000000-0005-0000-0000-000056070000}"/>
    <cellStyle name="Normal 7 3 2 4" xfId="1169" xr:uid="{00000000-0005-0000-0000-000057070000}"/>
    <cellStyle name="Normal 7 3 2 4 2" xfId="2627" xr:uid="{00000000-0005-0000-0000-000058070000}"/>
    <cellStyle name="Normal 7 3 2 5" xfId="2158" xr:uid="{00000000-0005-0000-0000-000059070000}"/>
    <cellStyle name="Normal 7 3 3" xfId="738" xr:uid="{00000000-0005-0000-0000-00005A070000}"/>
    <cellStyle name="Normal 7 3 3 2" xfId="991" xr:uid="{00000000-0005-0000-0000-00005B070000}"/>
    <cellStyle name="Normal 7 3 3 2 2" xfId="2460" xr:uid="{00000000-0005-0000-0000-00005C070000}"/>
    <cellStyle name="Normal 7 3 3 3" xfId="1219" xr:uid="{00000000-0005-0000-0000-00005D070000}"/>
    <cellStyle name="Normal 7 3 3 3 2" xfId="2674" xr:uid="{00000000-0005-0000-0000-00005E070000}"/>
    <cellStyle name="Normal 7 3 3 4" xfId="2224" xr:uid="{00000000-0005-0000-0000-00005F070000}"/>
    <cellStyle name="Normal 7 3 4" xfId="873" xr:uid="{00000000-0005-0000-0000-000060070000}"/>
    <cellStyle name="Normal 7 3 4 2" xfId="2346" xr:uid="{00000000-0005-0000-0000-000061070000}"/>
    <cellStyle name="Normal 7 3 5" xfId="1115" xr:uid="{00000000-0005-0000-0000-000062070000}"/>
    <cellStyle name="Normal 7 3 5 2" xfId="2574" xr:uid="{00000000-0005-0000-0000-000063070000}"/>
    <cellStyle name="Normal 7 3 6" xfId="2094" xr:uid="{00000000-0005-0000-0000-000064070000}"/>
    <cellStyle name="Normal 7 4" xfId="501" xr:uid="{00000000-0005-0000-0000-000065070000}"/>
    <cellStyle name="Normal 7 4 2" xfId="661" xr:uid="{00000000-0005-0000-0000-000066070000}"/>
    <cellStyle name="Normal 7 4 2 2" xfId="819" xr:uid="{00000000-0005-0000-0000-000067070000}"/>
    <cellStyle name="Normal 7 4 2 2 2" xfId="1063" xr:uid="{00000000-0005-0000-0000-000068070000}"/>
    <cellStyle name="Normal 7 4 2 2 2 2" xfId="2526" xr:uid="{00000000-0005-0000-0000-000069070000}"/>
    <cellStyle name="Normal 7 4 2 2 3" xfId="1282" xr:uid="{00000000-0005-0000-0000-00006A070000}"/>
    <cellStyle name="Normal 7 4 2 2 3 2" xfId="2731" xr:uid="{00000000-0005-0000-0000-00006B070000}"/>
    <cellStyle name="Normal 7 4 2 2 4" xfId="2296" xr:uid="{00000000-0005-0000-0000-00006C070000}"/>
    <cellStyle name="Normal 7 4 2 3" xfId="939" xr:uid="{00000000-0005-0000-0000-00006D070000}"/>
    <cellStyle name="Normal 7 4 2 3 2" xfId="2412" xr:uid="{00000000-0005-0000-0000-00006E070000}"/>
    <cellStyle name="Normal 7 4 2 4" xfId="1183" xr:uid="{00000000-0005-0000-0000-00006F070000}"/>
    <cellStyle name="Normal 7 4 2 4 2" xfId="2641" xr:uid="{00000000-0005-0000-0000-000070070000}"/>
    <cellStyle name="Normal 7 4 2 5" xfId="2173" xr:uid="{00000000-0005-0000-0000-000071070000}"/>
    <cellStyle name="Normal 7 4 3" xfId="758" xr:uid="{00000000-0005-0000-0000-000072070000}"/>
    <cellStyle name="Normal 7 4 3 2" xfId="1007" xr:uid="{00000000-0005-0000-0000-000073070000}"/>
    <cellStyle name="Normal 7 4 3 2 2" xfId="2473" xr:uid="{00000000-0005-0000-0000-000074070000}"/>
    <cellStyle name="Normal 7 4 3 3" xfId="1235" xr:uid="{00000000-0005-0000-0000-000075070000}"/>
    <cellStyle name="Normal 7 4 3 3 2" xfId="2687" xr:uid="{00000000-0005-0000-0000-000076070000}"/>
    <cellStyle name="Normal 7 4 3 4" xfId="2240" xr:uid="{00000000-0005-0000-0000-000077070000}"/>
    <cellStyle name="Normal 7 4 4" xfId="887" xr:uid="{00000000-0005-0000-0000-000078070000}"/>
    <cellStyle name="Normal 7 4 4 2" xfId="2360" xr:uid="{00000000-0005-0000-0000-000079070000}"/>
    <cellStyle name="Normal 7 4 5" xfId="1131" xr:uid="{00000000-0005-0000-0000-00007A070000}"/>
    <cellStyle name="Normal 7 4 5 2" xfId="2590" xr:uid="{00000000-0005-0000-0000-00007B070000}"/>
    <cellStyle name="Normal 7 4 6" xfId="2115" xr:uid="{00000000-0005-0000-0000-00007C070000}"/>
    <cellStyle name="Normal 7 5" xfId="619" xr:uid="{00000000-0005-0000-0000-00007D070000}"/>
    <cellStyle name="Normal 7 5 2" xfId="779" xr:uid="{00000000-0005-0000-0000-00007E070000}"/>
    <cellStyle name="Normal 7 5 2 2" xfId="1027" xr:uid="{00000000-0005-0000-0000-00007F070000}"/>
    <cellStyle name="Normal 7 5 2 2 2" xfId="2492" xr:uid="{00000000-0005-0000-0000-000080070000}"/>
    <cellStyle name="Normal 7 5 2 3" xfId="1248" xr:uid="{00000000-0005-0000-0000-000081070000}"/>
    <cellStyle name="Normal 7 5 2 3 2" xfId="2699" xr:uid="{00000000-0005-0000-0000-000082070000}"/>
    <cellStyle name="Normal 7 5 2 4" xfId="2259" xr:uid="{00000000-0005-0000-0000-000083070000}"/>
    <cellStyle name="Normal 7 5 3" xfId="903" xr:uid="{00000000-0005-0000-0000-000084070000}"/>
    <cellStyle name="Normal 7 5 3 2" xfId="2376" xr:uid="{00000000-0005-0000-0000-000085070000}"/>
    <cellStyle name="Normal 7 5 4" xfId="1149" xr:uid="{00000000-0005-0000-0000-000086070000}"/>
    <cellStyle name="Normal 7 5 4 2" xfId="2607" xr:uid="{00000000-0005-0000-0000-000087070000}"/>
    <cellStyle name="Normal 7 5 5" xfId="2138" xr:uid="{00000000-0005-0000-0000-000088070000}"/>
    <cellStyle name="Normal 7 6" xfId="708" xr:uid="{00000000-0005-0000-0000-000089070000}"/>
    <cellStyle name="Normal 7 6 2" xfId="964" xr:uid="{00000000-0005-0000-0000-00008A070000}"/>
    <cellStyle name="Normal 7 6 2 2" xfId="2433" xr:uid="{00000000-0005-0000-0000-00008B070000}"/>
    <cellStyle name="Normal 7 6 3" xfId="1201" xr:uid="{00000000-0005-0000-0000-00008C070000}"/>
    <cellStyle name="Normal 7 6 3 2" xfId="2656" xr:uid="{00000000-0005-0000-0000-00008D070000}"/>
    <cellStyle name="Normal 7 6 4" xfId="2194" xr:uid="{00000000-0005-0000-0000-00008E070000}"/>
    <cellStyle name="Normal 7 7" xfId="848" xr:uid="{00000000-0005-0000-0000-00008F070000}"/>
    <cellStyle name="Normal 7 7 2" xfId="2321" xr:uid="{00000000-0005-0000-0000-000090070000}"/>
    <cellStyle name="Normal 7 8" xfId="1090" xr:uid="{00000000-0005-0000-0000-000091070000}"/>
    <cellStyle name="Normal 7 8 2" xfId="2549" xr:uid="{00000000-0005-0000-0000-000092070000}"/>
    <cellStyle name="Normal 7 9" xfId="256" xr:uid="{00000000-0005-0000-0000-000093070000}"/>
    <cellStyle name="Normal 7 9 2" xfId="2062" xr:uid="{00000000-0005-0000-0000-000094070000}"/>
    <cellStyle name="Normal 8" xfId="80" xr:uid="{00000000-0005-0000-0000-000095070000}"/>
    <cellStyle name="Normal 8 2" xfId="101" xr:uid="{00000000-0005-0000-0000-000096070000}"/>
    <cellStyle name="Normal 8 2 2" xfId="460" xr:uid="{00000000-0005-0000-0000-000097070000}"/>
    <cellStyle name="Normal 8 3" xfId="180" xr:uid="{00000000-0005-0000-0000-000098070000}"/>
    <cellStyle name="Normal 9" xfId="81" xr:uid="{00000000-0005-0000-0000-000099070000}"/>
    <cellStyle name="Normal 9 2" xfId="461" xr:uid="{00000000-0005-0000-0000-00009A070000}"/>
    <cellStyle name="Normal 9 3" xfId="628" xr:uid="{00000000-0005-0000-0000-00009B070000}"/>
    <cellStyle name="Normal 9 3 2" xfId="788" xr:uid="{00000000-0005-0000-0000-00009C070000}"/>
    <cellStyle name="Normal 9 3 2 2" xfId="1036" xr:uid="{00000000-0005-0000-0000-00009D070000}"/>
    <cellStyle name="Normal 9 3 2 2 2" xfId="2501" xr:uid="{00000000-0005-0000-0000-00009E070000}"/>
    <cellStyle name="Normal 9 3 2 3" xfId="1255" xr:uid="{00000000-0005-0000-0000-00009F070000}"/>
    <cellStyle name="Normal 9 3 2 3 2" xfId="2706" xr:uid="{00000000-0005-0000-0000-0000A0070000}"/>
    <cellStyle name="Normal 9 3 2 4" xfId="2268" xr:uid="{00000000-0005-0000-0000-0000A1070000}"/>
    <cellStyle name="Normal 9 3 3" xfId="910" xr:uid="{00000000-0005-0000-0000-0000A2070000}"/>
    <cellStyle name="Normal 9 3 3 2" xfId="2383" xr:uid="{00000000-0005-0000-0000-0000A3070000}"/>
    <cellStyle name="Normal 9 3 4" xfId="1158" xr:uid="{00000000-0005-0000-0000-0000A4070000}"/>
    <cellStyle name="Normal 9 3 4 2" xfId="2616" xr:uid="{00000000-0005-0000-0000-0000A5070000}"/>
    <cellStyle name="Normal 9 3 5" xfId="2147" xr:uid="{00000000-0005-0000-0000-0000A6070000}"/>
    <cellStyle name="Normal 9 4" xfId="727" xr:uid="{00000000-0005-0000-0000-0000A7070000}"/>
    <cellStyle name="Normal 9 4 2" xfId="980" xr:uid="{00000000-0005-0000-0000-0000A8070000}"/>
    <cellStyle name="Normal 9 4 2 2" xfId="2449" xr:uid="{00000000-0005-0000-0000-0000A9070000}"/>
    <cellStyle name="Normal 9 4 3" xfId="1208" xr:uid="{00000000-0005-0000-0000-0000AA070000}"/>
    <cellStyle name="Normal 9 4 3 2" xfId="2663" xr:uid="{00000000-0005-0000-0000-0000AB070000}"/>
    <cellStyle name="Normal 9 4 4" xfId="2213" xr:uid="{00000000-0005-0000-0000-0000AC070000}"/>
    <cellStyle name="Normal 9 5" xfId="862" xr:uid="{00000000-0005-0000-0000-0000AD070000}"/>
    <cellStyle name="Normal 9 5 2" xfId="2335" xr:uid="{00000000-0005-0000-0000-0000AE070000}"/>
    <cellStyle name="Normal 9 6" xfId="1104" xr:uid="{00000000-0005-0000-0000-0000AF070000}"/>
    <cellStyle name="Normal 9 6 2" xfId="2563" xr:uid="{00000000-0005-0000-0000-0000B0070000}"/>
    <cellStyle name="Normal 9 7" xfId="287" xr:uid="{00000000-0005-0000-0000-0000B1070000}"/>
    <cellStyle name="Normal 9 7 2" xfId="2082" xr:uid="{00000000-0005-0000-0000-0000B2070000}"/>
    <cellStyle name="Normal_Credit Suisse Software Short Interest Toolbox.1-12-10" xfId="3376" xr:uid="{00000000-0005-0000-0000-0000B3070000}"/>
    <cellStyle name="Normal_IBM Model" xfId="104" xr:uid="{00000000-0005-0000-0000-0000B4070000}"/>
    <cellStyle name="Normal_KO Model 2" xfId="70" xr:uid="{00000000-0005-0000-0000-0000B6070000}"/>
    <cellStyle name="Normal_KO My Old Model" xfId="44" xr:uid="{00000000-0005-0000-0000-0000B7070000}"/>
    <cellStyle name="Normal_MO_W_dataciti.PRO_Qxls" xfId="45" xr:uid="{00000000-0005-0000-0000-0000B8070000}"/>
    <cellStyle name="Normal_Model0804" xfId="3379" xr:uid="{00000000-0005-0000-0000-0000B9070000}"/>
    <cellStyle name="Normal_NFLXmod_NEW1" xfId="46" xr:uid="{00000000-0005-0000-0000-0000BA070000}"/>
    <cellStyle name="Note" xfId="47" builtinId="10" customBuiltin="1"/>
    <cellStyle name="Note 2" xfId="161" xr:uid="{00000000-0005-0000-0000-0000BE070000}"/>
    <cellStyle name="Note 2 2" xfId="257" xr:uid="{00000000-0005-0000-0000-0000BF070000}"/>
    <cellStyle name="Note 2 2 2" xfId="709" xr:uid="{00000000-0005-0000-0000-0000C0070000}"/>
    <cellStyle name="Note 2 2 2 2" xfId="965" xr:uid="{00000000-0005-0000-0000-0000C1070000}"/>
    <cellStyle name="Note 2 2 2 2 2" xfId="1667" xr:uid="{00000000-0005-0000-0000-0000C2070000}"/>
    <cellStyle name="Note 2 2 2 2 2 2" xfId="3059" xr:uid="{00000000-0005-0000-0000-0000C3070000}"/>
    <cellStyle name="Note 2 2 2 2 3" xfId="1656" xr:uid="{00000000-0005-0000-0000-0000C4070000}"/>
    <cellStyle name="Note 2 2 2 2 3 2" xfId="3048" xr:uid="{00000000-0005-0000-0000-0000C5070000}"/>
    <cellStyle name="Note 2 2 2 2 4" xfId="1385" xr:uid="{00000000-0005-0000-0000-0000C6070000}"/>
    <cellStyle name="Note 2 2 2 2 4 2" xfId="2811" xr:uid="{00000000-0005-0000-0000-0000C7070000}"/>
    <cellStyle name="Note 2 2 2 2 5" xfId="1373" xr:uid="{00000000-0005-0000-0000-0000C8070000}"/>
    <cellStyle name="Note 2 2 2 2 6" xfId="2434" xr:uid="{00000000-0005-0000-0000-0000C9070000}"/>
    <cellStyle name="Note 2 2 2 3" xfId="1531" xr:uid="{00000000-0005-0000-0000-0000CA070000}"/>
    <cellStyle name="Note 2 2 2 3 2" xfId="2927" xr:uid="{00000000-0005-0000-0000-0000CB070000}"/>
    <cellStyle name="Note 2 2 2 4" xfId="1728" xr:uid="{00000000-0005-0000-0000-0000CC070000}"/>
    <cellStyle name="Note 2 2 2 4 2" xfId="3112" xr:uid="{00000000-0005-0000-0000-0000CD070000}"/>
    <cellStyle name="Note 2 2 2 5" xfId="1426" xr:uid="{00000000-0005-0000-0000-0000CE070000}"/>
    <cellStyle name="Note 2 2 2 5 2" xfId="2846" xr:uid="{00000000-0005-0000-0000-0000CF070000}"/>
    <cellStyle name="Note 2 2 2 6" xfId="1897" xr:uid="{00000000-0005-0000-0000-0000D0070000}"/>
    <cellStyle name="Note 2 2 2 6 2" xfId="3264" xr:uid="{00000000-0005-0000-0000-0000D1070000}"/>
    <cellStyle name="Note 2 2 2 7" xfId="1389" xr:uid="{00000000-0005-0000-0000-0000D2070000}"/>
    <cellStyle name="Note 2 2 2 8" xfId="2195" xr:uid="{00000000-0005-0000-0000-0000D3070000}"/>
    <cellStyle name="Note 2 2 3" xfId="849" xr:uid="{00000000-0005-0000-0000-0000D4070000}"/>
    <cellStyle name="Note 2 2 3 2" xfId="1607" xr:uid="{00000000-0005-0000-0000-0000D5070000}"/>
    <cellStyle name="Note 2 2 3 2 2" xfId="3000" xr:uid="{00000000-0005-0000-0000-0000D6070000}"/>
    <cellStyle name="Note 2 2 3 3" xfId="1714" xr:uid="{00000000-0005-0000-0000-0000D7070000}"/>
    <cellStyle name="Note 2 2 3 3 2" xfId="3103" xr:uid="{00000000-0005-0000-0000-0000D8070000}"/>
    <cellStyle name="Note 2 2 3 4" xfId="1870" xr:uid="{00000000-0005-0000-0000-0000D9070000}"/>
    <cellStyle name="Note 2 2 3 4 2" xfId="3242" xr:uid="{00000000-0005-0000-0000-0000DA070000}"/>
    <cellStyle name="Note 2 2 3 5" xfId="1340" xr:uid="{00000000-0005-0000-0000-0000DB070000}"/>
    <cellStyle name="Note 2 2 3 6" xfId="2322" xr:uid="{00000000-0005-0000-0000-0000DC070000}"/>
    <cellStyle name="Note 2 2 4" xfId="1091" xr:uid="{00000000-0005-0000-0000-0000DD070000}"/>
    <cellStyle name="Note 2 2 4 2" xfId="1747" xr:uid="{00000000-0005-0000-0000-0000DE070000}"/>
    <cellStyle name="Note 2 2 4 2 2" xfId="3129" xr:uid="{00000000-0005-0000-0000-0000DF070000}"/>
    <cellStyle name="Note 2 2 4 3" xfId="1780" xr:uid="{00000000-0005-0000-0000-0000E0070000}"/>
    <cellStyle name="Note 2 2 4 3 2" xfId="3161" xr:uid="{00000000-0005-0000-0000-0000E1070000}"/>
    <cellStyle name="Note 2 2 4 4" xfId="1404" xr:uid="{00000000-0005-0000-0000-0000E2070000}"/>
    <cellStyle name="Note 2 2 4 4 2" xfId="2827" xr:uid="{00000000-0005-0000-0000-0000E3070000}"/>
    <cellStyle name="Note 2 2 4 5" xfId="1464" xr:uid="{00000000-0005-0000-0000-0000E4070000}"/>
    <cellStyle name="Note 2 2 4 6" xfId="2550" xr:uid="{00000000-0005-0000-0000-0000E5070000}"/>
    <cellStyle name="Note 2 2 5" xfId="2063" xr:uid="{00000000-0005-0000-0000-0000E6070000}"/>
    <cellStyle name="Note 2 3" xfId="344" xr:uid="{00000000-0005-0000-0000-0000E7070000}"/>
    <cellStyle name="Note 2 3 2" xfId="345" xr:uid="{00000000-0005-0000-0000-0000E8070000}"/>
    <cellStyle name="Note 2 3 2 2" xfId="641" xr:uid="{00000000-0005-0000-0000-0000E9070000}"/>
    <cellStyle name="Note 2 3 2 2 2" xfId="801" xr:uid="{00000000-0005-0000-0000-0000EA070000}"/>
    <cellStyle name="Note 2 3 2 2 2 2" xfId="1049" xr:uid="{00000000-0005-0000-0000-0000EB070000}"/>
    <cellStyle name="Note 2 3 2 2 2 2 2" xfId="2514" xr:uid="{00000000-0005-0000-0000-0000EC070000}"/>
    <cellStyle name="Note 2 3 2 2 2 3" xfId="1268" xr:uid="{00000000-0005-0000-0000-0000ED070000}"/>
    <cellStyle name="Note 2 3 2 2 2 3 2" xfId="2719" xr:uid="{00000000-0005-0000-0000-0000EE070000}"/>
    <cellStyle name="Note 2 3 2 2 2 4" xfId="2281" xr:uid="{00000000-0005-0000-0000-0000EF070000}"/>
    <cellStyle name="Note 2 3 2 2 3" xfId="923" xr:uid="{00000000-0005-0000-0000-0000F0070000}"/>
    <cellStyle name="Note 2 3 2 2 3 2" xfId="2396" xr:uid="{00000000-0005-0000-0000-0000F1070000}"/>
    <cellStyle name="Note 2 3 2 2 4" xfId="1171" xr:uid="{00000000-0005-0000-0000-0000F2070000}"/>
    <cellStyle name="Note 2 3 2 2 4 2" xfId="2629" xr:uid="{00000000-0005-0000-0000-0000F3070000}"/>
    <cellStyle name="Note 2 3 2 2 5" xfId="2160" xr:uid="{00000000-0005-0000-0000-0000F4070000}"/>
    <cellStyle name="Note 2 3 2 3" xfId="740" xr:uid="{00000000-0005-0000-0000-0000F5070000}"/>
    <cellStyle name="Note 2 3 2 3 2" xfId="993" xr:uid="{00000000-0005-0000-0000-0000F6070000}"/>
    <cellStyle name="Note 2 3 2 3 2 2" xfId="2462" xr:uid="{00000000-0005-0000-0000-0000F7070000}"/>
    <cellStyle name="Note 2 3 2 3 3" xfId="1221" xr:uid="{00000000-0005-0000-0000-0000F8070000}"/>
    <cellStyle name="Note 2 3 2 3 3 2" xfId="2676" xr:uid="{00000000-0005-0000-0000-0000F9070000}"/>
    <cellStyle name="Note 2 3 2 3 4" xfId="2226" xr:uid="{00000000-0005-0000-0000-0000FA070000}"/>
    <cellStyle name="Note 2 3 2 4" xfId="875" xr:uid="{00000000-0005-0000-0000-0000FB070000}"/>
    <cellStyle name="Note 2 3 2 4 2" xfId="2348" xr:uid="{00000000-0005-0000-0000-0000FC070000}"/>
    <cellStyle name="Note 2 3 2 5" xfId="1117" xr:uid="{00000000-0005-0000-0000-0000FD070000}"/>
    <cellStyle name="Note 2 3 2 5 2" xfId="2576" xr:uid="{00000000-0005-0000-0000-0000FE070000}"/>
    <cellStyle name="Note 2 3 2 6" xfId="2096" xr:uid="{00000000-0005-0000-0000-0000FF070000}"/>
    <cellStyle name="Note 2 3 3" xfId="640" xr:uid="{00000000-0005-0000-0000-000000080000}"/>
    <cellStyle name="Note 2 3 3 2" xfId="800" xr:uid="{00000000-0005-0000-0000-000001080000}"/>
    <cellStyle name="Note 2 3 3 2 2" xfId="1048" xr:uid="{00000000-0005-0000-0000-000002080000}"/>
    <cellStyle name="Note 2 3 3 2 2 2" xfId="2513" xr:uid="{00000000-0005-0000-0000-000003080000}"/>
    <cellStyle name="Note 2 3 3 2 3" xfId="1267" xr:uid="{00000000-0005-0000-0000-000004080000}"/>
    <cellStyle name="Note 2 3 3 2 3 2" xfId="2718" xr:uid="{00000000-0005-0000-0000-000005080000}"/>
    <cellStyle name="Note 2 3 3 2 4" xfId="2280" xr:uid="{00000000-0005-0000-0000-000006080000}"/>
    <cellStyle name="Note 2 3 3 3" xfId="922" xr:uid="{00000000-0005-0000-0000-000007080000}"/>
    <cellStyle name="Note 2 3 3 3 2" xfId="2395" xr:uid="{00000000-0005-0000-0000-000008080000}"/>
    <cellStyle name="Note 2 3 3 4" xfId="1170" xr:uid="{00000000-0005-0000-0000-000009080000}"/>
    <cellStyle name="Note 2 3 3 4 2" xfId="2628" xr:uid="{00000000-0005-0000-0000-00000A080000}"/>
    <cellStyle name="Note 2 3 3 5" xfId="2159" xr:uid="{00000000-0005-0000-0000-00000B080000}"/>
    <cellStyle name="Note 2 3 4" xfId="739" xr:uid="{00000000-0005-0000-0000-00000C080000}"/>
    <cellStyle name="Note 2 3 4 2" xfId="992" xr:uid="{00000000-0005-0000-0000-00000D080000}"/>
    <cellStyle name="Note 2 3 4 2 2" xfId="2461" xr:uid="{00000000-0005-0000-0000-00000E080000}"/>
    <cellStyle name="Note 2 3 4 3" xfId="1220" xr:uid="{00000000-0005-0000-0000-00000F080000}"/>
    <cellStyle name="Note 2 3 4 3 2" xfId="2675" xr:uid="{00000000-0005-0000-0000-000010080000}"/>
    <cellStyle name="Note 2 3 4 4" xfId="2225" xr:uid="{00000000-0005-0000-0000-000011080000}"/>
    <cellStyle name="Note 2 3 5" xfId="874" xr:uid="{00000000-0005-0000-0000-000012080000}"/>
    <cellStyle name="Note 2 3 5 2" xfId="2347" xr:uid="{00000000-0005-0000-0000-000013080000}"/>
    <cellStyle name="Note 2 3 6" xfId="1116" xr:uid="{00000000-0005-0000-0000-000014080000}"/>
    <cellStyle name="Note 2 3 6 2" xfId="2575" xr:uid="{00000000-0005-0000-0000-000015080000}"/>
    <cellStyle name="Note 2 3 7" xfId="2095" xr:uid="{00000000-0005-0000-0000-000016080000}"/>
    <cellStyle name="Note 2 4" xfId="703" xr:uid="{00000000-0005-0000-0000-000017080000}"/>
    <cellStyle name="Note 2 4 2" xfId="959" xr:uid="{00000000-0005-0000-0000-000018080000}"/>
    <cellStyle name="Note 2 4 2 2" xfId="1661" xr:uid="{00000000-0005-0000-0000-000019080000}"/>
    <cellStyle name="Note 2 4 2 2 2" xfId="3053" xr:uid="{00000000-0005-0000-0000-00001A080000}"/>
    <cellStyle name="Note 2 4 2 3" xfId="1682" xr:uid="{00000000-0005-0000-0000-00001B080000}"/>
    <cellStyle name="Note 2 4 2 3 2" xfId="3074" xr:uid="{00000000-0005-0000-0000-00001C080000}"/>
    <cellStyle name="Note 2 4 2 4" xfId="1345" xr:uid="{00000000-0005-0000-0000-00001D080000}"/>
    <cellStyle name="Note 2 4 2 4 2" xfId="2779" xr:uid="{00000000-0005-0000-0000-00001E080000}"/>
    <cellStyle name="Note 2 4 2 5" xfId="1438" xr:uid="{00000000-0005-0000-0000-00001F080000}"/>
    <cellStyle name="Note 2 4 2 6" xfId="2429" xr:uid="{00000000-0005-0000-0000-000020080000}"/>
    <cellStyle name="Note 2 4 3" xfId="1527" xr:uid="{00000000-0005-0000-0000-000021080000}"/>
    <cellStyle name="Note 2 4 3 2" xfId="2923" xr:uid="{00000000-0005-0000-0000-000022080000}"/>
    <cellStyle name="Note 2 4 4" xfId="1819" xr:uid="{00000000-0005-0000-0000-000023080000}"/>
    <cellStyle name="Note 2 4 4 2" xfId="3196" xr:uid="{00000000-0005-0000-0000-000024080000}"/>
    <cellStyle name="Note 2 4 5" xfId="1772" xr:uid="{00000000-0005-0000-0000-000025080000}"/>
    <cellStyle name="Note 2 4 5 2" xfId="3154" xr:uid="{00000000-0005-0000-0000-000026080000}"/>
    <cellStyle name="Note 2 4 6" xfId="1335" xr:uid="{00000000-0005-0000-0000-000027080000}"/>
    <cellStyle name="Note 2 4 6 2" xfId="2772" xr:uid="{00000000-0005-0000-0000-000028080000}"/>
    <cellStyle name="Note 2 4 7" xfId="1986" xr:uid="{00000000-0005-0000-0000-000029080000}"/>
    <cellStyle name="Note 2 4 8" xfId="2190" xr:uid="{00000000-0005-0000-0000-00002A080000}"/>
    <cellStyle name="Note 2 5" xfId="845" xr:uid="{00000000-0005-0000-0000-00002B080000}"/>
    <cellStyle name="Note 2 5 2" xfId="1605" xr:uid="{00000000-0005-0000-0000-00002C080000}"/>
    <cellStyle name="Note 2 5 2 2" xfId="2998" xr:uid="{00000000-0005-0000-0000-00002D080000}"/>
    <cellStyle name="Note 2 5 3" xfId="1626" xr:uid="{00000000-0005-0000-0000-00002E080000}"/>
    <cellStyle name="Note 2 5 3 2" xfId="3018" xr:uid="{00000000-0005-0000-0000-00002F080000}"/>
    <cellStyle name="Note 2 5 4" xfId="1534" xr:uid="{00000000-0005-0000-0000-000030080000}"/>
    <cellStyle name="Note 2 5 4 2" xfId="2930" xr:uid="{00000000-0005-0000-0000-000031080000}"/>
    <cellStyle name="Note 2 5 5" xfId="1323" xr:uid="{00000000-0005-0000-0000-000032080000}"/>
    <cellStyle name="Note 2 5 6" xfId="2318" xr:uid="{00000000-0005-0000-0000-000033080000}"/>
    <cellStyle name="Note 2 6" xfId="1087" xr:uid="{00000000-0005-0000-0000-000034080000}"/>
    <cellStyle name="Note 2 6 2" xfId="1744" xr:uid="{00000000-0005-0000-0000-000035080000}"/>
    <cellStyle name="Note 2 6 2 2" xfId="3126" xr:uid="{00000000-0005-0000-0000-000036080000}"/>
    <cellStyle name="Note 2 6 3" xfId="1764" xr:uid="{00000000-0005-0000-0000-000037080000}"/>
    <cellStyle name="Note 2 6 3 2" xfId="3146" xr:uid="{00000000-0005-0000-0000-000038080000}"/>
    <cellStyle name="Note 2 6 4" xfId="1361" xr:uid="{00000000-0005-0000-0000-000039080000}"/>
    <cellStyle name="Note 2 6 4 2" xfId="2794" xr:uid="{00000000-0005-0000-0000-00003A080000}"/>
    <cellStyle name="Note 2 6 5" xfId="1733" xr:uid="{00000000-0005-0000-0000-00003B080000}"/>
    <cellStyle name="Note 2 6 6" xfId="2546" xr:uid="{00000000-0005-0000-0000-00003C080000}"/>
    <cellStyle name="Note 2 7" xfId="2058" xr:uid="{00000000-0005-0000-0000-00003D080000}"/>
    <cellStyle name="Note 3" xfId="534" xr:uid="{00000000-0005-0000-0000-00003E080000}"/>
    <cellStyle name="Note 3 2" xfId="667" xr:uid="{00000000-0005-0000-0000-00003F080000}"/>
    <cellStyle name="Note 3 2 2" xfId="820" xr:uid="{00000000-0005-0000-0000-000040080000}"/>
    <cellStyle name="Note 3 2 2 2" xfId="1064" xr:uid="{00000000-0005-0000-0000-000041080000}"/>
    <cellStyle name="Note 3 2 2 2 2" xfId="1730" xr:uid="{00000000-0005-0000-0000-000042080000}"/>
    <cellStyle name="Note 3 2 2 2 2 2" xfId="3113" xr:uid="{00000000-0005-0000-0000-000043080000}"/>
    <cellStyle name="Note 3 2 2 2 3" xfId="1829" xr:uid="{00000000-0005-0000-0000-000044080000}"/>
    <cellStyle name="Note 3 2 2 2 3 2" xfId="3205" xr:uid="{00000000-0005-0000-0000-000045080000}"/>
    <cellStyle name="Note 3 2 2 2 4" xfId="1311" xr:uid="{00000000-0005-0000-0000-000046080000}"/>
    <cellStyle name="Note 3 2 2 2 4 2" xfId="2754" xr:uid="{00000000-0005-0000-0000-000047080000}"/>
    <cellStyle name="Note 3 2 2 2 5" xfId="1456" xr:uid="{00000000-0005-0000-0000-000048080000}"/>
    <cellStyle name="Note 3 2 2 2 6" xfId="2527" xr:uid="{00000000-0005-0000-0000-000049080000}"/>
    <cellStyle name="Note 3 2 2 3" xfId="1588" xr:uid="{00000000-0005-0000-0000-00004A080000}"/>
    <cellStyle name="Note 3 2 2 3 2" xfId="2983" xr:uid="{00000000-0005-0000-0000-00004B080000}"/>
    <cellStyle name="Note 3 2 2 4" xfId="1487" xr:uid="{00000000-0005-0000-0000-00004C080000}"/>
    <cellStyle name="Note 3 2 2 4 2" xfId="2888" xr:uid="{00000000-0005-0000-0000-00004D080000}"/>
    <cellStyle name="Note 3 2 2 5" xfId="1929" xr:uid="{00000000-0005-0000-0000-00004E080000}"/>
    <cellStyle name="Note 3 2 2 5 2" xfId="3292" xr:uid="{00000000-0005-0000-0000-00004F080000}"/>
    <cellStyle name="Note 3 2 2 6" xfId="1638" xr:uid="{00000000-0005-0000-0000-000050080000}"/>
    <cellStyle name="Note 3 2 2 6 2" xfId="3030" xr:uid="{00000000-0005-0000-0000-000051080000}"/>
    <cellStyle name="Note 3 2 2 7" xfId="1366" xr:uid="{00000000-0005-0000-0000-000052080000}"/>
    <cellStyle name="Note 3 2 2 8" xfId="2297" xr:uid="{00000000-0005-0000-0000-000053080000}"/>
    <cellStyle name="Note 3 2 3" xfId="941" xr:uid="{00000000-0005-0000-0000-000054080000}"/>
    <cellStyle name="Note 3 2 3 2" xfId="1651" xr:uid="{00000000-0005-0000-0000-000055080000}"/>
    <cellStyle name="Note 3 2 3 2 2" xfId="3043" xr:uid="{00000000-0005-0000-0000-000056080000}"/>
    <cellStyle name="Note 3 2 3 3" xfId="1836" xr:uid="{00000000-0005-0000-0000-000057080000}"/>
    <cellStyle name="Note 3 2 3 3 2" xfId="3212" xr:uid="{00000000-0005-0000-0000-000058080000}"/>
    <cellStyle name="Note 3 2 3 4" xfId="1867" xr:uid="{00000000-0005-0000-0000-000059080000}"/>
    <cellStyle name="Note 3 2 3 4 2" xfId="3239" xr:uid="{00000000-0005-0000-0000-00005A080000}"/>
    <cellStyle name="Note 3 2 3 5" xfId="1991" xr:uid="{00000000-0005-0000-0000-00005B080000}"/>
    <cellStyle name="Note 3 2 3 6" xfId="2413" xr:uid="{00000000-0005-0000-0000-00005C080000}"/>
    <cellStyle name="Note 3 2 4" xfId="1184" xr:uid="{00000000-0005-0000-0000-00005D080000}"/>
    <cellStyle name="Note 3 2 4 2" xfId="1791" xr:uid="{00000000-0005-0000-0000-00005E080000}"/>
    <cellStyle name="Note 3 2 4 2 2" xfId="3170" xr:uid="{00000000-0005-0000-0000-00005F080000}"/>
    <cellStyle name="Note 3 2 4 3" xfId="1580" xr:uid="{00000000-0005-0000-0000-000060080000}"/>
    <cellStyle name="Note 3 2 4 3 2" xfId="2975" xr:uid="{00000000-0005-0000-0000-000061080000}"/>
    <cellStyle name="Note 3 2 4 4" xfId="1985" xr:uid="{00000000-0005-0000-0000-000062080000}"/>
    <cellStyle name="Note 3 2 4 4 2" xfId="3336" xr:uid="{00000000-0005-0000-0000-000063080000}"/>
    <cellStyle name="Note 3 2 4 5" xfId="2025" xr:uid="{00000000-0005-0000-0000-000064080000}"/>
    <cellStyle name="Note 3 2 4 6" xfId="2642" xr:uid="{00000000-0005-0000-0000-000065080000}"/>
    <cellStyle name="Note 3 2 5" xfId="2174" xr:uid="{00000000-0005-0000-0000-000066080000}"/>
    <cellStyle name="Note 3 3" xfId="760" xr:uid="{00000000-0005-0000-0000-000067080000}"/>
    <cellStyle name="Note 3 3 2" xfId="1009" xr:uid="{00000000-0005-0000-0000-000068080000}"/>
    <cellStyle name="Note 3 3 2 2" xfId="1695" xr:uid="{00000000-0005-0000-0000-000069080000}"/>
    <cellStyle name="Note 3 3 2 2 2" xfId="3087" xr:uid="{00000000-0005-0000-0000-00006A080000}"/>
    <cellStyle name="Note 3 3 2 3" xfId="1866" xr:uid="{00000000-0005-0000-0000-00006B080000}"/>
    <cellStyle name="Note 3 3 2 3 2" xfId="3238" xr:uid="{00000000-0005-0000-0000-00006C080000}"/>
    <cellStyle name="Note 3 3 2 4" xfId="1868" xr:uid="{00000000-0005-0000-0000-00006D080000}"/>
    <cellStyle name="Note 3 3 2 4 2" xfId="3240" xr:uid="{00000000-0005-0000-0000-00006E080000}"/>
    <cellStyle name="Note 3 3 2 5" xfId="1860" xr:uid="{00000000-0005-0000-0000-00006F080000}"/>
    <cellStyle name="Note 3 3 2 6" xfId="2475" xr:uid="{00000000-0005-0000-0000-000070080000}"/>
    <cellStyle name="Note 3 3 3" xfId="1560" xr:uid="{00000000-0005-0000-0000-000071080000}"/>
    <cellStyle name="Note 3 3 3 2" xfId="2956" xr:uid="{00000000-0005-0000-0000-000072080000}"/>
    <cellStyle name="Note 3 3 4" xfId="1408" xr:uid="{00000000-0005-0000-0000-000073080000}"/>
    <cellStyle name="Note 3 3 4 2" xfId="2831" xr:uid="{00000000-0005-0000-0000-000074080000}"/>
    <cellStyle name="Note 3 3 5" xfId="1453" xr:uid="{00000000-0005-0000-0000-000075080000}"/>
    <cellStyle name="Note 3 3 5 2" xfId="2863" xr:uid="{00000000-0005-0000-0000-000076080000}"/>
    <cellStyle name="Note 3 3 6" xfId="1796" xr:uid="{00000000-0005-0000-0000-000077080000}"/>
    <cellStyle name="Note 3 3 6 2" xfId="3174" xr:uid="{00000000-0005-0000-0000-000078080000}"/>
    <cellStyle name="Note 3 3 7" xfId="1699" xr:uid="{00000000-0005-0000-0000-000079080000}"/>
    <cellStyle name="Note 3 3 8" xfId="2242" xr:uid="{00000000-0005-0000-0000-00007A080000}"/>
    <cellStyle name="Note 3 4" xfId="888" xr:uid="{00000000-0005-0000-0000-00007B080000}"/>
    <cellStyle name="Note 3 4 2" xfId="1629" xr:uid="{00000000-0005-0000-0000-00007C080000}"/>
    <cellStyle name="Note 3 4 2 2" xfId="3021" xr:uid="{00000000-0005-0000-0000-00007D080000}"/>
    <cellStyle name="Note 3 4 3" xfId="1542" xr:uid="{00000000-0005-0000-0000-00007E080000}"/>
    <cellStyle name="Note 3 4 3 2" xfId="2938" xr:uid="{00000000-0005-0000-0000-00007F080000}"/>
    <cellStyle name="Note 3 4 4" xfId="1825" xr:uid="{00000000-0005-0000-0000-000080080000}"/>
    <cellStyle name="Note 3 4 4 2" xfId="3201" xr:uid="{00000000-0005-0000-0000-000081080000}"/>
    <cellStyle name="Note 3 4 5" xfId="1332" xr:uid="{00000000-0005-0000-0000-000082080000}"/>
    <cellStyle name="Note 3 4 6" xfId="2361" xr:uid="{00000000-0005-0000-0000-000083080000}"/>
    <cellStyle name="Note 3 5" xfId="1133" xr:uid="{00000000-0005-0000-0000-000084080000}"/>
    <cellStyle name="Note 3 5 2" xfId="1768" xr:uid="{00000000-0005-0000-0000-000085080000}"/>
    <cellStyle name="Note 3 5 2 2" xfId="3150" xr:uid="{00000000-0005-0000-0000-000086080000}"/>
    <cellStyle name="Note 3 5 3" xfId="1337" xr:uid="{00000000-0005-0000-0000-000087080000}"/>
    <cellStyle name="Note 3 5 3 2" xfId="2774" xr:uid="{00000000-0005-0000-0000-000088080000}"/>
    <cellStyle name="Note 3 5 4" xfId="1973" xr:uid="{00000000-0005-0000-0000-000089080000}"/>
    <cellStyle name="Note 3 5 4 2" xfId="3325" xr:uid="{00000000-0005-0000-0000-00008A080000}"/>
    <cellStyle name="Note 3 5 5" xfId="2017" xr:uid="{00000000-0005-0000-0000-00008B080000}"/>
    <cellStyle name="Note 3 5 6" xfId="2591" xr:uid="{00000000-0005-0000-0000-00008C080000}"/>
    <cellStyle name="Note 3 6" xfId="2122" xr:uid="{00000000-0005-0000-0000-00008D080000}"/>
    <cellStyle name="Note 4" xfId="2044" xr:uid="{00000000-0005-0000-0000-00008E080000}"/>
    <cellStyle name="Number" xfId="258" xr:uid="{00000000-0005-0000-0000-00008F080000}"/>
    <cellStyle name="Number 2" xfId="259" xr:uid="{00000000-0005-0000-0000-000090080000}"/>
    <cellStyle name="Number 2 2" xfId="621" xr:uid="{00000000-0005-0000-0000-000091080000}"/>
    <cellStyle name="Number 2 2 2" xfId="781" xr:uid="{00000000-0005-0000-0000-000092080000}"/>
    <cellStyle name="Number 2 2 2 2" xfId="1029" xr:uid="{00000000-0005-0000-0000-000093080000}"/>
    <cellStyle name="Number 2 2 2 2 2" xfId="1712" xr:uid="{00000000-0005-0000-0000-000094080000}"/>
    <cellStyle name="Number 2 2 2 2 2 2" xfId="3101" xr:uid="{00000000-0005-0000-0000-000095080000}"/>
    <cellStyle name="Number 2 2 2 2 3" xfId="1473" xr:uid="{00000000-0005-0000-0000-000096080000}"/>
    <cellStyle name="Number 2 2 2 2 3 2" xfId="2877" xr:uid="{00000000-0005-0000-0000-000097080000}"/>
    <cellStyle name="Number 2 2 2 2 4" xfId="1756" xr:uid="{00000000-0005-0000-0000-000098080000}"/>
    <cellStyle name="Number 2 2 2 2 4 2" xfId="3138" xr:uid="{00000000-0005-0000-0000-000099080000}"/>
    <cellStyle name="Number 2 2 2 2 5" xfId="1413" xr:uid="{00000000-0005-0000-0000-00009A080000}"/>
    <cellStyle name="Number 2 2 2 2 5 2" xfId="2836" xr:uid="{00000000-0005-0000-0000-00009B080000}"/>
    <cellStyle name="Number 2 2 2 2 6" xfId="1908" xr:uid="{00000000-0005-0000-0000-00009C080000}"/>
    <cellStyle name="Number 2 2 2 2 7" xfId="2494" xr:uid="{00000000-0005-0000-0000-00009D080000}"/>
    <cellStyle name="Number 2 2 2 3" xfId="1572" xr:uid="{00000000-0005-0000-0000-00009E080000}"/>
    <cellStyle name="Number 2 2 2 3 2" xfId="2968" xr:uid="{00000000-0005-0000-0000-00009F080000}"/>
    <cellStyle name="Number 2 2 2 4" xfId="1324" xr:uid="{00000000-0005-0000-0000-0000A0080000}"/>
    <cellStyle name="Number 2 2 2 4 2" xfId="2764" xr:uid="{00000000-0005-0000-0000-0000A1080000}"/>
    <cellStyle name="Number 2 2 2 5" xfId="1321" xr:uid="{00000000-0005-0000-0000-0000A2080000}"/>
    <cellStyle name="Number 2 2 2 5 2" xfId="2762" xr:uid="{00000000-0005-0000-0000-0000A3080000}"/>
    <cellStyle name="Number 2 2 2 6" xfId="1850" xr:uid="{00000000-0005-0000-0000-0000A4080000}"/>
    <cellStyle name="Number 2 2 2 6 2" xfId="3226" xr:uid="{00000000-0005-0000-0000-0000A5080000}"/>
    <cellStyle name="Number 2 2 2 7" xfId="1449" xr:uid="{00000000-0005-0000-0000-0000A6080000}"/>
    <cellStyle name="Number 2 2 2 8" xfId="2261" xr:uid="{00000000-0005-0000-0000-0000A7080000}"/>
    <cellStyle name="Number 2 2 3" xfId="1151" xr:uid="{00000000-0005-0000-0000-0000A8080000}"/>
    <cellStyle name="Number 2 2 3 2" xfId="1779" xr:uid="{00000000-0005-0000-0000-0000A9080000}"/>
    <cellStyle name="Number 2 2 3 2 2" xfId="3160" xr:uid="{00000000-0005-0000-0000-0000AA080000}"/>
    <cellStyle name="Number 2 2 3 3" xfId="1881" xr:uid="{00000000-0005-0000-0000-0000AB080000}"/>
    <cellStyle name="Number 2 2 3 3 2" xfId="3250" xr:uid="{00000000-0005-0000-0000-0000AC080000}"/>
    <cellStyle name="Number 2 2 3 4" xfId="1824" xr:uid="{00000000-0005-0000-0000-0000AD080000}"/>
    <cellStyle name="Number 2 2 3 4 2" xfId="3200" xr:uid="{00000000-0005-0000-0000-0000AE080000}"/>
    <cellStyle name="Number 2 2 3 5" xfId="1982" xr:uid="{00000000-0005-0000-0000-0000AF080000}"/>
    <cellStyle name="Number 2 2 3 5 2" xfId="3333" xr:uid="{00000000-0005-0000-0000-0000B0080000}"/>
    <cellStyle name="Number 2 2 3 6" xfId="2024" xr:uid="{00000000-0005-0000-0000-0000B1080000}"/>
    <cellStyle name="Number 2 2 3 7" xfId="2609" xr:uid="{00000000-0005-0000-0000-0000B2080000}"/>
    <cellStyle name="Number 2 2 4" xfId="1493" xr:uid="{00000000-0005-0000-0000-0000B3080000}"/>
    <cellStyle name="Number 2 2 4 2" xfId="2894" xr:uid="{00000000-0005-0000-0000-0000B4080000}"/>
    <cellStyle name="Number 2 2 5" xfId="1407" xr:uid="{00000000-0005-0000-0000-0000B5080000}"/>
    <cellStyle name="Number 2 2 5 2" xfId="2830" xr:uid="{00000000-0005-0000-0000-0000B6080000}"/>
    <cellStyle name="Number 2 2 6" xfId="1956" xr:uid="{00000000-0005-0000-0000-0000B7080000}"/>
    <cellStyle name="Number 2 2 6 2" xfId="3310" xr:uid="{00000000-0005-0000-0000-0000B8080000}"/>
    <cellStyle name="Number 2 2 7" xfId="2140" xr:uid="{00000000-0005-0000-0000-0000B9080000}"/>
    <cellStyle name="Number 2 3" xfId="616" xr:uid="{00000000-0005-0000-0000-0000BA080000}"/>
    <cellStyle name="Number 2 4" xfId="711" xr:uid="{00000000-0005-0000-0000-0000BB080000}"/>
    <cellStyle name="Number 2 4 2" xfId="967" xr:uid="{00000000-0005-0000-0000-0000BC080000}"/>
    <cellStyle name="Number 2 4 2 2" xfId="1669" xr:uid="{00000000-0005-0000-0000-0000BD080000}"/>
    <cellStyle name="Number 2 4 2 2 2" xfId="3061" xr:uid="{00000000-0005-0000-0000-0000BE080000}"/>
    <cellStyle name="Number 2 4 2 3" xfId="1314" xr:uid="{00000000-0005-0000-0000-0000BF080000}"/>
    <cellStyle name="Number 2 4 2 3 2" xfId="2756" xr:uid="{00000000-0005-0000-0000-0000C0080000}"/>
    <cellStyle name="Number 2 4 2 4" xfId="1384" xr:uid="{00000000-0005-0000-0000-0000C1080000}"/>
    <cellStyle name="Number 2 4 2 4 2" xfId="2810" xr:uid="{00000000-0005-0000-0000-0000C2080000}"/>
    <cellStyle name="Number 2 4 2 5" xfId="1363" xr:uid="{00000000-0005-0000-0000-0000C3080000}"/>
    <cellStyle name="Number 2 4 2 5 2" xfId="2795" xr:uid="{00000000-0005-0000-0000-0000C4080000}"/>
    <cellStyle name="Number 2 4 2 6" xfId="1727" xr:uid="{00000000-0005-0000-0000-0000C5080000}"/>
    <cellStyle name="Number 2 4 2 7" xfId="2436" xr:uid="{00000000-0005-0000-0000-0000C6080000}"/>
    <cellStyle name="Number 2 4 3" xfId="1533" xr:uid="{00000000-0005-0000-0000-0000C7080000}"/>
    <cellStyle name="Number 2 4 3 2" xfId="2929" xr:uid="{00000000-0005-0000-0000-0000C8080000}"/>
    <cellStyle name="Number 2 4 4" xfId="1505" xr:uid="{00000000-0005-0000-0000-0000C9080000}"/>
    <cellStyle name="Number 2 4 4 2" xfId="2903" xr:uid="{00000000-0005-0000-0000-0000CA080000}"/>
    <cellStyle name="Number 2 4 5" xfId="1785" xr:uid="{00000000-0005-0000-0000-0000CB080000}"/>
    <cellStyle name="Number 2 4 5 2" xfId="3164" xr:uid="{00000000-0005-0000-0000-0000CC080000}"/>
    <cellStyle name="Number 2 4 6" xfId="1479" xr:uid="{00000000-0005-0000-0000-0000CD080000}"/>
    <cellStyle name="Number 2 4 6 2" xfId="2882" xr:uid="{00000000-0005-0000-0000-0000CE080000}"/>
    <cellStyle name="Number 2 4 7" xfId="1851" xr:uid="{00000000-0005-0000-0000-0000CF080000}"/>
    <cellStyle name="Number 2 4 8" xfId="2197" xr:uid="{00000000-0005-0000-0000-0000D0080000}"/>
    <cellStyle name="Number 2 5" xfId="2065" xr:uid="{00000000-0005-0000-0000-0000D1080000}"/>
    <cellStyle name="Number 3" xfId="502" xr:uid="{00000000-0005-0000-0000-0000D2080000}"/>
    <cellStyle name="Number 4" xfId="620" xr:uid="{00000000-0005-0000-0000-0000D3080000}"/>
    <cellStyle name="Number 4 2" xfId="780" xr:uid="{00000000-0005-0000-0000-0000D4080000}"/>
    <cellStyle name="Number 4 2 2" xfId="1028" xr:uid="{00000000-0005-0000-0000-0000D5080000}"/>
    <cellStyle name="Number 4 2 2 2" xfId="1711" xr:uid="{00000000-0005-0000-0000-0000D6080000}"/>
    <cellStyle name="Number 4 2 2 2 2" xfId="3100" xr:uid="{00000000-0005-0000-0000-0000D7080000}"/>
    <cellStyle name="Number 4 2 2 3" xfId="1349" xr:uid="{00000000-0005-0000-0000-0000D8080000}"/>
    <cellStyle name="Number 4 2 2 3 2" xfId="2783" xr:uid="{00000000-0005-0000-0000-0000D9080000}"/>
    <cellStyle name="Number 4 2 2 4" xfId="1627" xr:uid="{00000000-0005-0000-0000-0000DA080000}"/>
    <cellStyle name="Number 4 2 2 4 2" xfId="3019" xr:uid="{00000000-0005-0000-0000-0000DB080000}"/>
    <cellStyle name="Number 4 2 2 5" xfId="1920" xr:uid="{00000000-0005-0000-0000-0000DC080000}"/>
    <cellStyle name="Number 4 2 2 5 2" xfId="3284" xr:uid="{00000000-0005-0000-0000-0000DD080000}"/>
    <cellStyle name="Number 4 2 2 6" xfId="1941" xr:uid="{00000000-0005-0000-0000-0000DE080000}"/>
    <cellStyle name="Number 4 2 2 7" xfId="2493" xr:uid="{00000000-0005-0000-0000-0000DF080000}"/>
    <cellStyle name="Number 4 2 3" xfId="1571" xr:uid="{00000000-0005-0000-0000-0000E0080000}"/>
    <cellStyle name="Number 4 2 3 2" xfId="2967" xr:uid="{00000000-0005-0000-0000-0000E1080000}"/>
    <cellStyle name="Number 4 2 4" xfId="1405" xr:uid="{00000000-0005-0000-0000-0000E2080000}"/>
    <cellStyle name="Number 4 2 4 2" xfId="2828" xr:uid="{00000000-0005-0000-0000-0000E3080000}"/>
    <cellStyle name="Number 4 2 5" xfId="1890" xr:uid="{00000000-0005-0000-0000-0000E4080000}"/>
    <cellStyle name="Number 4 2 5 2" xfId="3257" xr:uid="{00000000-0005-0000-0000-0000E5080000}"/>
    <cellStyle name="Number 4 2 6" xfId="1874" xr:uid="{00000000-0005-0000-0000-0000E6080000}"/>
    <cellStyle name="Number 4 2 6 2" xfId="3244" xr:uid="{00000000-0005-0000-0000-0000E7080000}"/>
    <cellStyle name="Number 4 2 7" xfId="1722" xr:uid="{00000000-0005-0000-0000-0000E8080000}"/>
    <cellStyle name="Number 4 2 8" xfId="2260" xr:uid="{00000000-0005-0000-0000-0000E9080000}"/>
    <cellStyle name="Number 4 3" xfId="1150" xr:uid="{00000000-0005-0000-0000-0000EA080000}"/>
    <cellStyle name="Number 4 3 2" xfId="1778" xr:uid="{00000000-0005-0000-0000-0000EB080000}"/>
    <cellStyle name="Number 4 3 2 2" xfId="3159" xr:uid="{00000000-0005-0000-0000-0000EC080000}"/>
    <cellStyle name="Number 4 3 3" xfId="1880" xr:uid="{00000000-0005-0000-0000-0000ED080000}"/>
    <cellStyle name="Number 4 3 3 2" xfId="3249" xr:uid="{00000000-0005-0000-0000-0000EE080000}"/>
    <cellStyle name="Number 4 3 4" xfId="1703" xr:uid="{00000000-0005-0000-0000-0000EF080000}"/>
    <cellStyle name="Number 4 3 4 2" xfId="3093" xr:uid="{00000000-0005-0000-0000-0000F0080000}"/>
    <cellStyle name="Number 4 3 5" xfId="1981" xr:uid="{00000000-0005-0000-0000-0000F1080000}"/>
    <cellStyle name="Number 4 3 5 2" xfId="3332" xr:uid="{00000000-0005-0000-0000-0000F2080000}"/>
    <cellStyle name="Number 4 3 6" xfId="2023" xr:uid="{00000000-0005-0000-0000-0000F3080000}"/>
    <cellStyle name="Number 4 3 7" xfId="2608" xr:uid="{00000000-0005-0000-0000-0000F4080000}"/>
    <cellStyle name="Number 4 4" xfId="1492" xr:uid="{00000000-0005-0000-0000-0000F5080000}"/>
    <cellStyle name="Number 4 4 2" xfId="2893" xr:uid="{00000000-0005-0000-0000-0000F6080000}"/>
    <cellStyle name="Number 4 5" xfId="1873" xr:uid="{00000000-0005-0000-0000-0000F7080000}"/>
    <cellStyle name="Number 4 5 2" xfId="3243" xr:uid="{00000000-0005-0000-0000-0000F8080000}"/>
    <cellStyle name="Number 4 6" xfId="1984" xr:uid="{00000000-0005-0000-0000-0000F9080000}"/>
    <cellStyle name="Number 4 6 2" xfId="3335" xr:uid="{00000000-0005-0000-0000-0000FA080000}"/>
    <cellStyle name="Number 4 7" xfId="2139" xr:uid="{00000000-0005-0000-0000-0000FB080000}"/>
    <cellStyle name="Number 5" xfId="710" xr:uid="{00000000-0005-0000-0000-0000FC080000}"/>
    <cellStyle name="Number 5 2" xfId="966" xr:uid="{00000000-0005-0000-0000-0000FD080000}"/>
    <cellStyle name="Number 5 2 2" xfId="1668" xr:uid="{00000000-0005-0000-0000-0000FE080000}"/>
    <cellStyle name="Number 5 2 2 2" xfId="3060" xr:uid="{00000000-0005-0000-0000-0000FF080000}"/>
    <cellStyle name="Number 5 2 3" xfId="1470" xr:uid="{00000000-0005-0000-0000-000000090000}"/>
    <cellStyle name="Number 5 2 3 2" xfId="2874" xr:uid="{00000000-0005-0000-0000-000001090000}"/>
    <cellStyle name="Number 5 2 4" xfId="1458" xr:uid="{00000000-0005-0000-0000-000002090000}"/>
    <cellStyle name="Number 5 2 4 2" xfId="2867" xr:uid="{00000000-0005-0000-0000-000003090000}"/>
    <cellStyle name="Number 5 2 5" xfId="1395" xr:uid="{00000000-0005-0000-0000-000004090000}"/>
    <cellStyle name="Number 5 2 5 2" xfId="2819" xr:uid="{00000000-0005-0000-0000-000005090000}"/>
    <cellStyle name="Number 5 2 6" xfId="1950" xr:uid="{00000000-0005-0000-0000-000006090000}"/>
    <cellStyle name="Number 5 2 7" xfId="2435" xr:uid="{00000000-0005-0000-0000-000007090000}"/>
    <cellStyle name="Number 5 3" xfId="1532" xr:uid="{00000000-0005-0000-0000-000008090000}"/>
    <cellStyle name="Number 5 3 2" xfId="2928" xr:uid="{00000000-0005-0000-0000-000009090000}"/>
    <cellStyle name="Number 5 4" xfId="1586" xr:uid="{00000000-0005-0000-0000-00000A090000}"/>
    <cellStyle name="Number 5 4 2" xfId="2981" xr:uid="{00000000-0005-0000-0000-00000B090000}"/>
    <cellStyle name="Number 5 5" xfId="1509" xr:uid="{00000000-0005-0000-0000-00000C090000}"/>
    <cellStyle name="Number 5 5 2" xfId="2907" xr:uid="{00000000-0005-0000-0000-00000D090000}"/>
    <cellStyle name="Number 5 6" xfId="1906" xr:uid="{00000000-0005-0000-0000-00000E090000}"/>
    <cellStyle name="Number 5 6 2" xfId="3273" xr:uid="{00000000-0005-0000-0000-00000F090000}"/>
    <cellStyle name="Number 5 7" xfId="1465" xr:uid="{00000000-0005-0000-0000-000010090000}"/>
    <cellStyle name="Number 5 8" xfId="2196" xr:uid="{00000000-0005-0000-0000-000011090000}"/>
    <cellStyle name="Number 6" xfId="2064" xr:uid="{00000000-0005-0000-0000-000012090000}"/>
    <cellStyle name="Number0" xfId="503" xr:uid="{00000000-0005-0000-0000-000013090000}"/>
    <cellStyle name="Number1" xfId="504" xr:uid="{00000000-0005-0000-0000-000014090000}"/>
    <cellStyle name="Number2" xfId="505" xr:uid="{00000000-0005-0000-0000-000015090000}"/>
    <cellStyle name="numcalc" xfId="48" xr:uid="{00000000-0005-0000-0000-000016090000}"/>
    <cellStyle name="numinp" xfId="49" xr:uid="{00000000-0005-0000-0000-000017090000}"/>
    <cellStyle name="Œ…‹æØ‚è [0.00]_GE 3 MINIMUM" xfId="407" xr:uid="{00000000-0005-0000-0000-000018090000}"/>
    <cellStyle name="Œ…‹æØ‚è_GE 3 MINIMUM" xfId="408" xr:uid="{00000000-0005-0000-0000-000019090000}"/>
    <cellStyle name="Output" xfId="50" builtinId="21" customBuiltin="1"/>
    <cellStyle name="Output 2" xfId="162" xr:uid="{00000000-0005-0000-0000-00001B090000}"/>
    <cellStyle name="Output 2 2" xfId="617" xr:uid="{00000000-0005-0000-0000-00001C090000}"/>
    <cellStyle name="Output 2 2 2" xfId="777" xr:uid="{00000000-0005-0000-0000-00001D090000}"/>
    <cellStyle name="Output 2 2 2 2" xfId="1025" xr:uid="{00000000-0005-0000-0000-00001E090000}"/>
    <cellStyle name="Output 2 2 2 2 2" xfId="1709" xr:uid="{00000000-0005-0000-0000-00001F090000}"/>
    <cellStyle name="Output 2 2 2 2 2 2" xfId="3099" xr:uid="{00000000-0005-0000-0000-000020090000}"/>
    <cellStyle name="Output 2 2 2 2 3" xfId="1587" xr:uid="{00000000-0005-0000-0000-000021090000}"/>
    <cellStyle name="Output 2 2 2 2 3 2" xfId="2982" xr:uid="{00000000-0005-0000-0000-000022090000}"/>
    <cellStyle name="Output 2 2 2 2 4" xfId="1399" xr:uid="{00000000-0005-0000-0000-000023090000}"/>
    <cellStyle name="Output 2 2 2 2 4 2" xfId="2823" xr:uid="{00000000-0005-0000-0000-000024090000}"/>
    <cellStyle name="Output 2 2 2 2 5" xfId="1460" xr:uid="{00000000-0005-0000-0000-000025090000}"/>
    <cellStyle name="Output 2 2 2 2 6" xfId="2490" xr:uid="{00000000-0005-0000-0000-000026090000}"/>
    <cellStyle name="Output 2 2 2 3" xfId="1570" xr:uid="{00000000-0005-0000-0000-000027090000}"/>
    <cellStyle name="Output 2 2 2 3 2" xfId="2966" xr:uid="{00000000-0005-0000-0000-000028090000}"/>
    <cellStyle name="Output 2 2 2 4" xfId="1583" xr:uid="{00000000-0005-0000-0000-000029090000}"/>
    <cellStyle name="Output 2 2 2 4 2" xfId="2978" xr:uid="{00000000-0005-0000-0000-00002A090000}"/>
    <cellStyle name="Output 2 2 2 5" xfId="1909" xr:uid="{00000000-0005-0000-0000-00002B090000}"/>
    <cellStyle name="Output 2 2 2 5 2" xfId="3274" xr:uid="{00000000-0005-0000-0000-00002C090000}"/>
    <cellStyle name="Output 2 2 2 6" xfId="1312" xr:uid="{00000000-0005-0000-0000-00002D090000}"/>
    <cellStyle name="Output 2 2 2 6 2" xfId="2755" xr:uid="{00000000-0005-0000-0000-00002E090000}"/>
    <cellStyle name="Output 2 2 2 7" xfId="1957" xr:uid="{00000000-0005-0000-0000-00002F090000}"/>
    <cellStyle name="Output 2 2 2 8" xfId="2257" xr:uid="{00000000-0005-0000-0000-000030090000}"/>
    <cellStyle name="Output 2 2 3" xfId="1147" xr:uid="{00000000-0005-0000-0000-000031090000}"/>
    <cellStyle name="Output 2 2 3 2" xfId="1776" xr:uid="{00000000-0005-0000-0000-000032090000}"/>
    <cellStyle name="Output 2 2 3 2 2" xfId="3158" xr:uid="{00000000-0005-0000-0000-000033090000}"/>
    <cellStyle name="Output 2 2 3 3" xfId="1654" xr:uid="{00000000-0005-0000-0000-000034090000}"/>
    <cellStyle name="Output 2 2 3 3 2" xfId="3046" xr:uid="{00000000-0005-0000-0000-000035090000}"/>
    <cellStyle name="Output 2 2 3 4" xfId="1980" xr:uid="{00000000-0005-0000-0000-000036090000}"/>
    <cellStyle name="Output 2 2 3 4 2" xfId="3331" xr:uid="{00000000-0005-0000-0000-000037090000}"/>
    <cellStyle name="Output 2 2 3 5" xfId="2022" xr:uid="{00000000-0005-0000-0000-000038090000}"/>
    <cellStyle name="Output 2 2 3 6" xfId="2605" xr:uid="{00000000-0005-0000-0000-000039090000}"/>
    <cellStyle name="Output 2 2 4" xfId="1491" xr:uid="{00000000-0005-0000-0000-00003A090000}"/>
    <cellStyle name="Output 2 2 4 2" xfId="2892" xr:uid="{00000000-0005-0000-0000-00003B090000}"/>
    <cellStyle name="Output 2 2 5" xfId="1625" xr:uid="{00000000-0005-0000-0000-00003C090000}"/>
    <cellStyle name="Output 2 2 5 2" xfId="3017" xr:uid="{00000000-0005-0000-0000-00003D090000}"/>
    <cellStyle name="Output 2 2 6" xfId="1996" xr:uid="{00000000-0005-0000-0000-00003E090000}"/>
    <cellStyle name="Output 2 2 6 2" xfId="3345" xr:uid="{00000000-0005-0000-0000-00003F090000}"/>
    <cellStyle name="Output 2 2 7" xfId="2136" xr:uid="{00000000-0005-0000-0000-000040090000}"/>
    <cellStyle name="Output 2 3" xfId="704" xr:uid="{00000000-0005-0000-0000-000041090000}"/>
    <cellStyle name="Output 2 3 2" xfId="960" xr:uid="{00000000-0005-0000-0000-000042090000}"/>
    <cellStyle name="Output 2 3 2 2" xfId="1662" xr:uid="{00000000-0005-0000-0000-000043090000}"/>
    <cellStyle name="Output 2 3 2 2 2" xfId="3054" xr:uid="{00000000-0005-0000-0000-000044090000}"/>
    <cellStyle name="Output 2 3 2 3" xfId="1811" xr:uid="{00000000-0005-0000-0000-000045090000}"/>
    <cellStyle name="Output 2 3 2 3 2" xfId="3188" xr:uid="{00000000-0005-0000-0000-000046090000}"/>
    <cellStyle name="Output 2 3 2 4" xfId="1928" xr:uid="{00000000-0005-0000-0000-000047090000}"/>
    <cellStyle name="Output 2 3 2 4 2" xfId="3291" xr:uid="{00000000-0005-0000-0000-000048090000}"/>
    <cellStyle name="Output 2 3 2 5" xfId="1716" xr:uid="{00000000-0005-0000-0000-000049090000}"/>
    <cellStyle name="Output 2 3 2 6" xfId="2430" xr:uid="{00000000-0005-0000-0000-00004A090000}"/>
    <cellStyle name="Output 2 3 3" xfId="1528" xr:uid="{00000000-0005-0000-0000-00004B090000}"/>
    <cellStyle name="Output 2 3 3 2" xfId="2924" xr:uid="{00000000-0005-0000-0000-00004C090000}"/>
    <cellStyle name="Output 2 3 4" xfId="1692" xr:uid="{00000000-0005-0000-0000-00004D090000}"/>
    <cellStyle name="Output 2 3 4 2" xfId="3084" xr:uid="{00000000-0005-0000-0000-00004E090000}"/>
    <cellStyle name="Output 2 3 5" xfId="1793" xr:uid="{00000000-0005-0000-0000-00004F090000}"/>
    <cellStyle name="Output 2 3 5 2" xfId="3172" xr:uid="{00000000-0005-0000-0000-000050090000}"/>
    <cellStyle name="Output 2 3 6" xfId="1937" xr:uid="{00000000-0005-0000-0000-000051090000}"/>
    <cellStyle name="Output 2 3 6 2" xfId="3300" xr:uid="{00000000-0005-0000-0000-000052090000}"/>
    <cellStyle name="Output 2 3 7" xfId="1403" xr:uid="{00000000-0005-0000-0000-000053090000}"/>
    <cellStyle name="Output 2 3 8" xfId="2191" xr:uid="{00000000-0005-0000-0000-000054090000}"/>
    <cellStyle name="Output 2 4" xfId="2059" xr:uid="{00000000-0005-0000-0000-000055090000}"/>
    <cellStyle name="Output 3" xfId="533" xr:uid="{00000000-0005-0000-0000-000056090000}"/>
    <cellStyle name="Output 3 2" xfId="759" xr:uid="{00000000-0005-0000-0000-000057090000}"/>
    <cellStyle name="Output 3 2 2" xfId="1008" xr:uid="{00000000-0005-0000-0000-000058090000}"/>
    <cellStyle name="Output 3 2 2 2" xfId="1694" xr:uid="{00000000-0005-0000-0000-000059090000}"/>
    <cellStyle name="Output 3 2 2 2 2" xfId="3086" xr:uid="{00000000-0005-0000-0000-00005A090000}"/>
    <cellStyle name="Output 3 2 2 3" xfId="1387" xr:uid="{00000000-0005-0000-0000-00005B090000}"/>
    <cellStyle name="Output 3 2 2 3 2" xfId="2813" xr:uid="{00000000-0005-0000-0000-00005C090000}"/>
    <cellStyle name="Output 3 2 2 4" xfId="1802" xr:uid="{00000000-0005-0000-0000-00005D090000}"/>
    <cellStyle name="Output 3 2 2 4 2" xfId="3180" xr:uid="{00000000-0005-0000-0000-00005E090000}"/>
    <cellStyle name="Output 3 2 2 5" xfId="1592" xr:uid="{00000000-0005-0000-0000-00005F090000}"/>
    <cellStyle name="Output 3 2 2 6" xfId="2474" xr:uid="{00000000-0005-0000-0000-000060090000}"/>
    <cellStyle name="Output 3 2 3" xfId="1559" xr:uid="{00000000-0005-0000-0000-000061090000}"/>
    <cellStyle name="Output 3 2 3 2" xfId="2955" xr:uid="{00000000-0005-0000-0000-000062090000}"/>
    <cellStyle name="Output 3 2 4" xfId="1409" xr:uid="{00000000-0005-0000-0000-000063090000}"/>
    <cellStyle name="Output 3 2 4 2" xfId="2832" xr:uid="{00000000-0005-0000-0000-000064090000}"/>
    <cellStyle name="Output 3 2 5" xfId="1576" xr:uid="{00000000-0005-0000-0000-000065090000}"/>
    <cellStyle name="Output 3 2 5 2" xfId="2971" xr:uid="{00000000-0005-0000-0000-000066090000}"/>
    <cellStyle name="Output 3 2 6" xfId="1852" xr:uid="{00000000-0005-0000-0000-000067090000}"/>
    <cellStyle name="Output 3 2 6 2" xfId="3227" xr:uid="{00000000-0005-0000-0000-000068090000}"/>
    <cellStyle name="Output 3 2 7" xfId="2007" xr:uid="{00000000-0005-0000-0000-000069090000}"/>
    <cellStyle name="Output 3 2 8" xfId="2241" xr:uid="{00000000-0005-0000-0000-00006A090000}"/>
    <cellStyle name="Output 3 3" xfId="2121" xr:uid="{00000000-0005-0000-0000-00006B090000}"/>
    <cellStyle name="Output 4" xfId="2045" xr:uid="{00000000-0005-0000-0000-00006C090000}"/>
    <cellStyle name="Output Amounts" xfId="312" xr:uid="{00000000-0005-0000-0000-00006D090000}"/>
    <cellStyle name="Output Column Headings" xfId="313" xr:uid="{00000000-0005-0000-0000-00006E090000}"/>
    <cellStyle name="Output Line Items" xfId="314" xr:uid="{00000000-0005-0000-0000-00006F090000}"/>
    <cellStyle name="Output Report Heading" xfId="315" xr:uid="{00000000-0005-0000-0000-000070090000}"/>
    <cellStyle name="Output Report Title" xfId="316" xr:uid="{00000000-0005-0000-0000-000071090000}"/>
    <cellStyle name="p " xfId="532" xr:uid="{00000000-0005-0000-0000-000072090000}"/>
    <cellStyle name="Palatino" xfId="506" xr:uid="{00000000-0005-0000-0000-000073090000}"/>
    <cellStyle name="pe" xfId="507" xr:uid="{00000000-0005-0000-0000-000074090000}"/>
    <cellStyle name="PEG" xfId="508" xr:uid="{00000000-0005-0000-0000-000075090000}"/>
    <cellStyle name="Percal" xfId="51" xr:uid="{00000000-0005-0000-0000-000076090000}"/>
    <cellStyle name="Percent" xfId="52" builtinId="5"/>
    <cellStyle name="Percent (1)" xfId="409" xr:uid="{00000000-0005-0000-0000-000078090000}"/>
    <cellStyle name="Percent [2]" xfId="410" xr:uid="{00000000-0005-0000-0000-000079090000}"/>
    <cellStyle name="Percent 10" xfId="577" xr:uid="{00000000-0005-0000-0000-00007A090000}"/>
    <cellStyle name="Percent 10 2" xfId="648" xr:uid="{00000000-0005-0000-0000-00007B090000}"/>
    <cellStyle name="Percent 10 2 2" xfId="806" xr:uid="{00000000-0005-0000-0000-00007C090000}"/>
    <cellStyle name="Percent 10 2 2 2" xfId="1054" xr:uid="{00000000-0005-0000-0000-00007D090000}"/>
    <cellStyle name="Percent 10 2 2 2 2" xfId="2519" xr:uid="{00000000-0005-0000-0000-00007E090000}"/>
    <cellStyle name="Percent 10 2 2 3" xfId="1273" xr:uid="{00000000-0005-0000-0000-00007F090000}"/>
    <cellStyle name="Percent 10 2 2 3 2" xfId="2724" xr:uid="{00000000-0005-0000-0000-000080090000}"/>
    <cellStyle name="Percent 10 2 2 4" xfId="2286" xr:uid="{00000000-0005-0000-0000-000081090000}"/>
    <cellStyle name="Percent 10 2 3" xfId="928" xr:uid="{00000000-0005-0000-0000-000082090000}"/>
    <cellStyle name="Percent 10 2 3 2" xfId="2401" xr:uid="{00000000-0005-0000-0000-000083090000}"/>
    <cellStyle name="Percent 10 2 4" xfId="1176" xr:uid="{00000000-0005-0000-0000-000084090000}"/>
    <cellStyle name="Percent 10 2 4 2" xfId="2634" xr:uid="{00000000-0005-0000-0000-000085090000}"/>
    <cellStyle name="Percent 10 2 5" xfId="2165" xr:uid="{00000000-0005-0000-0000-000086090000}"/>
    <cellStyle name="Percent 11" xfId="596" xr:uid="{00000000-0005-0000-0000-000087090000}"/>
    <cellStyle name="Percent 12" xfId="578" xr:uid="{00000000-0005-0000-0000-000088090000}"/>
    <cellStyle name="Percent 13" xfId="595" xr:uid="{00000000-0005-0000-0000-000089090000}"/>
    <cellStyle name="Percent 14" xfId="531" xr:uid="{00000000-0005-0000-0000-00008A090000}"/>
    <cellStyle name="Percent 14 2" xfId="666" xr:uid="{00000000-0005-0000-0000-00008B090000}"/>
    <cellStyle name="Percent 15" xfId="613" xr:uid="{00000000-0005-0000-0000-00008C090000}"/>
    <cellStyle name="Percent 15 2" xfId="692" xr:uid="{00000000-0005-0000-0000-00008D090000}"/>
    <cellStyle name="Percent 16" xfId="542" xr:uid="{00000000-0005-0000-0000-00008E090000}"/>
    <cellStyle name="Percent 16 2" xfId="671" xr:uid="{00000000-0005-0000-0000-00008F090000}"/>
    <cellStyle name="Percent 17" xfId="697" xr:uid="{00000000-0005-0000-0000-000090090000}"/>
    <cellStyle name="Percent 17 2" xfId="832" xr:uid="{00000000-0005-0000-0000-000091090000}"/>
    <cellStyle name="Percent 17 2 2" xfId="1076" xr:uid="{00000000-0005-0000-0000-000092090000}"/>
    <cellStyle name="Percent 17 2 2 2" xfId="2539" xr:uid="{00000000-0005-0000-0000-000093090000}"/>
    <cellStyle name="Percent 17 2 3" xfId="1294" xr:uid="{00000000-0005-0000-0000-000094090000}"/>
    <cellStyle name="Percent 17 2 3 2" xfId="2743" xr:uid="{00000000-0005-0000-0000-000095090000}"/>
    <cellStyle name="Percent 17 2 4" xfId="2309" xr:uid="{00000000-0005-0000-0000-000096090000}"/>
    <cellStyle name="Percent 17 3" xfId="953" xr:uid="{00000000-0005-0000-0000-000097090000}"/>
    <cellStyle name="Percent 17 3 2" xfId="2425" xr:uid="{00000000-0005-0000-0000-000098090000}"/>
    <cellStyle name="Percent 17 4" xfId="1196" xr:uid="{00000000-0005-0000-0000-000099090000}"/>
    <cellStyle name="Percent 17 4 2" xfId="2654" xr:uid="{00000000-0005-0000-0000-00009A090000}"/>
    <cellStyle name="Percent 17 5" xfId="2186" xr:uid="{00000000-0005-0000-0000-00009B090000}"/>
    <cellStyle name="Percent 18" xfId="842" xr:uid="{00000000-0005-0000-0000-00009C090000}"/>
    <cellStyle name="Percent 18 2" xfId="1084" xr:uid="{00000000-0005-0000-0000-00009D090000}"/>
    <cellStyle name="Percent 18 2 2" xfId="2543" xr:uid="{00000000-0005-0000-0000-00009E090000}"/>
    <cellStyle name="Percent 18 3" xfId="1302" xr:uid="{00000000-0005-0000-0000-00009F090000}"/>
    <cellStyle name="Percent 18 3 2" xfId="2748" xr:uid="{00000000-0005-0000-0000-0000A0090000}"/>
    <cellStyle name="Percent 18 4" xfId="2315" xr:uid="{00000000-0005-0000-0000-0000A1090000}"/>
    <cellStyle name="Percent 19" xfId="121" xr:uid="{00000000-0005-0000-0000-0000A2090000}"/>
    <cellStyle name="Percent 2" xfId="63" xr:uid="{00000000-0005-0000-0000-0000A3090000}"/>
    <cellStyle name="Percent 2 10" xfId="462" xr:uid="{00000000-0005-0000-0000-0000A4090000}"/>
    <cellStyle name="Percent 2 11" xfId="117" xr:uid="{00000000-0005-0000-0000-0000A5090000}"/>
    <cellStyle name="Percent 2 2" xfId="181" xr:uid="{00000000-0005-0000-0000-0000A6090000}"/>
    <cellStyle name="Percent 2 2 6" xfId="103" xr:uid="{00000000-0005-0000-0000-0000A7090000}"/>
    <cellStyle name="Percent 2 2 6 2" xfId="2053" xr:uid="{00000000-0005-0000-0000-0000A8090000}"/>
    <cellStyle name="Percent 2 3" xfId="109" xr:uid="{00000000-0005-0000-0000-0000A9090000}"/>
    <cellStyle name="Percent 2 3 2" xfId="106" xr:uid="{00000000-0005-0000-0000-0000AA090000}"/>
    <cellStyle name="Percent 2 4" xfId="463" xr:uid="{00000000-0005-0000-0000-0000AB090000}"/>
    <cellStyle name="Percent 2 5" xfId="464" xr:uid="{00000000-0005-0000-0000-0000AC090000}"/>
    <cellStyle name="Percent 2 6" xfId="465" xr:uid="{00000000-0005-0000-0000-0000AD090000}"/>
    <cellStyle name="Percent 2 7" xfId="466" xr:uid="{00000000-0005-0000-0000-0000AE090000}"/>
    <cellStyle name="Percent 2 8" xfId="467" xr:uid="{00000000-0005-0000-0000-0000AF090000}"/>
    <cellStyle name="Percent 2 9" xfId="468" xr:uid="{00000000-0005-0000-0000-0000B0090000}"/>
    <cellStyle name="Percent 2_Pivot_Table_Tips" xfId="260" xr:uid="{00000000-0005-0000-0000-0000B1090000}"/>
    <cellStyle name="Percent 20" xfId="1307" xr:uid="{00000000-0005-0000-0000-0000B2090000}"/>
    <cellStyle name="Percent 20 2" xfId="67" xr:uid="{00000000-0005-0000-0000-0000B3090000}"/>
    <cellStyle name="Percent 21" xfId="1450" xr:uid="{00000000-0005-0000-0000-0000B4090000}"/>
    <cellStyle name="Percent 22" xfId="1723" xr:uid="{00000000-0005-0000-0000-0000B5090000}"/>
    <cellStyle name="Percent 23" xfId="1922" xr:uid="{00000000-0005-0000-0000-0000B6090000}"/>
    <cellStyle name="Percent 24" xfId="1431" xr:uid="{00000000-0005-0000-0000-0000B7090000}"/>
    <cellStyle name="Percent 3" xfId="95" xr:uid="{00000000-0005-0000-0000-0000B8090000}"/>
    <cellStyle name="Percent 3 2" xfId="187" xr:uid="{00000000-0005-0000-0000-0000B9090000}"/>
    <cellStyle name="Percent 3 2 2" xfId="346" xr:uid="{00000000-0005-0000-0000-0000BA090000}"/>
    <cellStyle name="Percent 3 3" xfId="182" xr:uid="{00000000-0005-0000-0000-0000BB090000}"/>
    <cellStyle name="Percent 33" xfId="98" xr:uid="{00000000-0005-0000-0000-0000BC090000}"/>
    <cellStyle name="Percent 4" xfId="116" xr:uid="{00000000-0005-0000-0000-0000BD090000}"/>
    <cellStyle name="Percent 4 2" xfId="122" xr:uid="{00000000-0005-0000-0000-0000BE090000}"/>
    <cellStyle name="Percent 4 3" xfId="183" xr:uid="{00000000-0005-0000-0000-0000BF090000}"/>
    <cellStyle name="Percent 4 4" xfId="589" xr:uid="{00000000-0005-0000-0000-0000C0090000}"/>
    <cellStyle name="Percent 4 4 2" xfId="684" xr:uid="{00000000-0005-0000-0000-0000C1090000}"/>
    <cellStyle name="Percent 4 4 2 2" xfId="826" xr:uid="{00000000-0005-0000-0000-0000C2090000}"/>
    <cellStyle name="Percent 4 4 2 2 2" xfId="1070" xr:uid="{00000000-0005-0000-0000-0000C3090000}"/>
    <cellStyle name="Percent 4 4 2 2 2 2" xfId="2533" xr:uid="{00000000-0005-0000-0000-0000C4090000}"/>
    <cellStyle name="Percent 4 4 2 2 3" xfId="1288" xr:uid="{00000000-0005-0000-0000-0000C5090000}"/>
    <cellStyle name="Percent 4 4 2 2 3 2" xfId="2737" xr:uid="{00000000-0005-0000-0000-0000C6090000}"/>
    <cellStyle name="Percent 4 4 2 2 4" xfId="2303" xr:uid="{00000000-0005-0000-0000-0000C7090000}"/>
    <cellStyle name="Percent 4 4 2 3" xfId="947" xr:uid="{00000000-0005-0000-0000-0000C8090000}"/>
    <cellStyle name="Percent 4 4 2 3 2" xfId="2419" xr:uid="{00000000-0005-0000-0000-0000C9090000}"/>
    <cellStyle name="Percent 4 4 2 4" xfId="1190" xr:uid="{00000000-0005-0000-0000-0000CA090000}"/>
    <cellStyle name="Percent 4 4 2 4 2" xfId="2648" xr:uid="{00000000-0005-0000-0000-0000CB090000}"/>
    <cellStyle name="Percent 4 4 2 5" xfId="2180" xr:uid="{00000000-0005-0000-0000-0000CC090000}"/>
    <cellStyle name="Percent 4 4 3" xfId="769" xr:uid="{00000000-0005-0000-0000-0000CD090000}"/>
    <cellStyle name="Percent 4 4 3 2" xfId="1017" xr:uid="{00000000-0005-0000-0000-0000CE090000}"/>
    <cellStyle name="Percent 4 4 3 2 2" xfId="2483" xr:uid="{00000000-0005-0000-0000-0000CF090000}"/>
    <cellStyle name="Percent 4 4 3 3" xfId="1241" xr:uid="{00000000-0005-0000-0000-0000D0090000}"/>
    <cellStyle name="Percent 4 4 3 3 2" xfId="2693" xr:uid="{00000000-0005-0000-0000-0000D1090000}"/>
    <cellStyle name="Percent 4 4 3 4" xfId="2250" xr:uid="{00000000-0005-0000-0000-0000D2090000}"/>
    <cellStyle name="Percent 4 4 4" xfId="896" xr:uid="{00000000-0005-0000-0000-0000D3090000}"/>
    <cellStyle name="Percent 4 4 4 2" xfId="2369" xr:uid="{00000000-0005-0000-0000-0000D4090000}"/>
    <cellStyle name="Percent 4 4 5" xfId="1141" xr:uid="{00000000-0005-0000-0000-0000D5090000}"/>
    <cellStyle name="Percent 4 4 5 2" xfId="2599" xr:uid="{00000000-0005-0000-0000-0000D6090000}"/>
    <cellStyle name="Percent 4 4 6" xfId="2130" xr:uid="{00000000-0005-0000-0000-0000D7090000}"/>
    <cellStyle name="Percent 5" xfId="114" xr:uid="{00000000-0005-0000-0000-0000D8090000}"/>
    <cellStyle name="Percent 5 2" xfId="188" xr:uid="{00000000-0005-0000-0000-0000D9090000}"/>
    <cellStyle name="Percent 6" xfId="261" xr:uid="{00000000-0005-0000-0000-0000DA090000}"/>
    <cellStyle name="Percent 6 2" xfId="285" xr:uid="{00000000-0005-0000-0000-0000DB090000}"/>
    <cellStyle name="Percent 6 2 2" xfId="347" xr:uid="{00000000-0005-0000-0000-0000DC090000}"/>
    <cellStyle name="Percent 6 2 2 2" xfId="642" xr:uid="{00000000-0005-0000-0000-0000DD090000}"/>
    <cellStyle name="Percent 6 2 2 2 2" xfId="802" xr:uid="{00000000-0005-0000-0000-0000DE090000}"/>
    <cellStyle name="Percent 6 2 2 2 2 2" xfId="1050" xr:uid="{00000000-0005-0000-0000-0000DF090000}"/>
    <cellStyle name="Percent 6 2 2 2 2 2 2" xfId="2515" xr:uid="{00000000-0005-0000-0000-0000E0090000}"/>
    <cellStyle name="Percent 6 2 2 2 2 3" xfId="1269" xr:uid="{00000000-0005-0000-0000-0000E1090000}"/>
    <cellStyle name="Percent 6 2 2 2 2 3 2" xfId="2720" xr:uid="{00000000-0005-0000-0000-0000E2090000}"/>
    <cellStyle name="Percent 6 2 2 2 2 4" xfId="2282" xr:uid="{00000000-0005-0000-0000-0000E3090000}"/>
    <cellStyle name="Percent 6 2 2 2 3" xfId="924" xr:uid="{00000000-0005-0000-0000-0000E4090000}"/>
    <cellStyle name="Percent 6 2 2 2 3 2" xfId="2397" xr:uid="{00000000-0005-0000-0000-0000E5090000}"/>
    <cellStyle name="Percent 6 2 2 2 4" xfId="1172" xr:uid="{00000000-0005-0000-0000-0000E6090000}"/>
    <cellStyle name="Percent 6 2 2 2 4 2" xfId="2630" xr:uid="{00000000-0005-0000-0000-0000E7090000}"/>
    <cellStyle name="Percent 6 2 2 2 5" xfId="2161" xr:uid="{00000000-0005-0000-0000-0000E8090000}"/>
    <cellStyle name="Percent 6 2 2 3" xfId="741" xr:uid="{00000000-0005-0000-0000-0000E9090000}"/>
    <cellStyle name="Percent 6 2 2 3 2" xfId="994" xr:uid="{00000000-0005-0000-0000-0000EA090000}"/>
    <cellStyle name="Percent 6 2 2 3 2 2" xfId="2463" xr:uid="{00000000-0005-0000-0000-0000EB090000}"/>
    <cellStyle name="Percent 6 2 2 3 3" xfId="1222" xr:uid="{00000000-0005-0000-0000-0000EC090000}"/>
    <cellStyle name="Percent 6 2 2 3 3 2" xfId="2677" xr:uid="{00000000-0005-0000-0000-0000ED090000}"/>
    <cellStyle name="Percent 6 2 2 3 4" xfId="2227" xr:uid="{00000000-0005-0000-0000-0000EE090000}"/>
    <cellStyle name="Percent 6 2 2 4" xfId="876" xr:uid="{00000000-0005-0000-0000-0000EF090000}"/>
    <cellStyle name="Percent 6 2 2 4 2" xfId="2349" xr:uid="{00000000-0005-0000-0000-0000F0090000}"/>
    <cellStyle name="Percent 6 2 2 5" xfId="1118" xr:uid="{00000000-0005-0000-0000-0000F1090000}"/>
    <cellStyle name="Percent 6 2 2 5 2" xfId="2577" xr:uid="{00000000-0005-0000-0000-0000F2090000}"/>
    <cellStyle name="Percent 6 2 2 6" xfId="2097" xr:uid="{00000000-0005-0000-0000-0000F3090000}"/>
    <cellStyle name="Percent 6 2 3" xfId="626" xr:uid="{00000000-0005-0000-0000-0000F4090000}"/>
    <cellStyle name="Percent 6 2 3 2" xfId="786" xr:uid="{00000000-0005-0000-0000-0000F5090000}"/>
    <cellStyle name="Percent 6 2 3 2 2" xfId="1034" xr:uid="{00000000-0005-0000-0000-0000F6090000}"/>
    <cellStyle name="Percent 6 2 3 2 2 2" xfId="2499" xr:uid="{00000000-0005-0000-0000-0000F7090000}"/>
    <cellStyle name="Percent 6 2 3 2 3" xfId="1253" xr:uid="{00000000-0005-0000-0000-0000F8090000}"/>
    <cellStyle name="Percent 6 2 3 2 3 2" xfId="2704" xr:uid="{00000000-0005-0000-0000-0000F9090000}"/>
    <cellStyle name="Percent 6 2 3 2 4" xfId="2266" xr:uid="{00000000-0005-0000-0000-0000FA090000}"/>
    <cellStyle name="Percent 6 2 3 3" xfId="908" xr:uid="{00000000-0005-0000-0000-0000FB090000}"/>
    <cellStyle name="Percent 6 2 3 3 2" xfId="2381" xr:uid="{00000000-0005-0000-0000-0000FC090000}"/>
    <cellStyle name="Percent 6 2 3 4" xfId="1156" xr:uid="{00000000-0005-0000-0000-0000FD090000}"/>
    <cellStyle name="Percent 6 2 3 4 2" xfId="2614" xr:uid="{00000000-0005-0000-0000-0000FE090000}"/>
    <cellStyle name="Percent 6 2 3 5" xfId="2145" xr:uid="{00000000-0005-0000-0000-0000FF090000}"/>
    <cellStyle name="Percent 6 2 4" xfId="725" xr:uid="{00000000-0005-0000-0000-0000000A0000}"/>
    <cellStyle name="Percent 6 2 4 2" xfId="978" xr:uid="{00000000-0005-0000-0000-0000010A0000}"/>
    <cellStyle name="Percent 6 2 4 2 2" xfId="2447" xr:uid="{00000000-0005-0000-0000-0000020A0000}"/>
    <cellStyle name="Percent 6 2 4 3" xfId="1206" xr:uid="{00000000-0005-0000-0000-0000030A0000}"/>
    <cellStyle name="Percent 6 2 4 3 2" xfId="2661" xr:uid="{00000000-0005-0000-0000-0000040A0000}"/>
    <cellStyle name="Percent 6 2 4 4" xfId="2211" xr:uid="{00000000-0005-0000-0000-0000050A0000}"/>
    <cellStyle name="Percent 6 2 5" xfId="860" xr:uid="{00000000-0005-0000-0000-0000060A0000}"/>
    <cellStyle name="Percent 6 2 5 2" xfId="2333" xr:uid="{00000000-0005-0000-0000-0000070A0000}"/>
    <cellStyle name="Percent 6 2 6" xfId="1102" xr:uid="{00000000-0005-0000-0000-0000080A0000}"/>
    <cellStyle name="Percent 6 2 6 2" xfId="2561" xr:uid="{00000000-0005-0000-0000-0000090A0000}"/>
    <cellStyle name="Percent 6 2 7" xfId="2080" xr:uid="{00000000-0005-0000-0000-00000A0A0000}"/>
    <cellStyle name="Percent 6 3" xfId="348" xr:uid="{00000000-0005-0000-0000-00000B0A0000}"/>
    <cellStyle name="Percent 6 3 2" xfId="643" xr:uid="{00000000-0005-0000-0000-00000C0A0000}"/>
    <cellStyle name="Percent 6 3 2 2" xfId="803" xr:uid="{00000000-0005-0000-0000-00000D0A0000}"/>
    <cellStyle name="Percent 6 3 2 2 2" xfId="1051" xr:uid="{00000000-0005-0000-0000-00000E0A0000}"/>
    <cellStyle name="Percent 6 3 2 2 2 2" xfId="2516" xr:uid="{00000000-0005-0000-0000-00000F0A0000}"/>
    <cellStyle name="Percent 6 3 2 2 3" xfId="1270" xr:uid="{00000000-0005-0000-0000-0000100A0000}"/>
    <cellStyle name="Percent 6 3 2 2 3 2" xfId="2721" xr:uid="{00000000-0005-0000-0000-0000110A0000}"/>
    <cellStyle name="Percent 6 3 2 2 4" xfId="2283" xr:uid="{00000000-0005-0000-0000-0000120A0000}"/>
    <cellStyle name="Percent 6 3 2 3" xfId="925" xr:uid="{00000000-0005-0000-0000-0000130A0000}"/>
    <cellStyle name="Percent 6 3 2 3 2" xfId="2398" xr:uid="{00000000-0005-0000-0000-0000140A0000}"/>
    <cellStyle name="Percent 6 3 2 4" xfId="1173" xr:uid="{00000000-0005-0000-0000-0000150A0000}"/>
    <cellStyle name="Percent 6 3 2 4 2" xfId="2631" xr:uid="{00000000-0005-0000-0000-0000160A0000}"/>
    <cellStyle name="Percent 6 3 2 5" xfId="2162" xr:uid="{00000000-0005-0000-0000-0000170A0000}"/>
    <cellStyle name="Percent 6 3 3" xfId="742" xr:uid="{00000000-0005-0000-0000-0000180A0000}"/>
    <cellStyle name="Percent 6 3 3 2" xfId="995" xr:uid="{00000000-0005-0000-0000-0000190A0000}"/>
    <cellStyle name="Percent 6 3 3 2 2" xfId="2464" xr:uid="{00000000-0005-0000-0000-00001A0A0000}"/>
    <cellStyle name="Percent 6 3 3 3" xfId="1223" xr:uid="{00000000-0005-0000-0000-00001B0A0000}"/>
    <cellStyle name="Percent 6 3 3 3 2" xfId="2678" xr:uid="{00000000-0005-0000-0000-00001C0A0000}"/>
    <cellStyle name="Percent 6 3 3 4" xfId="2228" xr:uid="{00000000-0005-0000-0000-00001D0A0000}"/>
    <cellStyle name="Percent 6 3 4" xfId="877" xr:uid="{00000000-0005-0000-0000-00001E0A0000}"/>
    <cellStyle name="Percent 6 3 4 2" xfId="2350" xr:uid="{00000000-0005-0000-0000-00001F0A0000}"/>
    <cellStyle name="Percent 6 3 5" xfId="1119" xr:uid="{00000000-0005-0000-0000-0000200A0000}"/>
    <cellStyle name="Percent 6 3 5 2" xfId="2578" xr:uid="{00000000-0005-0000-0000-0000210A0000}"/>
    <cellStyle name="Percent 6 3 6" xfId="2098" xr:uid="{00000000-0005-0000-0000-0000220A0000}"/>
    <cellStyle name="Percent 6 4" xfId="622" xr:uid="{00000000-0005-0000-0000-0000230A0000}"/>
    <cellStyle name="Percent 6 4 2" xfId="782" xr:uid="{00000000-0005-0000-0000-0000240A0000}"/>
    <cellStyle name="Percent 6 4 2 2" xfId="1030" xr:uid="{00000000-0005-0000-0000-0000250A0000}"/>
    <cellStyle name="Percent 6 4 2 2 2" xfId="2495" xr:uid="{00000000-0005-0000-0000-0000260A0000}"/>
    <cellStyle name="Percent 6 4 2 3" xfId="1249" xr:uid="{00000000-0005-0000-0000-0000270A0000}"/>
    <cellStyle name="Percent 6 4 2 3 2" xfId="2700" xr:uid="{00000000-0005-0000-0000-0000280A0000}"/>
    <cellStyle name="Percent 6 4 2 4" xfId="2262" xr:uid="{00000000-0005-0000-0000-0000290A0000}"/>
    <cellStyle name="Percent 6 4 3" xfId="904" xr:uid="{00000000-0005-0000-0000-00002A0A0000}"/>
    <cellStyle name="Percent 6 4 3 2" xfId="2377" xr:uid="{00000000-0005-0000-0000-00002B0A0000}"/>
    <cellStyle name="Percent 6 4 4" xfId="1152" xr:uid="{00000000-0005-0000-0000-00002C0A0000}"/>
    <cellStyle name="Percent 6 4 4 2" xfId="2610" xr:uid="{00000000-0005-0000-0000-00002D0A0000}"/>
    <cellStyle name="Percent 6 4 5" xfId="2141" xr:uid="{00000000-0005-0000-0000-00002E0A0000}"/>
    <cellStyle name="Percent 6 5" xfId="712" xr:uid="{00000000-0005-0000-0000-00002F0A0000}"/>
    <cellStyle name="Percent 6 5 2" xfId="968" xr:uid="{00000000-0005-0000-0000-0000300A0000}"/>
    <cellStyle name="Percent 6 5 2 2" xfId="2437" xr:uid="{00000000-0005-0000-0000-0000310A0000}"/>
    <cellStyle name="Percent 6 5 3" xfId="1202" xr:uid="{00000000-0005-0000-0000-0000320A0000}"/>
    <cellStyle name="Percent 6 5 3 2" xfId="2657" xr:uid="{00000000-0005-0000-0000-0000330A0000}"/>
    <cellStyle name="Percent 6 5 4" xfId="2198" xr:uid="{00000000-0005-0000-0000-0000340A0000}"/>
    <cellStyle name="Percent 6 6" xfId="850" xr:uid="{00000000-0005-0000-0000-0000350A0000}"/>
    <cellStyle name="Percent 6 6 2" xfId="2323" xr:uid="{00000000-0005-0000-0000-0000360A0000}"/>
    <cellStyle name="Percent 6 7" xfId="1092" xr:uid="{00000000-0005-0000-0000-0000370A0000}"/>
    <cellStyle name="Percent 6 7 2" xfId="2551" xr:uid="{00000000-0005-0000-0000-0000380A0000}"/>
    <cellStyle name="Percent 6 8" xfId="2066" xr:uid="{00000000-0005-0000-0000-0000390A0000}"/>
    <cellStyle name="Percent 7" xfId="262" xr:uid="{00000000-0005-0000-0000-00003A0A0000}"/>
    <cellStyle name="Percent 7 2" xfId="286" xr:uid="{00000000-0005-0000-0000-00003B0A0000}"/>
    <cellStyle name="Percent 7 2 2" xfId="349" xr:uid="{00000000-0005-0000-0000-00003C0A0000}"/>
    <cellStyle name="Percent 7 2 2 2" xfId="644" xr:uid="{00000000-0005-0000-0000-00003D0A0000}"/>
    <cellStyle name="Percent 7 2 2 2 2" xfId="804" xr:uid="{00000000-0005-0000-0000-00003E0A0000}"/>
    <cellStyle name="Percent 7 2 2 2 2 2" xfId="1052" xr:uid="{00000000-0005-0000-0000-00003F0A0000}"/>
    <cellStyle name="Percent 7 2 2 2 2 2 2" xfId="2517" xr:uid="{00000000-0005-0000-0000-0000400A0000}"/>
    <cellStyle name="Percent 7 2 2 2 2 3" xfId="1271" xr:uid="{00000000-0005-0000-0000-0000410A0000}"/>
    <cellStyle name="Percent 7 2 2 2 2 3 2" xfId="2722" xr:uid="{00000000-0005-0000-0000-0000420A0000}"/>
    <cellStyle name="Percent 7 2 2 2 2 4" xfId="2284" xr:uid="{00000000-0005-0000-0000-0000430A0000}"/>
    <cellStyle name="Percent 7 2 2 2 3" xfId="926" xr:uid="{00000000-0005-0000-0000-0000440A0000}"/>
    <cellStyle name="Percent 7 2 2 2 3 2" xfId="2399" xr:uid="{00000000-0005-0000-0000-0000450A0000}"/>
    <cellStyle name="Percent 7 2 2 2 4" xfId="1174" xr:uid="{00000000-0005-0000-0000-0000460A0000}"/>
    <cellStyle name="Percent 7 2 2 2 4 2" xfId="2632" xr:uid="{00000000-0005-0000-0000-0000470A0000}"/>
    <cellStyle name="Percent 7 2 2 2 5" xfId="2163" xr:uid="{00000000-0005-0000-0000-0000480A0000}"/>
    <cellStyle name="Percent 7 2 2 3" xfId="743" xr:uid="{00000000-0005-0000-0000-0000490A0000}"/>
    <cellStyle name="Percent 7 2 2 3 2" xfId="996" xr:uid="{00000000-0005-0000-0000-00004A0A0000}"/>
    <cellStyle name="Percent 7 2 2 3 2 2" xfId="2465" xr:uid="{00000000-0005-0000-0000-00004B0A0000}"/>
    <cellStyle name="Percent 7 2 2 3 3" xfId="1224" xr:uid="{00000000-0005-0000-0000-00004C0A0000}"/>
    <cellStyle name="Percent 7 2 2 3 3 2" xfId="2679" xr:uid="{00000000-0005-0000-0000-00004D0A0000}"/>
    <cellStyle name="Percent 7 2 2 3 4" xfId="2229" xr:uid="{00000000-0005-0000-0000-00004E0A0000}"/>
    <cellStyle name="Percent 7 2 2 4" xfId="878" xr:uid="{00000000-0005-0000-0000-00004F0A0000}"/>
    <cellStyle name="Percent 7 2 2 4 2" xfId="2351" xr:uid="{00000000-0005-0000-0000-0000500A0000}"/>
    <cellStyle name="Percent 7 2 2 5" xfId="1120" xr:uid="{00000000-0005-0000-0000-0000510A0000}"/>
    <cellStyle name="Percent 7 2 2 5 2" xfId="2579" xr:uid="{00000000-0005-0000-0000-0000520A0000}"/>
    <cellStyle name="Percent 7 2 2 6" xfId="2099" xr:uid="{00000000-0005-0000-0000-0000530A0000}"/>
    <cellStyle name="Percent 7 2 3" xfId="627" xr:uid="{00000000-0005-0000-0000-0000540A0000}"/>
    <cellStyle name="Percent 7 2 3 2" xfId="787" xr:uid="{00000000-0005-0000-0000-0000550A0000}"/>
    <cellStyle name="Percent 7 2 3 2 2" xfId="1035" xr:uid="{00000000-0005-0000-0000-0000560A0000}"/>
    <cellStyle name="Percent 7 2 3 2 2 2" xfId="2500" xr:uid="{00000000-0005-0000-0000-0000570A0000}"/>
    <cellStyle name="Percent 7 2 3 2 3" xfId="1254" xr:uid="{00000000-0005-0000-0000-0000580A0000}"/>
    <cellStyle name="Percent 7 2 3 2 3 2" xfId="2705" xr:uid="{00000000-0005-0000-0000-0000590A0000}"/>
    <cellStyle name="Percent 7 2 3 2 4" xfId="2267" xr:uid="{00000000-0005-0000-0000-00005A0A0000}"/>
    <cellStyle name="Percent 7 2 3 3" xfId="909" xr:uid="{00000000-0005-0000-0000-00005B0A0000}"/>
    <cellStyle name="Percent 7 2 3 3 2" xfId="2382" xr:uid="{00000000-0005-0000-0000-00005C0A0000}"/>
    <cellStyle name="Percent 7 2 3 4" xfId="1157" xr:uid="{00000000-0005-0000-0000-00005D0A0000}"/>
    <cellStyle name="Percent 7 2 3 4 2" xfId="2615" xr:uid="{00000000-0005-0000-0000-00005E0A0000}"/>
    <cellStyle name="Percent 7 2 3 5" xfId="2146" xr:uid="{00000000-0005-0000-0000-00005F0A0000}"/>
    <cellStyle name="Percent 7 2 4" xfId="726" xr:uid="{00000000-0005-0000-0000-0000600A0000}"/>
    <cellStyle name="Percent 7 2 4 2" xfId="979" xr:uid="{00000000-0005-0000-0000-0000610A0000}"/>
    <cellStyle name="Percent 7 2 4 2 2" xfId="2448" xr:uid="{00000000-0005-0000-0000-0000620A0000}"/>
    <cellStyle name="Percent 7 2 4 3" xfId="1207" xr:uid="{00000000-0005-0000-0000-0000630A0000}"/>
    <cellStyle name="Percent 7 2 4 3 2" xfId="2662" xr:uid="{00000000-0005-0000-0000-0000640A0000}"/>
    <cellStyle name="Percent 7 2 4 4" xfId="2212" xr:uid="{00000000-0005-0000-0000-0000650A0000}"/>
    <cellStyle name="Percent 7 2 5" xfId="861" xr:uid="{00000000-0005-0000-0000-0000660A0000}"/>
    <cellStyle name="Percent 7 2 5 2" xfId="2334" xr:uid="{00000000-0005-0000-0000-0000670A0000}"/>
    <cellStyle name="Percent 7 2 6" xfId="1103" xr:uid="{00000000-0005-0000-0000-0000680A0000}"/>
    <cellStyle name="Percent 7 2 6 2" xfId="2562" xr:uid="{00000000-0005-0000-0000-0000690A0000}"/>
    <cellStyle name="Percent 7 2 7" xfId="2081" xr:uid="{00000000-0005-0000-0000-00006A0A0000}"/>
    <cellStyle name="Percent 7 3" xfId="350" xr:uid="{00000000-0005-0000-0000-00006B0A0000}"/>
    <cellStyle name="Percent 7 3 2" xfId="645" xr:uid="{00000000-0005-0000-0000-00006C0A0000}"/>
    <cellStyle name="Percent 7 3 2 2" xfId="805" xr:uid="{00000000-0005-0000-0000-00006D0A0000}"/>
    <cellStyle name="Percent 7 3 2 2 2" xfId="1053" xr:uid="{00000000-0005-0000-0000-00006E0A0000}"/>
    <cellStyle name="Percent 7 3 2 2 2 2" xfId="2518" xr:uid="{00000000-0005-0000-0000-00006F0A0000}"/>
    <cellStyle name="Percent 7 3 2 2 3" xfId="1272" xr:uid="{00000000-0005-0000-0000-0000700A0000}"/>
    <cellStyle name="Percent 7 3 2 2 3 2" xfId="2723" xr:uid="{00000000-0005-0000-0000-0000710A0000}"/>
    <cellStyle name="Percent 7 3 2 2 4" xfId="2285" xr:uid="{00000000-0005-0000-0000-0000720A0000}"/>
    <cellStyle name="Percent 7 3 2 3" xfId="927" xr:uid="{00000000-0005-0000-0000-0000730A0000}"/>
    <cellStyle name="Percent 7 3 2 3 2" xfId="2400" xr:uid="{00000000-0005-0000-0000-0000740A0000}"/>
    <cellStyle name="Percent 7 3 2 4" xfId="1175" xr:uid="{00000000-0005-0000-0000-0000750A0000}"/>
    <cellStyle name="Percent 7 3 2 4 2" xfId="2633" xr:uid="{00000000-0005-0000-0000-0000760A0000}"/>
    <cellStyle name="Percent 7 3 2 5" xfId="2164" xr:uid="{00000000-0005-0000-0000-0000770A0000}"/>
    <cellStyle name="Percent 7 3 3" xfId="744" xr:uid="{00000000-0005-0000-0000-0000780A0000}"/>
    <cellStyle name="Percent 7 3 3 2" xfId="997" xr:uid="{00000000-0005-0000-0000-0000790A0000}"/>
    <cellStyle name="Percent 7 3 3 2 2" xfId="2466" xr:uid="{00000000-0005-0000-0000-00007A0A0000}"/>
    <cellStyle name="Percent 7 3 3 3" xfId="1225" xr:uid="{00000000-0005-0000-0000-00007B0A0000}"/>
    <cellStyle name="Percent 7 3 3 3 2" xfId="2680" xr:uid="{00000000-0005-0000-0000-00007C0A0000}"/>
    <cellStyle name="Percent 7 3 3 4" xfId="2230" xr:uid="{00000000-0005-0000-0000-00007D0A0000}"/>
    <cellStyle name="Percent 7 3 4" xfId="879" xr:uid="{00000000-0005-0000-0000-00007E0A0000}"/>
    <cellStyle name="Percent 7 3 4 2" xfId="2352" xr:uid="{00000000-0005-0000-0000-00007F0A0000}"/>
    <cellStyle name="Percent 7 3 5" xfId="1121" xr:uid="{00000000-0005-0000-0000-0000800A0000}"/>
    <cellStyle name="Percent 7 3 5 2" xfId="2580" xr:uid="{00000000-0005-0000-0000-0000810A0000}"/>
    <cellStyle name="Percent 7 3 6" xfId="2100" xr:uid="{00000000-0005-0000-0000-0000820A0000}"/>
    <cellStyle name="Percent 7 4" xfId="623" xr:uid="{00000000-0005-0000-0000-0000830A0000}"/>
    <cellStyle name="Percent 7 4 2" xfId="783" xr:uid="{00000000-0005-0000-0000-0000840A0000}"/>
    <cellStyle name="Percent 7 4 2 2" xfId="1031" xr:uid="{00000000-0005-0000-0000-0000850A0000}"/>
    <cellStyle name="Percent 7 4 2 2 2" xfId="2496" xr:uid="{00000000-0005-0000-0000-0000860A0000}"/>
    <cellStyle name="Percent 7 4 2 3" xfId="1250" xr:uid="{00000000-0005-0000-0000-0000870A0000}"/>
    <cellStyle name="Percent 7 4 2 3 2" xfId="2701" xr:uid="{00000000-0005-0000-0000-0000880A0000}"/>
    <cellStyle name="Percent 7 4 2 4" xfId="2263" xr:uid="{00000000-0005-0000-0000-0000890A0000}"/>
    <cellStyle name="Percent 7 4 3" xfId="905" xr:uid="{00000000-0005-0000-0000-00008A0A0000}"/>
    <cellStyle name="Percent 7 4 3 2" xfId="2378" xr:uid="{00000000-0005-0000-0000-00008B0A0000}"/>
    <cellStyle name="Percent 7 4 4" xfId="1153" xr:uid="{00000000-0005-0000-0000-00008C0A0000}"/>
    <cellStyle name="Percent 7 4 4 2" xfId="2611" xr:uid="{00000000-0005-0000-0000-00008D0A0000}"/>
    <cellStyle name="Percent 7 4 5" xfId="2142" xr:uid="{00000000-0005-0000-0000-00008E0A0000}"/>
    <cellStyle name="Percent 7 5" xfId="713" xr:uid="{00000000-0005-0000-0000-00008F0A0000}"/>
    <cellStyle name="Percent 7 5 2" xfId="969" xr:uid="{00000000-0005-0000-0000-0000900A0000}"/>
    <cellStyle name="Percent 7 5 2 2" xfId="2438" xr:uid="{00000000-0005-0000-0000-0000910A0000}"/>
    <cellStyle name="Percent 7 5 3" xfId="1203" xr:uid="{00000000-0005-0000-0000-0000920A0000}"/>
    <cellStyle name="Percent 7 5 3 2" xfId="2658" xr:uid="{00000000-0005-0000-0000-0000930A0000}"/>
    <cellStyle name="Percent 7 5 4" xfId="2199" xr:uid="{00000000-0005-0000-0000-0000940A0000}"/>
    <cellStyle name="Percent 7 6" xfId="851" xr:uid="{00000000-0005-0000-0000-0000950A0000}"/>
    <cellStyle name="Percent 7 6 2" xfId="2324" xr:uid="{00000000-0005-0000-0000-0000960A0000}"/>
    <cellStyle name="Percent 7 7" xfId="1093" xr:uid="{00000000-0005-0000-0000-0000970A0000}"/>
    <cellStyle name="Percent 7 7 2" xfId="2552" xr:uid="{00000000-0005-0000-0000-0000980A0000}"/>
    <cellStyle name="Percent 7 8" xfId="2067" xr:uid="{00000000-0005-0000-0000-0000990A0000}"/>
    <cellStyle name="Percent 8" xfId="288" xr:uid="{00000000-0005-0000-0000-00009A0A0000}"/>
    <cellStyle name="Percent 8 2" xfId="629" xr:uid="{00000000-0005-0000-0000-00009B0A0000}"/>
    <cellStyle name="Percent 8 2 2" xfId="789" xr:uid="{00000000-0005-0000-0000-00009C0A0000}"/>
    <cellStyle name="Percent 8 2 2 2" xfId="1037" xr:uid="{00000000-0005-0000-0000-00009D0A0000}"/>
    <cellStyle name="Percent 8 2 2 2 2" xfId="2502" xr:uid="{00000000-0005-0000-0000-00009E0A0000}"/>
    <cellStyle name="Percent 8 2 2 3" xfId="1256" xr:uid="{00000000-0005-0000-0000-00009F0A0000}"/>
    <cellStyle name="Percent 8 2 2 3 2" xfId="2707" xr:uid="{00000000-0005-0000-0000-0000A00A0000}"/>
    <cellStyle name="Percent 8 2 2 4" xfId="2269" xr:uid="{00000000-0005-0000-0000-0000A10A0000}"/>
    <cellStyle name="Percent 8 2 3" xfId="911" xr:uid="{00000000-0005-0000-0000-0000A20A0000}"/>
    <cellStyle name="Percent 8 2 3 2" xfId="2384" xr:uid="{00000000-0005-0000-0000-0000A30A0000}"/>
    <cellStyle name="Percent 8 2 4" xfId="1159" xr:uid="{00000000-0005-0000-0000-0000A40A0000}"/>
    <cellStyle name="Percent 8 2 4 2" xfId="2617" xr:uid="{00000000-0005-0000-0000-0000A50A0000}"/>
    <cellStyle name="Percent 8 2 5" xfId="2148" xr:uid="{00000000-0005-0000-0000-0000A60A0000}"/>
    <cellStyle name="Percent 8 3" xfId="728" xr:uid="{00000000-0005-0000-0000-0000A70A0000}"/>
    <cellStyle name="Percent 8 3 2" xfId="981" xr:uid="{00000000-0005-0000-0000-0000A80A0000}"/>
    <cellStyle name="Percent 8 3 2 2" xfId="2450" xr:uid="{00000000-0005-0000-0000-0000A90A0000}"/>
    <cellStyle name="Percent 8 3 3" xfId="1209" xr:uid="{00000000-0005-0000-0000-0000AA0A0000}"/>
    <cellStyle name="Percent 8 3 3 2" xfId="2664" xr:uid="{00000000-0005-0000-0000-0000AB0A0000}"/>
    <cellStyle name="Percent 8 3 4" xfId="2214" xr:uid="{00000000-0005-0000-0000-0000AC0A0000}"/>
    <cellStyle name="Percent 8 4" xfId="863" xr:uid="{00000000-0005-0000-0000-0000AD0A0000}"/>
    <cellStyle name="Percent 8 4 2" xfId="2336" xr:uid="{00000000-0005-0000-0000-0000AE0A0000}"/>
    <cellStyle name="Percent 8 5" xfId="1105" xr:uid="{00000000-0005-0000-0000-0000AF0A0000}"/>
    <cellStyle name="Percent 8 5 2" xfId="2564" xr:uid="{00000000-0005-0000-0000-0000B00A0000}"/>
    <cellStyle name="Percent 8 6" xfId="2083" xr:uid="{00000000-0005-0000-0000-0000B10A0000}"/>
    <cellStyle name="Percent 9" xfId="317" xr:uid="{00000000-0005-0000-0000-0000B20A0000}"/>
    <cellStyle name="Percent[1]" xfId="411" xr:uid="{00000000-0005-0000-0000-0000B30A0000}"/>
    <cellStyle name="Percent_MO_W_dataciti.PRO_Qxls" xfId="53" xr:uid="{00000000-0005-0000-0000-0000B40A0000}"/>
    <cellStyle name="Percent1" xfId="509" xr:uid="{00000000-0005-0000-0000-0000B50A0000}"/>
    <cellStyle name="Percent2" xfId="510" xr:uid="{00000000-0005-0000-0000-0000B60A0000}"/>
    <cellStyle name="percentage" xfId="412" xr:uid="{00000000-0005-0000-0000-0000B70A0000}"/>
    <cellStyle name="Percent-Input" xfId="413" xr:uid="{00000000-0005-0000-0000-0000B80A0000}"/>
    <cellStyle name="Perinp" xfId="54" xr:uid="{00000000-0005-0000-0000-0000B90A0000}"/>
    <cellStyle name="price" xfId="511" xr:uid="{00000000-0005-0000-0000-0000BA0A0000}"/>
    <cellStyle name="q" xfId="512" xr:uid="{00000000-0005-0000-0000-0000BB0A0000}"/>
    <cellStyle name="QEPS-h" xfId="513" xr:uid="{00000000-0005-0000-0000-0000BC0A0000}"/>
    <cellStyle name="QEPS-H1" xfId="514" xr:uid="{00000000-0005-0000-0000-0000BD0A0000}"/>
    <cellStyle name="QEPS-H1 2" xfId="2116" xr:uid="{00000000-0005-0000-0000-0000BE0A0000}"/>
    <cellStyle name="qRange" xfId="515" xr:uid="{00000000-0005-0000-0000-0000BF0A0000}"/>
    <cellStyle name="range" xfId="516" xr:uid="{00000000-0005-0000-0000-0000C00A0000}"/>
    <cellStyle name="Ref Numbers" xfId="263" xr:uid="{00000000-0005-0000-0000-0000C10A0000}"/>
    <cellStyle name="Right" xfId="414" xr:uid="{00000000-0005-0000-0000-0000C20A0000}"/>
    <cellStyle name="RRSInstruction" xfId="530" xr:uid="{00000000-0005-0000-0000-0000C30A0000}"/>
    <cellStyle name="s_HardInc " xfId="55" xr:uid="{00000000-0005-0000-0000-0000C40A0000}"/>
    <cellStyle name="s_HardInc _RRST5" xfId="529" xr:uid="{00000000-0005-0000-0000-0000C50A0000}"/>
    <cellStyle name="s_Valuation " xfId="528" xr:uid="{00000000-0005-0000-0000-0000C60A0000}"/>
    <cellStyle name="s_Valuation  2" xfId="2120" xr:uid="{00000000-0005-0000-0000-0000C70A0000}"/>
    <cellStyle name="s_Valuation _RRST5" xfId="527" xr:uid="{00000000-0005-0000-0000-0000C80A0000}"/>
    <cellStyle name="s_Valuation _RRST5 2" xfId="2119" xr:uid="{00000000-0005-0000-0000-0000C90A0000}"/>
    <cellStyle name="SectionHeaderNormal" xfId="415" xr:uid="{00000000-0005-0000-0000-0000CA0A0000}"/>
    <cellStyle name="Shaded" xfId="416" xr:uid="{00000000-0005-0000-0000-0000CB0A0000}"/>
    <cellStyle name="Source Line" xfId="264" xr:uid="{00000000-0005-0000-0000-0000CC0A0000}"/>
    <cellStyle name="ssp " xfId="526" xr:uid="{00000000-0005-0000-0000-0000CD0A0000}"/>
    <cellStyle name="ssp  2" xfId="2118" xr:uid="{00000000-0005-0000-0000-0000CE0A0000}"/>
    <cellStyle name="Style 1" xfId="108" xr:uid="{00000000-0005-0000-0000-0000CF0A0000}"/>
    <cellStyle name="Style 1 2" xfId="265" xr:uid="{00000000-0005-0000-0000-0000D00A0000}"/>
    <cellStyle name="Style 1 3" xfId="266" xr:uid="{00000000-0005-0000-0000-0000D10A0000}"/>
    <cellStyle name="Style 1 4" xfId="525" xr:uid="{00000000-0005-0000-0000-0000D20A0000}"/>
    <cellStyle name="Style 1 4 2" xfId="665" xr:uid="{00000000-0005-0000-0000-0000D30A0000}"/>
    <cellStyle name="Style 1_Pivot_Table_Tips" xfId="267" xr:uid="{00000000-0005-0000-0000-0000D40A0000}"/>
    <cellStyle name="Style 2" xfId="524" xr:uid="{00000000-0005-0000-0000-0000D50A0000}"/>
    <cellStyle name="Style 2 2" xfId="664" xr:uid="{00000000-0005-0000-0000-0000D60A0000}"/>
    <cellStyle name="Style 21" xfId="268" xr:uid="{00000000-0005-0000-0000-0000D70A0000}"/>
    <cellStyle name="Style 21 2" xfId="714" xr:uid="{00000000-0005-0000-0000-0000D80A0000}"/>
    <cellStyle name="Style 21 2 2" xfId="970" xr:uid="{00000000-0005-0000-0000-0000D90A0000}"/>
    <cellStyle name="Style 21 2 2 2" xfId="1671" xr:uid="{00000000-0005-0000-0000-0000DA0A0000}"/>
    <cellStyle name="Style 21 2 2 2 2" xfId="3063" xr:uid="{00000000-0005-0000-0000-0000DB0A0000}"/>
    <cellStyle name="Style 21 2 2 3" xfId="1485" xr:uid="{00000000-0005-0000-0000-0000DC0A0000}"/>
    <cellStyle name="Style 21 2 2 3 2" xfId="2886" xr:uid="{00000000-0005-0000-0000-0000DD0A0000}"/>
    <cellStyle name="Style 21 2 2 4" xfId="1879" xr:uid="{00000000-0005-0000-0000-0000DE0A0000}"/>
    <cellStyle name="Style 21 2 2 4 2" xfId="3248" xr:uid="{00000000-0005-0000-0000-0000DF0A0000}"/>
    <cellStyle name="Style 21 2 2 5" xfId="1808" xr:uid="{00000000-0005-0000-0000-0000E00A0000}"/>
    <cellStyle name="Style 21 2 2 6" xfId="2439" xr:uid="{00000000-0005-0000-0000-0000E10A0000}"/>
    <cellStyle name="Style 21 2 3" xfId="1535" xr:uid="{00000000-0005-0000-0000-0000E20A0000}"/>
    <cellStyle name="Style 21 2 3 2" xfId="2931" xr:uid="{00000000-0005-0000-0000-0000E30A0000}"/>
    <cellStyle name="Style 21 2 4" xfId="1424" xr:uid="{00000000-0005-0000-0000-0000E40A0000}"/>
    <cellStyle name="Style 21 2 4 2" xfId="2844" xr:uid="{00000000-0005-0000-0000-0000E50A0000}"/>
    <cellStyle name="Style 21 2 5" xfId="1809" xr:uid="{00000000-0005-0000-0000-0000E60A0000}"/>
    <cellStyle name="Style 21 2 5 2" xfId="3186" xr:uid="{00000000-0005-0000-0000-0000E70A0000}"/>
    <cellStyle name="Style 21 2 6" xfId="1463" xr:uid="{00000000-0005-0000-0000-0000E80A0000}"/>
    <cellStyle name="Style 21 2 6 2" xfId="2870" xr:uid="{00000000-0005-0000-0000-0000E90A0000}"/>
    <cellStyle name="Style 21 2 7" xfId="1478" xr:uid="{00000000-0005-0000-0000-0000EA0A0000}"/>
    <cellStyle name="Style 21 2 8" xfId="2200" xr:uid="{00000000-0005-0000-0000-0000EB0A0000}"/>
    <cellStyle name="Style 21 3" xfId="852" xr:uid="{00000000-0005-0000-0000-0000EC0A0000}"/>
    <cellStyle name="Style 21 3 2" xfId="1609" xr:uid="{00000000-0005-0000-0000-0000ED0A0000}"/>
    <cellStyle name="Style 21 3 2 2" xfId="3002" xr:uid="{00000000-0005-0000-0000-0000EE0A0000}"/>
    <cellStyle name="Style 21 3 3" xfId="1353" xr:uid="{00000000-0005-0000-0000-0000EF0A0000}"/>
    <cellStyle name="Style 21 3 3 2" xfId="2787" xr:uid="{00000000-0005-0000-0000-0000F00A0000}"/>
    <cellStyle name="Style 21 3 4" xfId="1520" xr:uid="{00000000-0005-0000-0000-0000F10A0000}"/>
    <cellStyle name="Style 21 3 4 2" xfId="2916" xr:uid="{00000000-0005-0000-0000-0000F20A0000}"/>
    <cellStyle name="Style 21 3 5" xfId="1358" xr:uid="{00000000-0005-0000-0000-0000F30A0000}"/>
    <cellStyle name="Style 21 3 6" xfId="2325" xr:uid="{00000000-0005-0000-0000-0000F40A0000}"/>
    <cellStyle name="Style 21 4" xfId="1094" xr:uid="{00000000-0005-0000-0000-0000F50A0000}"/>
    <cellStyle name="Style 21 4 2" xfId="1748" xr:uid="{00000000-0005-0000-0000-0000F60A0000}"/>
    <cellStyle name="Style 21 4 2 2" xfId="3130" xr:uid="{00000000-0005-0000-0000-0000F70A0000}"/>
    <cellStyle name="Style 21 4 3" xfId="1690" xr:uid="{00000000-0005-0000-0000-0000F80A0000}"/>
    <cellStyle name="Style 21 4 3 2" xfId="3082" xr:uid="{00000000-0005-0000-0000-0000F90A0000}"/>
    <cellStyle name="Style 21 4 4" xfId="1615" xr:uid="{00000000-0005-0000-0000-0000FA0A0000}"/>
    <cellStyle name="Style 21 4 4 2" xfId="3008" xr:uid="{00000000-0005-0000-0000-0000FB0A0000}"/>
    <cellStyle name="Style 21 4 5" xfId="1593" xr:uid="{00000000-0005-0000-0000-0000FC0A0000}"/>
    <cellStyle name="Style 21 4 6" xfId="2553" xr:uid="{00000000-0005-0000-0000-0000FD0A0000}"/>
    <cellStyle name="Style 21 5" xfId="2068" xr:uid="{00000000-0005-0000-0000-0000FE0A0000}"/>
    <cellStyle name="Style 22" xfId="269" xr:uid="{00000000-0005-0000-0000-0000FF0A0000}"/>
    <cellStyle name="Style 22 2" xfId="715" xr:uid="{00000000-0005-0000-0000-0000000B0000}"/>
    <cellStyle name="Style 22 2 2" xfId="971" xr:uid="{00000000-0005-0000-0000-0000010B0000}"/>
    <cellStyle name="Style 22 2 2 2" xfId="1672" xr:uid="{00000000-0005-0000-0000-0000020B0000}"/>
    <cellStyle name="Style 22 2 2 2 2" xfId="3064" xr:uid="{00000000-0005-0000-0000-0000030B0000}"/>
    <cellStyle name="Style 22 2 2 3" xfId="1911" xr:uid="{00000000-0005-0000-0000-0000040B0000}"/>
    <cellStyle name="Style 22 2 2 3 2" xfId="3276" xr:uid="{00000000-0005-0000-0000-0000050B0000}"/>
    <cellStyle name="Style 22 2 2 4" xfId="1642" xr:uid="{00000000-0005-0000-0000-0000060B0000}"/>
    <cellStyle name="Style 22 2 2 4 2" xfId="3034" xr:uid="{00000000-0005-0000-0000-0000070B0000}"/>
    <cellStyle name="Style 22 2 2 5" xfId="1344" xr:uid="{00000000-0005-0000-0000-0000080B0000}"/>
    <cellStyle name="Style 22 2 2 6" xfId="2440" xr:uid="{00000000-0005-0000-0000-0000090B0000}"/>
    <cellStyle name="Style 22 2 3" xfId="1536" xr:uid="{00000000-0005-0000-0000-00000A0B0000}"/>
    <cellStyle name="Style 22 2 3 2" xfId="2932" xr:uid="{00000000-0005-0000-0000-00000B0B0000}"/>
    <cellStyle name="Style 22 2 4" xfId="1392" xr:uid="{00000000-0005-0000-0000-00000C0B0000}"/>
    <cellStyle name="Style 22 2 4 2" xfId="2816" xr:uid="{00000000-0005-0000-0000-00000D0B0000}"/>
    <cellStyle name="Style 22 2 5" xfId="1619" xr:uid="{00000000-0005-0000-0000-00000E0B0000}"/>
    <cellStyle name="Style 22 2 5 2" xfId="3011" xr:uid="{00000000-0005-0000-0000-00000F0B0000}"/>
    <cellStyle name="Style 22 2 6" xfId="1488" xr:uid="{00000000-0005-0000-0000-0000100B0000}"/>
    <cellStyle name="Style 22 2 6 2" xfId="2889" xr:uid="{00000000-0005-0000-0000-0000110B0000}"/>
    <cellStyle name="Style 22 2 7" xfId="1976" xr:uid="{00000000-0005-0000-0000-0000120B0000}"/>
    <cellStyle name="Style 22 2 8" xfId="2201" xr:uid="{00000000-0005-0000-0000-0000130B0000}"/>
    <cellStyle name="Style 22 3" xfId="853" xr:uid="{00000000-0005-0000-0000-0000140B0000}"/>
    <cellStyle name="Style 22 3 2" xfId="1610" xr:uid="{00000000-0005-0000-0000-0000150B0000}"/>
    <cellStyle name="Style 22 3 2 2" xfId="3003" xr:uid="{00000000-0005-0000-0000-0000160B0000}"/>
    <cellStyle name="Style 22 3 3" xfId="1545" xr:uid="{00000000-0005-0000-0000-0000170B0000}"/>
    <cellStyle name="Style 22 3 3 2" xfId="2941" xr:uid="{00000000-0005-0000-0000-0000180B0000}"/>
    <cellStyle name="Style 22 3 4" xfId="1393" xr:uid="{00000000-0005-0000-0000-0000190B0000}"/>
    <cellStyle name="Style 22 3 4 2" xfId="2817" xr:uid="{00000000-0005-0000-0000-00001A0B0000}"/>
    <cellStyle name="Style 22 3 5" xfId="1388" xr:uid="{00000000-0005-0000-0000-00001B0B0000}"/>
    <cellStyle name="Style 22 3 6" xfId="2326" xr:uid="{00000000-0005-0000-0000-00001C0B0000}"/>
    <cellStyle name="Style 22 4" xfId="1095" xr:uid="{00000000-0005-0000-0000-00001D0B0000}"/>
    <cellStyle name="Style 22 4 2" xfId="1749" xr:uid="{00000000-0005-0000-0000-00001E0B0000}"/>
    <cellStyle name="Style 22 4 2 2" xfId="3131" xr:uid="{00000000-0005-0000-0000-00001F0B0000}"/>
    <cellStyle name="Style 22 4 3" xfId="1670" xr:uid="{00000000-0005-0000-0000-0000200B0000}"/>
    <cellStyle name="Style 22 4 3 2" xfId="3062" xr:uid="{00000000-0005-0000-0000-0000210B0000}"/>
    <cellStyle name="Style 22 4 4" xfId="1565" xr:uid="{00000000-0005-0000-0000-0000220B0000}"/>
    <cellStyle name="Style 22 4 4 2" xfId="2961" xr:uid="{00000000-0005-0000-0000-0000230B0000}"/>
    <cellStyle name="Style 22 4 5" xfId="1783" xr:uid="{00000000-0005-0000-0000-0000240B0000}"/>
    <cellStyle name="Style 22 4 6" xfId="2554" xr:uid="{00000000-0005-0000-0000-0000250B0000}"/>
    <cellStyle name="Style 22 5" xfId="2069" xr:uid="{00000000-0005-0000-0000-0000260B0000}"/>
    <cellStyle name="Style 23" xfId="270" xr:uid="{00000000-0005-0000-0000-0000270B0000}"/>
    <cellStyle name="Style 23 2" xfId="716" xr:uid="{00000000-0005-0000-0000-0000280B0000}"/>
    <cellStyle name="Style 23 2 2" xfId="972" xr:uid="{00000000-0005-0000-0000-0000290B0000}"/>
    <cellStyle name="Style 23 2 2 2" xfId="1673" xr:uid="{00000000-0005-0000-0000-00002A0B0000}"/>
    <cellStyle name="Style 23 2 2 2 2" xfId="3065" xr:uid="{00000000-0005-0000-0000-00002B0B0000}"/>
    <cellStyle name="Style 23 2 2 3" xfId="1357" xr:uid="{00000000-0005-0000-0000-00002C0B0000}"/>
    <cellStyle name="Style 23 2 2 3 2" xfId="2791" xr:uid="{00000000-0005-0000-0000-00002D0B0000}"/>
    <cellStyle name="Style 23 2 2 4" xfId="1329" xr:uid="{00000000-0005-0000-0000-00002E0B0000}"/>
    <cellStyle name="Style 23 2 2 4 2" xfId="2769" xr:uid="{00000000-0005-0000-0000-00002F0B0000}"/>
    <cellStyle name="Style 23 2 2 5" xfId="1319" xr:uid="{00000000-0005-0000-0000-0000300B0000}"/>
    <cellStyle name="Style 23 2 2 6" xfId="2441" xr:uid="{00000000-0005-0000-0000-0000310B0000}"/>
    <cellStyle name="Style 23 2 3" xfId="1537" xr:uid="{00000000-0005-0000-0000-0000320B0000}"/>
    <cellStyle name="Style 23 2 3 2" xfId="2933" xr:uid="{00000000-0005-0000-0000-0000330B0000}"/>
    <cellStyle name="Style 23 2 4" xfId="1446" xr:uid="{00000000-0005-0000-0000-0000340B0000}"/>
    <cellStyle name="Style 23 2 4 2" xfId="2860" xr:uid="{00000000-0005-0000-0000-0000350B0000}"/>
    <cellStyle name="Style 23 2 5" xfId="1757" xr:uid="{00000000-0005-0000-0000-0000360B0000}"/>
    <cellStyle name="Style 23 2 5 2" xfId="3139" xr:uid="{00000000-0005-0000-0000-0000370B0000}"/>
    <cellStyle name="Style 23 2 6" xfId="1643" xr:uid="{00000000-0005-0000-0000-0000380B0000}"/>
    <cellStyle name="Style 23 2 6 2" xfId="3035" xr:uid="{00000000-0005-0000-0000-0000390B0000}"/>
    <cellStyle name="Style 23 2 7" xfId="1863" xr:uid="{00000000-0005-0000-0000-00003A0B0000}"/>
    <cellStyle name="Style 23 2 8" xfId="2202" xr:uid="{00000000-0005-0000-0000-00003B0B0000}"/>
    <cellStyle name="Style 23 3" xfId="854" xr:uid="{00000000-0005-0000-0000-00003C0B0000}"/>
    <cellStyle name="Style 23 3 2" xfId="1611" xr:uid="{00000000-0005-0000-0000-00003D0B0000}"/>
    <cellStyle name="Style 23 3 2 2" xfId="3004" xr:uid="{00000000-0005-0000-0000-00003E0B0000}"/>
    <cellStyle name="Style 23 3 3" xfId="1875" xr:uid="{00000000-0005-0000-0000-00003F0B0000}"/>
    <cellStyle name="Style 23 3 3 2" xfId="3245" xr:uid="{00000000-0005-0000-0000-0000400B0000}"/>
    <cellStyle name="Style 23 3 4" xfId="1931" xr:uid="{00000000-0005-0000-0000-0000410B0000}"/>
    <cellStyle name="Style 23 3 4 2" xfId="3294" xr:uid="{00000000-0005-0000-0000-0000420B0000}"/>
    <cellStyle name="Style 23 3 5" xfId="1953" xr:uid="{00000000-0005-0000-0000-0000430B0000}"/>
    <cellStyle name="Style 23 3 6" xfId="2327" xr:uid="{00000000-0005-0000-0000-0000440B0000}"/>
    <cellStyle name="Style 23 4" xfId="1096" xr:uid="{00000000-0005-0000-0000-0000450B0000}"/>
    <cellStyle name="Style 23 4 2" xfId="1750" xr:uid="{00000000-0005-0000-0000-0000460B0000}"/>
    <cellStyle name="Style 23 4 2 2" xfId="3132" xr:uid="{00000000-0005-0000-0000-0000470B0000}"/>
    <cellStyle name="Style 23 4 3" xfId="1804" xr:uid="{00000000-0005-0000-0000-0000480B0000}"/>
    <cellStyle name="Style 23 4 3 2" xfId="3182" xr:uid="{00000000-0005-0000-0000-0000490B0000}"/>
    <cellStyle name="Style 23 4 4" xfId="1797" xr:uid="{00000000-0005-0000-0000-00004A0B0000}"/>
    <cellStyle name="Style 23 4 4 2" xfId="3175" xr:uid="{00000000-0005-0000-0000-00004B0B0000}"/>
    <cellStyle name="Style 23 4 5" xfId="1495" xr:uid="{00000000-0005-0000-0000-00004C0B0000}"/>
    <cellStyle name="Style 23 4 6" xfId="2555" xr:uid="{00000000-0005-0000-0000-00004D0B0000}"/>
    <cellStyle name="Style 23 5" xfId="2070" xr:uid="{00000000-0005-0000-0000-00004E0B0000}"/>
    <cellStyle name="Style 24" xfId="271" xr:uid="{00000000-0005-0000-0000-00004F0B0000}"/>
    <cellStyle name="Style 24 2" xfId="717" xr:uid="{00000000-0005-0000-0000-0000500B0000}"/>
    <cellStyle name="Style 24 2 2" xfId="973" xr:uid="{00000000-0005-0000-0000-0000510B0000}"/>
    <cellStyle name="Style 24 2 2 2" xfId="1674" xr:uid="{00000000-0005-0000-0000-0000520B0000}"/>
    <cellStyle name="Style 24 2 2 2 2" xfId="3066" xr:uid="{00000000-0005-0000-0000-0000530B0000}"/>
    <cellStyle name="Style 24 2 2 3" xfId="1510" xr:uid="{00000000-0005-0000-0000-0000540B0000}"/>
    <cellStyle name="Style 24 2 2 3 2" xfId="2908" xr:uid="{00000000-0005-0000-0000-0000550B0000}"/>
    <cellStyle name="Style 24 2 2 4" xfId="1886" xr:uid="{00000000-0005-0000-0000-0000560B0000}"/>
    <cellStyle name="Style 24 2 2 4 2" xfId="3254" xr:uid="{00000000-0005-0000-0000-0000570B0000}"/>
    <cellStyle name="Style 24 2 2 5" xfId="1379" xr:uid="{00000000-0005-0000-0000-0000580B0000}"/>
    <cellStyle name="Style 24 2 2 6" xfId="2442" xr:uid="{00000000-0005-0000-0000-0000590B0000}"/>
    <cellStyle name="Style 24 2 3" xfId="1538" xr:uid="{00000000-0005-0000-0000-00005A0B0000}"/>
    <cellStyle name="Style 24 2 3 2" xfId="2934" xr:uid="{00000000-0005-0000-0000-00005B0B0000}"/>
    <cellStyle name="Style 24 2 4" xfId="1386" xr:uid="{00000000-0005-0000-0000-00005C0B0000}"/>
    <cellStyle name="Style 24 2 4 2" xfId="2812" xr:uid="{00000000-0005-0000-0000-00005D0B0000}"/>
    <cellStyle name="Style 24 2 5" xfId="1499" xr:uid="{00000000-0005-0000-0000-00005E0B0000}"/>
    <cellStyle name="Style 24 2 5 2" xfId="2897" xr:uid="{00000000-0005-0000-0000-00005F0B0000}"/>
    <cellStyle name="Style 24 2 6" xfId="1415" xr:uid="{00000000-0005-0000-0000-0000600B0000}"/>
    <cellStyle name="Style 24 2 6 2" xfId="2838" xr:uid="{00000000-0005-0000-0000-0000610B0000}"/>
    <cellStyle name="Style 24 2 7" xfId="1997" xr:uid="{00000000-0005-0000-0000-0000620B0000}"/>
    <cellStyle name="Style 24 2 8" xfId="2203" xr:uid="{00000000-0005-0000-0000-0000630B0000}"/>
    <cellStyle name="Style 24 3" xfId="855" xr:uid="{00000000-0005-0000-0000-0000640B0000}"/>
    <cellStyle name="Style 24 3 2" xfId="1612" xr:uid="{00000000-0005-0000-0000-0000650B0000}"/>
    <cellStyle name="Style 24 3 2 2" xfId="3005" xr:uid="{00000000-0005-0000-0000-0000660B0000}"/>
    <cellStyle name="Style 24 3 3" xfId="1304" xr:uid="{00000000-0005-0000-0000-0000670B0000}"/>
    <cellStyle name="Style 24 3 3 2" xfId="2750" xr:uid="{00000000-0005-0000-0000-0000680B0000}"/>
    <cellStyle name="Style 24 3 4" xfId="1719" xr:uid="{00000000-0005-0000-0000-0000690B0000}"/>
    <cellStyle name="Style 24 3 4 2" xfId="3106" xr:uid="{00000000-0005-0000-0000-00006A0B0000}"/>
    <cellStyle name="Style 24 3 5" xfId="1483" xr:uid="{00000000-0005-0000-0000-00006B0B0000}"/>
    <cellStyle name="Style 24 3 6" xfId="2328" xr:uid="{00000000-0005-0000-0000-00006C0B0000}"/>
    <cellStyle name="Style 24 4" xfId="1097" xr:uid="{00000000-0005-0000-0000-00006D0B0000}"/>
    <cellStyle name="Style 24 4 2" xfId="1751" xr:uid="{00000000-0005-0000-0000-00006E0B0000}"/>
    <cellStyle name="Style 24 4 2 2" xfId="3133" xr:uid="{00000000-0005-0000-0000-00006F0B0000}"/>
    <cellStyle name="Style 24 4 3" xfId="1556" xr:uid="{00000000-0005-0000-0000-0000700B0000}"/>
    <cellStyle name="Style 24 4 3 2" xfId="2952" xr:uid="{00000000-0005-0000-0000-0000710B0000}"/>
    <cellStyle name="Style 24 4 4" xfId="1372" xr:uid="{00000000-0005-0000-0000-0000720B0000}"/>
    <cellStyle name="Style 24 4 4 2" xfId="2801" xr:uid="{00000000-0005-0000-0000-0000730B0000}"/>
    <cellStyle name="Style 24 4 5" xfId="1452" xr:uid="{00000000-0005-0000-0000-0000740B0000}"/>
    <cellStyle name="Style 24 4 6" xfId="2556" xr:uid="{00000000-0005-0000-0000-0000750B0000}"/>
    <cellStyle name="Style 24 5" xfId="2071" xr:uid="{00000000-0005-0000-0000-0000760B0000}"/>
    <cellStyle name="Style 25" xfId="272" xr:uid="{00000000-0005-0000-0000-0000770B0000}"/>
    <cellStyle name="Style 25 2" xfId="718" xr:uid="{00000000-0005-0000-0000-0000780B0000}"/>
    <cellStyle name="Style 25 2 2" xfId="974" xr:uid="{00000000-0005-0000-0000-0000790B0000}"/>
    <cellStyle name="Style 25 2 2 2" xfId="1675" xr:uid="{00000000-0005-0000-0000-00007A0B0000}"/>
    <cellStyle name="Style 25 2 2 2 2" xfId="3067" xr:uid="{00000000-0005-0000-0000-00007B0B0000}"/>
    <cellStyle name="Style 25 2 2 3" xfId="1892" xr:uid="{00000000-0005-0000-0000-00007C0B0000}"/>
    <cellStyle name="Style 25 2 2 3 2" xfId="3259" xr:uid="{00000000-0005-0000-0000-00007D0B0000}"/>
    <cellStyle name="Style 25 2 2 4" xfId="1900" xr:uid="{00000000-0005-0000-0000-00007E0B0000}"/>
    <cellStyle name="Style 25 2 2 4 2" xfId="3267" xr:uid="{00000000-0005-0000-0000-00007F0B0000}"/>
    <cellStyle name="Style 25 2 2 5" xfId="1618" xr:uid="{00000000-0005-0000-0000-0000800B0000}"/>
    <cellStyle name="Style 25 2 2 6" xfId="2443" xr:uid="{00000000-0005-0000-0000-0000810B0000}"/>
    <cellStyle name="Style 25 2 3" xfId="1539" xr:uid="{00000000-0005-0000-0000-0000820B0000}"/>
    <cellStyle name="Style 25 2 3 2" xfId="2935" xr:uid="{00000000-0005-0000-0000-0000830B0000}"/>
    <cellStyle name="Style 25 2 4" xfId="1414" xr:uid="{00000000-0005-0000-0000-0000840B0000}"/>
    <cellStyle name="Style 25 2 4 2" xfId="2837" xr:uid="{00000000-0005-0000-0000-0000850B0000}"/>
    <cellStyle name="Style 25 2 5" xfId="1432" xr:uid="{00000000-0005-0000-0000-0000860B0000}"/>
    <cellStyle name="Style 25 2 5 2" xfId="2850" xr:uid="{00000000-0005-0000-0000-0000870B0000}"/>
    <cellStyle name="Style 25 2 6" xfId="1963" xr:uid="{00000000-0005-0000-0000-0000880B0000}"/>
    <cellStyle name="Style 25 2 6 2" xfId="3315" xr:uid="{00000000-0005-0000-0000-0000890B0000}"/>
    <cellStyle name="Style 25 2 7" xfId="1484" xr:uid="{00000000-0005-0000-0000-00008A0B0000}"/>
    <cellStyle name="Style 25 2 8" xfId="2204" xr:uid="{00000000-0005-0000-0000-00008B0B0000}"/>
    <cellStyle name="Style 25 3" xfId="856" xr:uid="{00000000-0005-0000-0000-00008C0B0000}"/>
    <cellStyle name="Style 25 3 2" xfId="1613" xr:uid="{00000000-0005-0000-0000-00008D0B0000}"/>
    <cellStyle name="Style 25 3 2 2" xfId="3006" xr:uid="{00000000-0005-0000-0000-00008E0B0000}"/>
    <cellStyle name="Style 25 3 3" xfId="1359" xr:uid="{00000000-0005-0000-0000-00008F0B0000}"/>
    <cellStyle name="Style 25 3 3 2" xfId="2792" xr:uid="{00000000-0005-0000-0000-0000900B0000}"/>
    <cellStyle name="Style 25 3 4" xfId="1489" xr:uid="{00000000-0005-0000-0000-0000910B0000}"/>
    <cellStyle name="Style 25 3 4 2" xfId="2890" xr:uid="{00000000-0005-0000-0000-0000920B0000}"/>
    <cellStyle name="Style 25 3 5" xfId="1795" xr:uid="{00000000-0005-0000-0000-0000930B0000}"/>
    <cellStyle name="Style 25 3 6" xfId="2329" xr:uid="{00000000-0005-0000-0000-0000940B0000}"/>
    <cellStyle name="Style 25 4" xfId="1098" xr:uid="{00000000-0005-0000-0000-0000950B0000}"/>
    <cellStyle name="Style 25 4 2" xfId="1752" xr:uid="{00000000-0005-0000-0000-0000960B0000}"/>
    <cellStyle name="Style 25 4 2 2" xfId="3134" xr:uid="{00000000-0005-0000-0000-0000970B0000}"/>
    <cellStyle name="Style 25 4 3" xfId="1608" xr:uid="{00000000-0005-0000-0000-0000980B0000}"/>
    <cellStyle name="Style 25 4 3 2" xfId="3001" xr:uid="{00000000-0005-0000-0000-0000990B0000}"/>
    <cellStyle name="Style 25 4 4" xfId="1365" xr:uid="{00000000-0005-0000-0000-00009A0B0000}"/>
    <cellStyle name="Style 25 4 4 2" xfId="2797" xr:uid="{00000000-0005-0000-0000-00009B0B0000}"/>
    <cellStyle name="Style 25 4 5" xfId="1467" xr:uid="{00000000-0005-0000-0000-00009C0B0000}"/>
    <cellStyle name="Style 25 4 6" xfId="2557" xr:uid="{00000000-0005-0000-0000-00009D0B0000}"/>
    <cellStyle name="Style 25 5" xfId="2072" xr:uid="{00000000-0005-0000-0000-00009E0B0000}"/>
    <cellStyle name="Style 26" xfId="273" xr:uid="{00000000-0005-0000-0000-00009F0B0000}"/>
    <cellStyle name="Style 26 2" xfId="719" xr:uid="{00000000-0005-0000-0000-0000A00B0000}"/>
    <cellStyle name="Style 26 2 2" xfId="975" xr:uid="{00000000-0005-0000-0000-0000A10B0000}"/>
    <cellStyle name="Style 26 2 2 2" xfId="1676" xr:uid="{00000000-0005-0000-0000-0000A20B0000}"/>
    <cellStyle name="Style 26 2 2 2 2" xfId="3068" xr:uid="{00000000-0005-0000-0000-0000A30B0000}"/>
    <cellStyle name="Style 26 2 2 3" xfId="1320" xr:uid="{00000000-0005-0000-0000-0000A40B0000}"/>
    <cellStyle name="Style 26 2 2 3 2" xfId="2761" xr:uid="{00000000-0005-0000-0000-0000A50B0000}"/>
    <cellStyle name="Style 26 2 2 4" xfId="1835" xr:uid="{00000000-0005-0000-0000-0000A60B0000}"/>
    <cellStyle name="Style 26 2 2 4 2" xfId="3211" xr:uid="{00000000-0005-0000-0000-0000A70B0000}"/>
    <cellStyle name="Style 26 2 2 5" xfId="1942" xr:uid="{00000000-0005-0000-0000-0000A80B0000}"/>
    <cellStyle name="Style 26 2 2 6" xfId="2444" xr:uid="{00000000-0005-0000-0000-0000A90B0000}"/>
    <cellStyle name="Style 26 2 3" xfId="1540" xr:uid="{00000000-0005-0000-0000-0000AA0B0000}"/>
    <cellStyle name="Style 26 2 3 2" xfId="2936" xr:uid="{00000000-0005-0000-0000-0000AB0B0000}"/>
    <cellStyle name="Style 26 2 4" xfId="1445" xr:uid="{00000000-0005-0000-0000-0000AC0B0000}"/>
    <cellStyle name="Style 26 2 4 2" xfId="2859" xr:uid="{00000000-0005-0000-0000-0000AD0B0000}"/>
    <cellStyle name="Style 26 2 5" xfId="1760" xr:uid="{00000000-0005-0000-0000-0000AE0B0000}"/>
    <cellStyle name="Style 26 2 5 2" xfId="3142" xr:uid="{00000000-0005-0000-0000-0000AF0B0000}"/>
    <cellStyle name="Style 26 2 6" xfId="1685" xr:uid="{00000000-0005-0000-0000-0000B00B0000}"/>
    <cellStyle name="Style 26 2 6 2" xfId="3077" xr:uid="{00000000-0005-0000-0000-0000B10B0000}"/>
    <cellStyle name="Style 26 2 7" xfId="1429" xr:uid="{00000000-0005-0000-0000-0000B20B0000}"/>
    <cellStyle name="Style 26 2 8" xfId="2205" xr:uid="{00000000-0005-0000-0000-0000B30B0000}"/>
    <cellStyle name="Style 26 3" xfId="857" xr:uid="{00000000-0005-0000-0000-0000B40B0000}"/>
    <cellStyle name="Style 26 3 2" xfId="1614" xr:uid="{00000000-0005-0000-0000-0000B50B0000}"/>
    <cellStyle name="Style 26 3 2 2" xfId="3007" xr:uid="{00000000-0005-0000-0000-0000B60B0000}"/>
    <cellStyle name="Style 26 3 3" xfId="1842" xr:uid="{00000000-0005-0000-0000-0000B70B0000}"/>
    <cellStyle name="Style 26 3 3 2" xfId="3218" xr:uid="{00000000-0005-0000-0000-0000B80B0000}"/>
    <cellStyle name="Style 26 3 4" xfId="1579" xr:uid="{00000000-0005-0000-0000-0000B90B0000}"/>
    <cellStyle name="Style 26 3 4 2" xfId="2974" xr:uid="{00000000-0005-0000-0000-0000BA0B0000}"/>
    <cellStyle name="Style 26 3 5" xfId="1313" xr:uid="{00000000-0005-0000-0000-0000BB0B0000}"/>
    <cellStyle name="Style 26 3 6" xfId="2330" xr:uid="{00000000-0005-0000-0000-0000BC0B0000}"/>
    <cellStyle name="Style 26 4" xfId="1099" xr:uid="{00000000-0005-0000-0000-0000BD0B0000}"/>
    <cellStyle name="Style 26 4 2" xfId="1753" xr:uid="{00000000-0005-0000-0000-0000BE0B0000}"/>
    <cellStyle name="Style 26 4 2 2" xfId="3135" xr:uid="{00000000-0005-0000-0000-0000BF0B0000}"/>
    <cellStyle name="Style 26 4 3" xfId="1787" xr:uid="{00000000-0005-0000-0000-0000C00B0000}"/>
    <cellStyle name="Style 26 4 3 2" xfId="3166" xr:uid="{00000000-0005-0000-0000-0000C10B0000}"/>
    <cellStyle name="Style 26 4 4" xfId="1655" xr:uid="{00000000-0005-0000-0000-0000C20B0000}"/>
    <cellStyle name="Style 26 4 4 2" xfId="3047" xr:uid="{00000000-0005-0000-0000-0000C30B0000}"/>
    <cellStyle name="Style 26 4 5" xfId="1888" xr:uid="{00000000-0005-0000-0000-0000C40B0000}"/>
    <cellStyle name="Style 26 4 6" xfId="2558" xr:uid="{00000000-0005-0000-0000-0000C50B0000}"/>
    <cellStyle name="Style 26 5" xfId="2073" xr:uid="{00000000-0005-0000-0000-0000C60B0000}"/>
    <cellStyle name="Style 27" xfId="318" xr:uid="{00000000-0005-0000-0000-0000C70B0000}"/>
    <cellStyle name="Style 28" xfId="319" xr:uid="{00000000-0005-0000-0000-0000C80B0000}"/>
    <cellStyle name="Style 29" xfId="320" xr:uid="{00000000-0005-0000-0000-0000C90B0000}"/>
    <cellStyle name="Style 30" xfId="321" xr:uid="{00000000-0005-0000-0000-0000CA0B0000}"/>
    <cellStyle name="Style 31" xfId="322" xr:uid="{00000000-0005-0000-0000-0000CB0B0000}"/>
    <cellStyle name="Style 32" xfId="323" xr:uid="{00000000-0005-0000-0000-0000CC0B0000}"/>
    <cellStyle name="Style 33" xfId="324" xr:uid="{00000000-0005-0000-0000-0000CD0B0000}"/>
    <cellStyle name="Style 34" xfId="325" xr:uid="{00000000-0005-0000-0000-0000CE0B0000}"/>
    <cellStyle name="Style 35" xfId="326" xr:uid="{00000000-0005-0000-0000-0000CF0B0000}"/>
    <cellStyle name="Style 36" xfId="327" xr:uid="{00000000-0005-0000-0000-0000D00B0000}"/>
    <cellStyle name="Style 39" xfId="328" xr:uid="{00000000-0005-0000-0000-0000D10B0000}"/>
    <cellStyle name="Style 39 2" xfId="2085" xr:uid="{00000000-0005-0000-0000-0000D20B0000}"/>
    <cellStyle name="SubScript" xfId="417" xr:uid="{00000000-0005-0000-0000-0000D30B0000}"/>
    <cellStyle name="SuperScript" xfId="418" xr:uid="{00000000-0005-0000-0000-0000D40B0000}"/>
    <cellStyle name="Table Heading" xfId="274" xr:uid="{00000000-0005-0000-0000-0000D50B0000}"/>
    <cellStyle name="tcn" xfId="517" xr:uid="{00000000-0005-0000-0000-0000D60B0000}"/>
    <cellStyle name="Text Wrap" xfId="419" xr:uid="{00000000-0005-0000-0000-0000D70B0000}"/>
    <cellStyle name="TextBold" xfId="420" xr:uid="{00000000-0005-0000-0000-0000D80B0000}"/>
    <cellStyle name="TextItalic" xfId="421" xr:uid="{00000000-0005-0000-0000-0000D90B0000}"/>
    <cellStyle name="TextNormal" xfId="422" xr:uid="{00000000-0005-0000-0000-0000DA0B0000}"/>
    <cellStyle name="Title" xfId="56" builtinId="15" customBuiltin="1"/>
    <cellStyle name="Title 2" xfId="163" xr:uid="{00000000-0005-0000-0000-0000DC0B0000}"/>
    <cellStyle name="Title 3" xfId="523" xr:uid="{00000000-0005-0000-0000-0000DD0B0000}"/>
    <cellStyle name="Title Line" xfId="275" xr:uid="{00000000-0005-0000-0000-0000DE0B0000}"/>
    <cellStyle name="title1" xfId="423" xr:uid="{00000000-0005-0000-0000-0000DF0B0000}"/>
    <cellStyle name="title2" xfId="424" xr:uid="{00000000-0005-0000-0000-0000E00B0000}"/>
    <cellStyle name="TitleNormal" xfId="425" xr:uid="{00000000-0005-0000-0000-0000E10B0000}"/>
    <cellStyle name="tn" xfId="518" xr:uid="{00000000-0005-0000-0000-0000E20B0000}"/>
    <cellStyle name="top" xfId="426" xr:uid="{00000000-0005-0000-0000-0000E30B0000}"/>
    <cellStyle name="Top Row" xfId="276" xr:uid="{00000000-0005-0000-0000-0000E40B0000}"/>
    <cellStyle name="Top Row 2" xfId="277" xr:uid="{00000000-0005-0000-0000-0000E50B0000}"/>
    <cellStyle name="Top Row 2 2" xfId="721" xr:uid="{00000000-0005-0000-0000-0000E60B0000}"/>
    <cellStyle name="Top Row 2 2 2" xfId="2207" xr:uid="{00000000-0005-0000-0000-0000E70B0000}"/>
    <cellStyle name="Top Row 2 3" xfId="2075" xr:uid="{00000000-0005-0000-0000-0000E80B0000}"/>
    <cellStyle name="Top Row 3" xfId="278" xr:uid="{00000000-0005-0000-0000-0000E90B0000}"/>
    <cellStyle name="Top Row 3 2" xfId="722" xr:uid="{00000000-0005-0000-0000-0000EA0B0000}"/>
    <cellStyle name="Top Row 3 2 2" xfId="2208" xr:uid="{00000000-0005-0000-0000-0000EB0B0000}"/>
    <cellStyle name="Top Row 3 3" xfId="2076" xr:uid="{00000000-0005-0000-0000-0000EC0B0000}"/>
    <cellStyle name="Top Row 4" xfId="469" xr:uid="{00000000-0005-0000-0000-0000ED0B0000}"/>
    <cellStyle name="Top Row 4 2" xfId="657" xr:uid="{00000000-0005-0000-0000-0000EE0B0000}"/>
    <cellStyle name="Top Row 4 2 2" xfId="815" xr:uid="{00000000-0005-0000-0000-0000EF0B0000}"/>
    <cellStyle name="Top Row 4 2 2 2" xfId="2292" xr:uid="{00000000-0005-0000-0000-0000F00B0000}"/>
    <cellStyle name="Top Row 4 2 3" xfId="839" xr:uid="{00000000-0005-0000-0000-0000F10B0000}"/>
    <cellStyle name="Top Row 4 2 3 2" xfId="1300" xr:uid="{00000000-0005-0000-0000-0000F20B0000}"/>
    <cellStyle name="Top Row 4 2 3 2 2" xfId="1848" xr:uid="{00000000-0005-0000-0000-0000F30B0000}"/>
    <cellStyle name="Top Row 4 2 3 2 2 2" xfId="3224" xr:uid="{00000000-0005-0000-0000-0000F40B0000}"/>
    <cellStyle name="Top Row 4 2 3 2 3" xfId="1970" xr:uid="{00000000-0005-0000-0000-0000F50B0000}"/>
    <cellStyle name="Top Row 4 2 3 2 3 2" xfId="3322" xr:uid="{00000000-0005-0000-0000-0000F60B0000}"/>
    <cellStyle name="Top Row 4 2 3 2 4" xfId="2015" xr:uid="{00000000-0005-0000-0000-0000F70B0000}"/>
    <cellStyle name="Top Row 4 2 3 2 4 2" xfId="3360" xr:uid="{00000000-0005-0000-0000-0000F80B0000}"/>
    <cellStyle name="Top Row 4 2 3 2 5" xfId="2039" xr:uid="{00000000-0005-0000-0000-0000F90B0000}"/>
    <cellStyle name="Top Row 4 2 3 2 5 2" xfId="3374" xr:uid="{00000000-0005-0000-0000-0000FA0B0000}"/>
    <cellStyle name="Top Row 4 2 3 2 6" xfId="2746" xr:uid="{00000000-0005-0000-0000-0000FB0B0000}"/>
    <cellStyle name="Top Row 4 2 3 3" xfId="1600" xr:uid="{00000000-0005-0000-0000-0000FC0B0000}"/>
    <cellStyle name="Top Row 4 2 3 3 2" xfId="2993" xr:uid="{00000000-0005-0000-0000-0000FD0B0000}"/>
    <cellStyle name="Top Row 4 2 3 4" xfId="1680" xr:uid="{00000000-0005-0000-0000-0000FE0B0000}"/>
    <cellStyle name="Top Row 4 2 3 4 2" xfId="3072" xr:uid="{00000000-0005-0000-0000-0000FF0B0000}"/>
    <cellStyle name="Top Row 4 2 3 5" xfId="1469" xr:uid="{00000000-0005-0000-0000-0000000C0000}"/>
    <cellStyle name="Top Row 4 2 3 5 2" xfId="2873" xr:uid="{00000000-0005-0000-0000-0000010C0000}"/>
    <cellStyle name="Top Row 4 2 3 6" xfId="1522" xr:uid="{00000000-0005-0000-0000-0000020C0000}"/>
    <cellStyle name="Top Row 4 2 3 6 2" xfId="2918" xr:uid="{00000000-0005-0000-0000-0000030C0000}"/>
    <cellStyle name="Top Row 4 2 3 7" xfId="2313" xr:uid="{00000000-0005-0000-0000-0000040C0000}"/>
    <cellStyle name="Top Row 4 2 4" xfId="935" xr:uid="{00000000-0005-0000-0000-0000050C0000}"/>
    <cellStyle name="Top Row 4 2 4 2" xfId="1647" xr:uid="{00000000-0005-0000-0000-0000060C0000}"/>
    <cellStyle name="Top Row 4 2 4 2 2" xfId="3039" xr:uid="{00000000-0005-0000-0000-0000070C0000}"/>
    <cellStyle name="Top Row 4 2 4 3" xfId="1805" xr:uid="{00000000-0005-0000-0000-0000080C0000}"/>
    <cellStyle name="Top Row 4 2 4 3 2" xfId="3183" xr:uid="{00000000-0005-0000-0000-0000090C0000}"/>
    <cellStyle name="Top Row 4 2 4 4" xfId="1360" xr:uid="{00000000-0005-0000-0000-00000A0C0000}"/>
    <cellStyle name="Top Row 4 2 4 4 2" xfId="2793" xr:uid="{00000000-0005-0000-0000-00000B0C0000}"/>
    <cellStyle name="Top Row 4 2 4 5" xfId="2002" xr:uid="{00000000-0005-0000-0000-00000C0C0000}"/>
    <cellStyle name="Top Row 4 2 4 5 2" xfId="3349" xr:uid="{00000000-0005-0000-0000-00000D0C0000}"/>
    <cellStyle name="Top Row 4 2 4 6" xfId="2408" xr:uid="{00000000-0005-0000-0000-00000E0C0000}"/>
    <cellStyle name="Top Row 4 2 5" xfId="1504" xr:uid="{00000000-0005-0000-0000-00000F0C0000}"/>
    <cellStyle name="Top Row 4 2 5 2" xfId="2902" xr:uid="{00000000-0005-0000-0000-0000100C0000}"/>
    <cellStyle name="Top Row 4 2 6" xfId="1653" xr:uid="{00000000-0005-0000-0000-0000110C0000}"/>
    <cellStyle name="Top Row 4 2 6 2" xfId="3045" xr:uid="{00000000-0005-0000-0000-0000120C0000}"/>
    <cellStyle name="Top Row 4 2 7" xfId="1466" xr:uid="{00000000-0005-0000-0000-0000130C0000}"/>
    <cellStyle name="Top Row 4 2 7 2" xfId="2871" xr:uid="{00000000-0005-0000-0000-0000140C0000}"/>
    <cellStyle name="Top Row 4 2 8" xfId="1396" xr:uid="{00000000-0005-0000-0000-0000150C0000}"/>
    <cellStyle name="Top Row 4 2 8 2" xfId="2820" xr:uid="{00000000-0005-0000-0000-0000160C0000}"/>
    <cellStyle name="Top Row 4 2 9" xfId="1322" xr:uid="{00000000-0005-0000-0000-0000170C0000}"/>
    <cellStyle name="Top Row 4 2 9 2" xfId="2763" xr:uid="{00000000-0005-0000-0000-0000180C0000}"/>
    <cellStyle name="Top Row 4 3" xfId="754" xr:uid="{00000000-0005-0000-0000-0000190C0000}"/>
    <cellStyle name="Top Row 4 3 2" xfId="2236" xr:uid="{00000000-0005-0000-0000-00001A0C0000}"/>
    <cellStyle name="Top Row 4 4" xfId="1127" xr:uid="{00000000-0005-0000-0000-00001B0C0000}"/>
    <cellStyle name="Top Row 4 4 2" xfId="1765" xr:uid="{00000000-0005-0000-0000-00001C0C0000}"/>
    <cellStyle name="Top Row 4 4 2 2" xfId="3147" xr:uid="{00000000-0005-0000-0000-00001D0C0000}"/>
    <cellStyle name="Top Row 4 4 3" xfId="1382" xr:uid="{00000000-0005-0000-0000-00001E0C0000}"/>
    <cellStyle name="Top Row 4 4 3 2" xfId="2808" xr:uid="{00000000-0005-0000-0000-00001F0C0000}"/>
    <cellStyle name="Top Row 4 4 4" xfId="1971" xr:uid="{00000000-0005-0000-0000-0000200C0000}"/>
    <cellStyle name="Top Row 4 4 4 2" xfId="3323" xr:uid="{00000000-0005-0000-0000-0000210C0000}"/>
    <cellStyle name="Top Row 4 4 5" xfId="1718" xr:uid="{00000000-0005-0000-0000-0000220C0000}"/>
    <cellStyle name="Top Row 4 4 5 2" xfId="3105" xr:uid="{00000000-0005-0000-0000-0000230C0000}"/>
    <cellStyle name="Top Row 4 4 6" xfId="2586" xr:uid="{00000000-0005-0000-0000-0000240C0000}"/>
    <cellStyle name="Top Row 4 5" xfId="1436" xr:uid="{00000000-0005-0000-0000-0000250C0000}"/>
    <cellStyle name="Top Row 4 5 2" xfId="2854" xr:uid="{00000000-0005-0000-0000-0000260C0000}"/>
    <cellStyle name="Top Row 4 6" xfId="1591" xr:uid="{00000000-0005-0000-0000-0000270C0000}"/>
    <cellStyle name="Top Row 4 6 2" xfId="2986" xr:uid="{00000000-0005-0000-0000-0000280C0000}"/>
    <cellStyle name="Top Row 4 7" xfId="1983" xr:uid="{00000000-0005-0000-0000-0000290C0000}"/>
    <cellStyle name="Top Row 4 7 2" xfId="3334" xr:uid="{00000000-0005-0000-0000-00002A0C0000}"/>
    <cellStyle name="Top Row 5" xfId="720" xr:uid="{00000000-0005-0000-0000-00002B0C0000}"/>
    <cellStyle name="Top Row 5 2" xfId="2206" xr:uid="{00000000-0005-0000-0000-00002C0C0000}"/>
    <cellStyle name="Top Row 6" xfId="2074" xr:uid="{00000000-0005-0000-0000-00002D0C0000}"/>
    <cellStyle name="Top Row_10794" xfId="279" xr:uid="{00000000-0005-0000-0000-00002E0C0000}"/>
    <cellStyle name="top-title" xfId="427" xr:uid="{00000000-0005-0000-0000-00002F0C0000}"/>
    <cellStyle name="Total" xfId="57" builtinId="25" customBuiltin="1"/>
    <cellStyle name="Total 2" xfId="164" xr:uid="{00000000-0005-0000-0000-0000310C0000}"/>
    <cellStyle name="Total 2 2" xfId="705" xr:uid="{00000000-0005-0000-0000-0000320C0000}"/>
    <cellStyle name="Total 2 2 2" xfId="961" xr:uid="{00000000-0005-0000-0000-0000330C0000}"/>
    <cellStyle name="Total 2 2 2 2" xfId="1663" xr:uid="{00000000-0005-0000-0000-0000340C0000}"/>
    <cellStyle name="Total 2 2 2 2 2" xfId="3055" xr:uid="{00000000-0005-0000-0000-0000350C0000}"/>
    <cellStyle name="Total 2 2 2 3" xfId="1622" xr:uid="{00000000-0005-0000-0000-0000360C0000}"/>
    <cellStyle name="Total 2 2 2 3 2" xfId="3014" xr:uid="{00000000-0005-0000-0000-0000370C0000}"/>
    <cellStyle name="Total 2 2 2 4" xfId="1869" xr:uid="{00000000-0005-0000-0000-0000380C0000}"/>
    <cellStyle name="Total 2 2 2 4 2" xfId="3241" xr:uid="{00000000-0005-0000-0000-0000390C0000}"/>
    <cellStyle name="Total 2 2 2 5" xfId="1459" xr:uid="{00000000-0005-0000-0000-00003A0C0000}"/>
    <cellStyle name="Total 2 2 2 6" xfId="2431" xr:uid="{00000000-0005-0000-0000-00003B0C0000}"/>
    <cellStyle name="Total 2 2 3" xfId="1529" xr:uid="{00000000-0005-0000-0000-00003C0C0000}"/>
    <cellStyle name="Total 2 2 3 2" xfId="2925" xr:uid="{00000000-0005-0000-0000-00003D0C0000}"/>
    <cellStyle name="Total 2 2 4" xfId="1557" xr:uid="{00000000-0005-0000-0000-00003E0C0000}"/>
    <cellStyle name="Total 2 2 4 2" xfId="2953" xr:uid="{00000000-0005-0000-0000-00003F0C0000}"/>
    <cellStyle name="Total 2 2 5" xfId="1820" xr:uid="{00000000-0005-0000-0000-0000400C0000}"/>
    <cellStyle name="Total 2 2 5 2" xfId="3197" xr:uid="{00000000-0005-0000-0000-0000410C0000}"/>
    <cellStyle name="Total 2 2 6" xfId="1717" xr:uid="{00000000-0005-0000-0000-0000420C0000}"/>
    <cellStyle name="Total 2 2 6 2" xfId="3104" xr:uid="{00000000-0005-0000-0000-0000430C0000}"/>
    <cellStyle name="Total 2 2 7" xfId="2009" xr:uid="{00000000-0005-0000-0000-0000440C0000}"/>
    <cellStyle name="Total 2 2 8" xfId="2192" xr:uid="{00000000-0005-0000-0000-0000450C0000}"/>
    <cellStyle name="Total 2 3" xfId="846" xr:uid="{00000000-0005-0000-0000-0000460C0000}"/>
    <cellStyle name="Total 2 3 2" xfId="1606" xr:uid="{00000000-0005-0000-0000-0000470C0000}"/>
    <cellStyle name="Total 2 3 2 2" xfId="2999" xr:uid="{00000000-0005-0000-0000-0000480C0000}"/>
    <cellStyle name="Total 2 3 3" xfId="1678" xr:uid="{00000000-0005-0000-0000-0000490C0000}"/>
    <cellStyle name="Total 2 3 3 2" xfId="3070" xr:uid="{00000000-0005-0000-0000-00004A0C0000}"/>
    <cellStyle name="Total 2 3 4" xfId="1641" xr:uid="{00000000-0005-0000-0000-00004B0C0000}"/>
    <cellStyle name="Total 2 3 4 2" xfId="3033" xr:uid="{00000000-0005-0000-0000-00004C0C0000}"/>
    <cellStyle name="Total 2 3 5" xfId="1782" xr:uid="{00000000-0005-0000-0000-00004D0C0000}"/>
    <cellStyle name="Total 2 3 6" xfId="2319" xr:uid="{00000000-0005-0000-0000-00004E0C0000}"/>
    <cellStyle name="Total 2 4" xfId="1088" xr:uid="{00000000-0005-0000-0000-00004F0C0000}"/>
    <cellStyle name="Total 2 4 2" xfId="1745" xr:uid="{00000000-0005-0000-0000-0000500C0000}"/>
    <cellStyle name="Total 2 4 2 2" xfId="3127" xr:uid="{00000000-0005-0000-0000-0000510C0000}"/>
    <cellStyle name="Total 2 4 3" xfId="1830" xr:uid="{00000000-0005-0000-0000-0000520C0000}"/>
    <cellStyle name="Total 2 4 3 2" xfId="3206" xr:uid="{00000000-0005-0000-0000-0000530C0000}"/>
    <cellStyle name="Total 2 4 4" xfId="1896" xr:uid="{00000000-0005-0000-0000-0000540C0000}"/>
    <cellStyle name="Total 2 4 4 2" xfId="3263" xr:uid="{00000000-0005-0000-0000-0000550C0000}"/>
    <cellStyle name="Total 2 4 5" xfId="1954" xr:uid="{00000000-0005-0000-0000-0000560C0000}"/>
    <cellStyle name="Total 2 4 6" xfId="2547" xr:uid="{00000000-0005-0000-0000-0000570C0000}"/>
    <cellStyle name="Total 2 5" xfId="2060" xr:uid="{00000000-0005-0000-0000-0000580C0000}"/>
    <cellStyle name="Total 3" xfId="428" xr:uid="{00000000-0005-0000-0000-0000590C0000}"/>
    <cellStyle name="Total 4" xfId="521" xr:uid="{00000000-0005-0000-0000-00005A0C0000}"/>
    <cellStyle name="Total 4 2" xfId="662" xr:uid="{00000000-0005-0000-0000-00005B0C0000}"/>
    <cellStyle name="Total 4 2 2" xfId="840" xr:uid="{00000000-0005-0000-0000-00005C0C0000}"/>
    <cellStyle name="Total 4 2 2 2" xfId="1082" xr:uid="{00000000-0005-0000-0000-00005D0C0000}"/>
    <cellStyle name="Total 4 2 2 2 2" xfId="1740" xr:uid="{00000000-0005-0000-0000-00005E0C0000}"/>
    <cellStyle name="Total 4 2 2 2 2 2" xfId="3122" xr:uid="{00000000-0005-0000-0000-00005F0C0000}"/>
    <cellStyle name="Total 4 2 2 2 3" xfId="1516" xr:uid="{00000000-0005-0000-0000-0000600C0000}"/>
    <cellStyle name="Total 4 2 2 2 3 2" xfId="2912" xr:uid="{00000000-0005-0000-0000-0000610C0000}"/>
    <cellStyle name="Total 4 2 2 2 4" xfId="1346" xr:uid="{00000000-0005-0000-0000-0000620C0000}"/>
    <cellStyle name="Total 4 2 2 2 4 2" xfId="2780" xr:uid="{00000000-0005-0000-0000-0000630C0000}"/>
    <cellStyle name="Total 4 2 2 2 5" xfId="1944" xr:uid="{00000000-0005-0000-0000-0000640C0000}"/>
    <cellStyle name="Total 4 2 2 3" xfId="1601" xr:uid="{00000000-0005-0000-0000-0000650C0000}"/>
    <cellStyle name="Total 4 2 2 3 2" xfId="2994" xr:uid="{00000000-0005-0000-0000-0000660C0000}"/>
    <cellStyle name="Total 4 2 2 4" xfId="1794" xr:uid="{00000000-0005-0000-0000-0000670C0000}"/>
    <cellStyle name="Total 4 2 2 4 2" xfId="3173" xr:uid="{00000000-0005-0000-0000-0000680C0000}"/>
    <cellStyle name="Total 4 2 2 5" xfId="1621" xr:uid="{00000000-0005-0000-0000-0000690C0000}"/>
    <cellStyle name="Total 4 2 2 5 2" xfId="3013" xr:uid="{00000000-0005-0000-0000-00006A0C0000}"/>
    <cellStyle name="Total 4 2 2 6" xfId="1798" xr:uid="{00000000-0005-0000-0000-00006B0C0000}"/>
    <cellStyle name="Total 4 2 2 6 2" xfId="3176" xr:uid="{00000000-0005-0000-0000-00006C0C0000}"/>
    <cellStyle name="Total 4 2 2 7" xfId="1511" xr:uid="{00000000-0005-0000-0000-00006D0C0000}"/>
    <cellStyle name="Total 4 2 3" xfId="940" xr:uid="{00000000-0005-0000-0000-00006E0C0000}"/>
    <cellStyle name="Total 4 2 3 2" xfId="1650" xr:uid="{00000000-0005-0000-0000-00006F0C0000}"/>
    <cellStyle name="Total 4 2 3 2 2" xfId="3042" xr:uid="{00000000-0005-0000-0000-0000700C0000}"/>
    <cellStyle name="Total 4 2 3 3" xfId="1303" xr:uid="{00000000-0005-0000-0000-0000710C0000}"/>
    <cellStyle name="Total 4 2 3 3 2" xfId="2749" xr:uid="{00000000-0005-0000-0000-0000720C0000}"/>
    <cellStyle name="Total 4 2 3 4" xfId="1371" xr:uid="{00000000-0005-0000-0000-0000730C0000}"/>
    <cellStyle name="Total 4 2 3 4 2" xfId="2800" xr:uid="{00000000-0005-0000-0000-0000740C0000}"/>
    <cellStyle name="Total 4 2 3 5" xfId="1882" xr:uid="{00000000-0005-0000-0000-0000750C0000}"/>
    <cellStyle name="Total 4 2 4" xfId="1507" xr:uid="{00000000-0005-0000-0000-0000760C0000}"/>
    <cellStyle name="Total 4 2 4 2" xfId="2905" xr:uid="{00000000-0005-0000-0000-0000770C0000}"/>
    <cellStyle name="Total 4 2 5" xfId="1480" xr:uid="{00000000-0005-0000-0000-0000780C0000}"/>
    <cellStyle name="Total 4 2 5 2" xfId="2883" xr:uid="{00000000-0005-0000-0000-0000790C0000}"/>
    <cellStyle name="Total 4 2 6" xfId="1602" xr:uid="{00000000-0005-0000-0000-00007A0C0000}"/>
    <cellStyle name="Total 4 2 6 2" xfId="2995" xr:uid="{00000000-0005-0000-0000-00007B0C0000}"/>
    <cellStyle name="Total 4 2 7" xfId="1400" xr:uid="{00000000-0005-0000-0000-00007C0C0000}"/>
    <cellStyle name="Total 4 2 7 2" xfId="2824" xr:uid="{00000000-0005-0000-0000-00007D0C0000}"/>
    <cellStyle name="Total 4 2 8" xfId="1375" xr:uid="{00000000-0005-0000-0000-00007E0C0000}"/>
    <cellStyle name="Total 4 3" xfId="1132" xr:uid="{00000000-0005-0000-0000-00007F0C0000}"/>
    <cellStyle name="Total 4 3 2" xfId="1767" xr:uid="{00000000-0005-0000-0000-0000800C0000}"/>
    <cellStyle name="Total 4 3 2 2" xfId="3149" xr:uid="{00000000-0005-0000-0000-0000810C0000}"/>
    <cellStyle name="Total 4 3 3" xfId="1308" xr:uid="{00000000-0005-0000-0000-0000820C0000}"/>
    <cellStyle name="Total 4 3 3 2" xfId="2751" xr:uid="{00000000-0005-0000-0000-0000830C0000}"/>
    <cellStyle name="Total 4 3 4" xfId="1972" xr:uid="{00000000-0005-0000-0000-0000840C0000}"/>
    <cellStyle name="Total 4 3 4 2" xfId="3324" xr:uid="{00000000-0005-0000-0000-0000850C0000}"/>
    <cellStyle name="Total 4 3 5" xfId="2016" xr:uid="{00000000-0005-0000-0000-0000860C0000}"/>
    <cellStyle name="Total 4 4" xfId="1454" xr:uid="{00000000-0005-0000-0000-0000870C0000}"/>
    <cellStyle name="Total 4 4 2" xfId="2864" xr:uid="{00000000-0005-0000-0000-0000880C0000}"/>
    <cellStyle name="Total 4 5" xfId="1790" xr:uid="{00000000-0005-0000-0000-0000890C0000}"/>
    <cellStyle name="Total 4 5 2" xfId="3169" xr:uid="{00000000-0005-0000-0000-00008A0C0000}"/>
    <cellStyle name="Total 4 6" xfId="1862" xr:uid="{00000000-0005-0000-0000-00008B0C0000}"/>
    <cellStyle name="Total 4 6 2" xfId="3235" xr:uid="{00000000-0005-0000-0000-00008C0C0000}"/>
    <cellStyle name="Total 5" xfId="2046" xr:uid="{00000000-0005-0000-0000-00008D0C0000}"/>
    <cellStyle name="Total Row" xfId="280" xr:uid="{00000000-0005-0000-0000-00008E0C0000}"/>
    <cellStyle name="Total Row 2" xfId="519" xr:uid="{00000000-0005-0000-0000-00008F0C0000}"/>
    <cellStyle name="Total Row 2 2" xfId="2117" xr:uid="{00000000-0005-0000-0000-0000900C0000}"/>
    <cellStyle name="Total Row 3" xfId="1370" xr:uid="{00000000-0005-0000-0000-0000910C0000}"/>
    <cellStyle name="Total Row 4" xfId="2077" xr:uid="{00000000-0005-0000-0000-0000920C0000}"/>
    <cellStyle name="TrainingTheStreet" xfId="58" xr:uid="{00000000-0005-0000-0000-0000930C0000}"/>
    <cellStyle name="TTS" xfId="59" xr:uid="{00000000-0005-0000-0000-0000940C0000}"/>
    <cellStyle name="TTS 2" xfId="2047" xr:uid="{00000000-0005-0000-0000-0000950C0000}"/>
    <cellStyle name="Unprot" xfId="429" xr:uid="{00000000-0005-0000-0000-0000960C0000}"/>
    <cellStyle name="Unprot$" xfId="430" xr:uid="{00000000-0005-0000-0000-0000970C0000}"/>
    <cellStyle name="Unprotect" xfId="431" xr:uid="{00000000-0005-0000-0000-0000980C0000}"/>
    <cellStyle name="Unprotect 2" xfId="653" xr:uid="{00000000-0005-0000-0000-0000990C0000}"/>
    <cellStyle name="Unprotect 2 2" xfId="811" xr:uid="{00000000-0005-0000-0000-00009A0C0000}"/>
    <cellStyle name="Unprotect 2 2 2" xfId="1057" xr:uid="{00000000-0005-0000-0000-00009B0C0000}"/>
    <cellStyle name="Unprotect 2 2 2 2" xfId="1726" xr:uid="{00000000-0005-0000-0000-00009C0C0000}"/>
    <cellStyle name="Unprotect 2 2 2 2 2" xfId="3111" xr:uid="{00000000-0005-0000-0000-00009D0C0000}"/>
    <cellStyle name="Unprotect 2 2 2 3" xfId="1394" xr:uid="{00000000-0005-0000-0000-00009E0C0000}"/>
    <cellStyle name="Unprotect 2 2 2 3 2" xfId="2818" xr:uid="{00000000-0005-0000-0000-00009F0C0000}"/>
    <cellStyle name="Unprotect 2 2 2 4" xfId="1821" xr:uid="{00000000-0005-0000-0000-0000A00C0000}"/>
    <cellStyle name="Unprotect 2 2 2 4 2" xfId="3198" xr:uid="{00000000-0005-0000-0000-0000A10C0000}"/>
    <cellStyle name="Unprotect 2 2 2 5" xfId="1410" xr:uid="{00000000-0005-0000-0000-0000A20C0000}"/>
    <cellStyle name="Unprotect 2 2 2 5 2" xfId="2833" xr:uid="{00000000-0005-0000-0000-0000A30C0000}"/>
    <cellStyle name="Unprotect 2 2 2 6" xfId="1635" xr:uid="{00000000-0005-0000-0000-0000A40C0000}"/>
    <cellStyle name="Unprotect 2 2 2 6 2" xfId="3027" xr:uid="{00000000-0005-0000-0000-0000A50C0000}"/>
    <cellStyle name="Unprotect 2 2 3" xfId="1276" xr:uid="{00000000-0005-0000-0000-0000A60C0000}"/>
    <cellStyle name="Unprotect 2 2 3 2" xfId="1839" xr:uid="{00000000-0005-0000-0000-0000A70C0000}"/>
    <cellStyle name="Unprotect 2 2 3 2 2" xfId="3215" xr:uid="{00000000-0005-0000-0000-0000A80C0000}"/>
    <cellStyle name="Unprotect 2 2 3 3" xfId="1927" xr:uid="{00000000-0005-0000-0000-0000A90C0000}"/>
    <cellStyle name="Unprotect 2 2 3 3 2" xfId="3290" xr:uid="{00000000-0005-0000-0000-0000AA0C0000}"/>
    <cellStyle name="Unprotect 2 2 3 4" xfId="1962" xr:uid="{00000000-0005-0000-0000-0000AB0C0000}"/>
    <cellStyle name="Unprotect 2 2 3 4 2" xfId="3314" xr:uid="{00000000-0005-0000-0000-0000AC0C0000}"/>
    <cellStyle name="Unprotect 2 2 3 5" xfId="2006" xr:uid="{00000000-0005-0000-0000-0000AD0C0000}"/>
    <cellStyle name="Unprotect 2 2 3 5 2" xfId="3353" xr:uid="{00000000-0005-0000-0000-0000AE0C0000}"/>
    <cellStyle name="Unprotect 2 2 3 6" xfId="2034" xr:uid="{00000000-0005-0000-0000-0000AF0C0000}"/>
    <cellStyle name="Unprotect 2 2 3 6 2" xfId="3369" xr:uid="{00000000-0005-0000-0000-0000B00C0000}"/>
    <cellStyle name="Unprotect 2 2 4" xfId="1585" xr:uid="{00000000-0005-0000-0000-0000B10C0000}"/>
    <cellStyle name="Unprotect 2 2 4 2" xfId="2980" xr:uid="{00000000-0005-0000-0000-0000B20C0000}"/>
    <cellStyle name="Unprotect 2 2 5" xfId="1378" xr:uid="{00000000-0005-0000-0000-0000B30C0000}"/>
    <cellStyle name="Unprotect 2 2 5 2" xfId="2805" xr:uid="{00000000-0005-0000-0000-0000B40C0000}"/>
    <cellStyle name="Unprotect 2 2 6" xfId="1425" xr:uid="{00000000-0005-0000-0000-0000B50C0000}"/>
    <cellStyle name="Unprotect 2 2 6 2" xfId="2845" xr:uid="{00000000-0005-0000-0000-0000B60C0000}"/>
    <cellStyle name="Unprotect 2 2 7" xfId="1773" xr:uid="{00000000-0005-0000-0000-0000B70C0000}"/>
    <cellStyle name="Unprotect 2 2 7 2" xfId="3155" xr:uid="{00000000-0005-0000-0000-0000B80C0000}"/>
    <cellStyle name="Unprotect 2 2 8" xfId="1803" xr:uid="{00000000-0005-0000-0000-0000B90C0000}"/>
    <cellStyle name="Unprotect 2 2 8 2" xfId="3181" xr:uid="{00000000-0005-0000-0000-0000BA0C0000}"/>
    <cellStyle name="Unprotect 2 3" xfId="838" xr:uid="{00000000-0005-0000-0000-0000BB0C0000}"/>
    <cellStyle name="Unprotect 2 3 2" xfId="1081" xr:uid="{00000000-0005-0000-0000-0000BC0C0000}"/>
    <cellStyle name="Unprotect 2 3 2 2" xfId="1739" xr:uid="{00000000-0005-0000-0000-0000BD0C0000}"/>
    <cellStyle name="Unprotect 2 3 2 2 2" xfId="3121" xr:uid="{00000000-0005-0000-0000-0000BE0C0000}"/>
    <cellStyle name="Unprotect 2 3 2 3" xfId="1857" xr:uid="{00000000-0005-0000-0000-0000BF0C0000}"/>
    <cellStyle name="Unprotect 2 3 2 3 2" xfId="3231" xr:uid="{00000000-0005-0000-0000-0000C00C0000}"/>
    <cellStyle name="Unprotect 2 3 2 4" xfId="1761" xr:uid="{00000000-0005-0000-0000-0000C10C0000}"/>
    <cellStyle name="Unprotect 2 3 2 4 2" xfId="3143" xr:uid="{00000000-0005-0000-0000-0000C20C0000}"/>
    <cellStyle name="Unprotect 2 3 2 5" xfId="1442" xr:uid="{00000000-0005-0000-0000-0000C30C0000}"/>
    <cellStyle name="Unprotect 2 3 2 5 2" xfId="2857" xr:uid="{00000000-0005-0000-0000-0000C40C0000}"/>
    <cellStyle name="Unprotect 2 3 2 6" xfId="1549" xr:uid="{00000000-0005-0000-0000-0000C50C0000}"/>
    <cellStyle name="Unprotect 2 3 2 6 2" xfId="2945" xr:uid="{00000000-0005-0000-0000-0000C60C0000}"/>
    <cellStyle name="Unprotect 2 3 3" xfId="1299" xr:uid="{00000000-0005-0000-0000-0000C70C0000}"/>
    <cellStyle name="Unprotect 2 3 3 2" xfId="1847" xr:uid="{00000000-0005-0000-0000-0000C80C0000}"/>
    <cellStyle name="Unprotect 2 3 3 2 2" xfId="3223" xr:uid="{00000000-0005-0000-0000-0000C90C0000}"/>
    <cellStyle name="Unprotect 2 3 3 3" xfId="1936" xr:uid="{00000000-0005-0000-0000-0000CA0C0000}"/>
    <cellStyle name="Unprotect 2 3 3 3 2" xfId="3299" xr:uid="{00000000-0005-0000-0000-0000CB0C0000}"/>
    <cellStyle name="Unprotect 2 3 3 4" xfId="1969" xr:uid="{00000000-0005-0000-0000-0000CC0C0000}"/>
    <cellStyle name="Unprotect 2 3 3 4 2" xfId="3321" xr:uid="{00000000-0005-0000-0000-0000CD0C0000}"/>
    <cellStyle name="Unprotect 2 3 3 5" xfId="2014" xr:uid="{00000000-0005-0000-0000-0000CE0C0000}"/>
    <cellStyle name="Unprotect 2 3 3 5 2" xfId="3359" xr:uid="{00000000-0005-0000-0000-0000CF0C0000}"/>
    <cellStyle name="Unprotect 2 3 3 6" xfId="2038" xr:uid="{00000000-0005-0000-0000-0000D00C0000}"/>
    <cellStyle name="Unprotect 2 3 3 6 2" xfId="3373" xr:uid="{00000000-0005-0000-0000-0000D10C0000}"/>
    <cellStyle name="Unprotect 2 3 4" xfId="1599" xr:uid="{00000000-0005-0000-0000-0000D20C0000}"/>
    <cellStyle name="Unprotect 2 3 4 2" xfId="2992" xr:uid="{00000000-0005-0000-0000-0000D30C0000}"/>
    <cellStyle name="Unprotect 2 3 5" xfId="1702" xr:uid="{00000000-0005-0000-0000-0000D40C0000}"/>
    <cellStyle name="Unprotect 2 3 5 2" xfId="3092" xr:uid="{00000000-0005-0000-0000-0000D50C0000}"/>
    <cellStyle name="Unprotect 2 3 6" xfId="1810" xr:uid="{00000000-0005-0000-0000-0000D60C0000}"/>
    <cellStyle name="Unprotect 2 3 6 2" xfId="3187" xr:uid="{00000000-0005-0000-0000-0000D70C0000}"/>
    <cellStyle name="Unprotect 2 3 7" xfId="1437" xr:uid="{00000000-0005-0000-0000-0000D80C0000}"/>
    <cellStyle name="Unprotect 2 3 7 2" xfId="2855" xr:uid="{00000000-0005-0000-0000-0000D90C0000}"/>
    <cellStyle name="Unprotect 2 3 8" xfId="1541" xr:uid="{00000000-0005-0000-0000-0000DA0C0000}"/>
    <cellStyle name="Unprotect 2 3 8 2" xfId="2937" xr:uid="{00000000-0005-0000-0000-0000DB0C0000}"/>
    <cellStyle name="Unprotect 3" xfId="750" xr:uid="{00000000-0005-0000-0000-0000DC0C0000}"/>
    <cellStyle name="Unprotect 3 2" xfId="1001" xr:uid="{00000000-0005-0000-0000-0000DD0C0000}"/>
    <cellStyle name="Unprotect 3 2 2" xfId="1689" xr:uid="{00000000-0005-0000-0000-0000DE0C0000}"/>
    <cellStyle name="Unprotect 3 2 2 2" xfId="3081" xr:uid="{00000000-0005-0000-0000-0000DF0C0000}"/>
    <cellStyle name="Unprotect 3 2 3" xfId="1514" xr:uid="{00000000-0005-0000-0000-0000E00C0000}"/>
    <cellStyle name="Unprotect 3 2 3 2" xfId="2910" xr:uid="{00000000-0005-0000-0000-0000E10C0000}"/>
    <cellStyle name="Unprotect 3 2 4" xfId="1397" xr:uid="{00000000-0005-0000-0000-0000E20C0000}"/>
    <cellStyle name="Unprotect 3 2 4 2" xfId="2821" xr:uid="{00000000-0005-0000-0000-0000E30C0000}"/>
    <cellStyle name="Unprotect 3 2 5" xfId="1476" xr:uid="{00000000-0005-0000-0000-0000E40C0000}"/>
    <cellStyle name="Unprotect 3 2 5 2" xfId="2880" xr:uid="{00000000-0005-0000-0000-0000E50C0000}"/>
    <cellStyle name="Unprotect 3 2 6" xfId="1833" xr:uid="{00000000-0005-0000-0000-0000E60C0000}"/>
    <cellStyle name="Unprotect 3 2 6 2" xfId="3209" xr:uid="{00000000-0005-0000-0000-0000E70C0000}"/>
    <cellStyle name="Unprotect 3 3" xfId="1229" xr:uid="{00000000-0005-0000-0000-0000E80C0000}"/>
    <cellStyle name="Unprotect 3 3 2" xfId="1818" xr:uid="{00000000-0005-0000-0000-0000E90C0000}"/>
    <cellStyle name="Unprotect 3 3 2 2" xfId="3195" xr:uid="{00000000-0005-0000-0000-0000EA0C0000}"/>
    <cellStyle name="Unprotect 3 3 3" xfId="1905" xr:uid="{00000000-0005-0000-0000-0000EB0C0000}"/>
    <cellStyle name="Unprotect 3 3 3 2" xfId="3272" xr:uid="{00000000-0005-0000-0000-0000EC0C0000}"/>
    <cellStyle name="Unprotect 3 3 4" xfId="1948" xr:uid="{00000000-0005-0000-0000-0000ED0C0000}"/>
    <cellStyle name="Unprotect 3 3 4 2" xfId="3306" xr:uid="{00000000-0005-0000-0000-0000EE0C0000}"/>
    <cellStyle name="Unprotect 3 3 5" xfId="1995" xr:uid="{00000000-0005-0000-0000-0000EF0C0000}"/>
    <cellStyle name="Unprotect 3 3 5 2" xfId="3344" xr:uid="{00000000-0005-0000-0000-0000F00C0000}"/>
    <cellStyle name="Unprotect 3 3 6" xfId="2031" xr:uid="{00000000-0005-0000-0000-0000F10C0000}"/>
    <cellStyle name="Unprotect 3 3 6 2" xfId="3366" xr:uid="{00000000-0005-0000-0000-0000F20C0000}"/>
    <cellStyle name="Unprotect 3 4" xfId="1555" xr:uid="{00000000-0005-0000-0000-0000F30C0000}"/>
    <cellStyle name="Unprotect 3 4 2" xfId="2951" xr:uid="{00000000-0005-0000-0000-0000F40C0000}"/>
    <cellStyle name="Unprotect 3 5" xfId="1477" xr:uid="{00000000-0005-0000-0000-0000F50C0000}"/>
    <cellStyle name="Unprotect 3 5 2" xfId="2881" xr:uid="{00000000-0005-0000-0000-0000F60C0000}"/>
    <cellStyle name="Unprotect 3 6" xfId="1326" xr:uid="{00000000-0005-0000-0000-0000F70C0000}"/>
    <cellStyle name="Unprotect 3 6 2" xfId="2766" xr:uid="{00000000-0005-0000-0000-0000F80C0000}"/>
    <cellStyle name="Unprotect 3 7" xfId="1949" xr:uid="{00000000-0005-0000-0000-0000F90C0000}"/>
    <cellStyle name="Unprotect 3 7 2" xfId="3307" xr:uid="{00000000-0005-0000-0000-0000FA0C0000}"/>
    <cellStyle name="Unprotect 3 8" xfId="1347" xr:uid="{00000000-0005-0000-0000-0000FB0C0000}"/>
    <cellStyle name="Unprotect 3 8 2" xfId="2781" xr:uid="{00000000-0005-0000-0000-0000FC0C0000}"/>
    <cellStyle name="Unprotect 4" xfId="706" xr:uid="{00000000-0005-0000-0000-0000FD0C0000}"/>
    <cellStyle name="Unprotect 4 2" xfId="962" xr:uid="{00000000-0005-0000-0000-0000FE0C0000}"/>
    <cellStyle name="Unprotect 4 2 2" xfId="1664" xr:uid="{00000000-0005-0000-0000-0000FF0C0000}"/>
    <cellStyle name="Unprotect 4 2 2 2" xfId="3056" xr:uid="{00000000-0005-0000-0000-0000000D0000}"/>
    <cellStyle name="Unprotect 4 2 3" xfId="1421" xr:uid="{00000000-0005-0000-0000-0000010D0000}"/>
    <cellStyle name="Unprotect 4 2 3 2" xfId="2842" xr:uid="{00000000-0005-0000-0000-0000020D0000}"/>
    <cellStyle name="Unprotect 4 2 4" xfId="1758" xr:uid="{00000000-0005-0000-0000-0000030D0000}"/>
    <cellStyle name="Unprotect 4 2 4 2" xfId="3140" xr:uid="{00000000-0005-0000-0000-0000040D0000}"/>
    <cellStyle name="Unprotect 4 2 5" xfId="1755" xr:uid="{00000000-0005-0000-0000-0000050D0000}"/>
    <cellStyle name="Unprotect 4 2 5 2" xfId="3137" xr:uid="{00000000-0005-0000-0000-0000060D0000}"/>
    <cellStyle name="Unprotect 4 2 6" xfId="1940" xr:uid="{00000000-0005-0000-0000-0000070D0000}"/>
    <cellStyle name="Unprotect 4 2 6 2" xfId="3302" xr:uid="{00000000-0005-0000-0000-0000080D0000}"/>
    <cellStyle name="Unprotect 4 3" xfId="1199" xr:uid="{00000000-0005-0000-0000-0000090D0000}"/>
    <cellStyle name="Unprotect 4 3 2" xfId="1801" xr:uid="{00000000-0005-0000-0000-00000A0D0000}"/>
    <cellStyle name="Unprotect 4 3 2 2" xfId="3179" xr:uid="{00000000-0005-0000-0000-00000B0D0000}"/>
    <cellStyle name="Unprotect 4 3 3" xfId="1895" xr:uid="{00000000-0005-0000-0000-00000C0D0000}"/>
    <cellStyle name="Unprotect 4 3 3 2" xfId="3262" xr:uid="{00000000-0005-0000-0000-00000D0D0000}"/>
    <cellStyle name="Unprotect 4 3 4" xfId="1746" xr:uid="{00000000-0005-0000-0000-00000E0D0000}"/>
    <cellStyle name="Unprotect 4 3 4 2" xfId="3128" xr:uid="{00000000-0005-0000-0000-00000F0D0000}"/>
    <cellStyle name="Unprotect 4 3 5" xfId="1989" xr:uid="{00000000-0005-0000-0000-0000100D0000}"/>
    <cellStyle name="Unprotect 4 3 5 2" xfId="3339" xr:uid="{00000000-0005-0000-0000-0000110D0000}"/>
    <cellStyle name="Unprotect 4 3 6" xfId="2028" xr:uid="{00000000-0005-0000-0000-0000120D0000}"/>
    <cellStyle name="Unprotect 4 3 6 2" xfId="3363" xr:uid="{00000000-0005-0000-0000-0000130D0000}"/>
    <cellStyle name="Unprotect 4 4" xfId="1530" xr:uid="{00000000-0005-0000-0000-0000140D0000}"/>
    <cellStyle name="Unprotect 4 4 2" xfId="2926" xr:uid="{00000000-0005-0000-0000-0000150D0000}"/>
    <cellStyle name="Unprotect 4 5" xfId="1788" xr:uid="{00000000-0005-0000-0000-0000160D0000}"/>
    <cellStyle name="Unprotect 4 5 2" xfId="3167" xr:uid="{00000000-0005-0000-0000-0000170D0000}"/>
    <cellStyle name="Unprotect 4 6" xfId="1741" xr:uid="{00000000-0005-0000-0000-0000180D0000}"/>
    <cellStyle name="Unprotect 4 6 2" xfId="3123" xr:uid="{00000000-0005-0000-0000-0000190D0000}"/>
    <cellStyle name="Unprotect 4 7" xfId="1923" xr:uid="{00000000-0005-0000-0000-00001A0D0000}"/>
    <cellStyle name="Unprotect 4 7 2" xfId="3286" xr:uid="{00000000-0005-0000-0000-00001B0D0000}"/>
    <cellStyle name="Unprotect 4 8" xfId="1917" xr:uid="{00000000-0005-0000-0000-00001C0D0000}"/>
    <cellStyle name="Unprotect 4 8 2" xfId="3281" xr:uid="{00000000-0005-0000-0000-00001D0D0000}"/>
    <cellStyle name="Unprotected" xfId="432" xr:uid="{00000000-0005-0000-0000-00001E0D0000}"/>
    <cellStyle name="Unprotected 2" xfId="654" xr:uid="{00000000-0005-0000-0000-00001F0D0000}"/>
    <cellStyle name="Unprotected 2 2" xfId="812" xr:uid="{00000000-0005-0000-0000-0000200D0000}"/>
    <cellStyle name="Unprotected 2 2 2" xfId="2289" xr:uid="{00000000-0005-0000-0000-0000210D0000}"/>
    <cellStyle name="Unprotected 2 3" xfId="932" xr:uid="{00000000-0005-0000-0000-0000220D0000}"/>
    <cellStyle name="Unprotected 2 3 2" xfId="2405" xr:uid="{00000000-0005-0000-0000-0000230D0000}"/>
    <cellStyle name="Unprotected 2 4" xfId="1177" xr:uid="{00000000-0005-0000-0000-0000240D0000}"/>
    <cellStyle name="Unprotected 2 4 2" xfId="2635" xr:uid="{00000000-0005-0000-0000-0000250D0000}"/>
    <cellStyle name="Unprotected 2 5" xfId="1701" xr:uid="{00000000-0005-0000-0000-0000260D0000}"/>
    <cellStyle name="Unprotected 2 5 2" xfId="3091" xr:uid="{00000000-0005-0000-0000-0000270D0000}"/>
    <cellStyle name="Unprotected 2 6" xfId="2167" xr:uid="{00000000-0005-0000-0000-0000280D0000}"/>
    <cellStyle name="Unprotected 3" xfId="751" xr:uid="{00000000-0005-0000-0000-0000290D0000}"/>
    <cellStyle name="Unprotected 3 2" xfId="2233" xr:uid="{00000000-0005-0000-0000-00002A0D0000}"/>
    <cellStyle name="Unprotected 4" xfId="881" xr:uid="{00000000-0005-0000-0000-00002B0D0000}"/>
    <cellStyle name="Unprotected 4 2" xfId="2354" xr:uid="{00000000-0005-0000-0000-00002C0D0000}"/>
    <cellStyle name="Unprotected 5" xfId="1124" xr:uid="{00000000-0005-0000-0000-00002D0D0000}"/>
    <cellStyle name="Unprotected 5 2" xfId="2583" xr:uid="{00000000-0005-0000-0000-00002E0D0000}"/>
    <cellStyle name="Unprotected 6" xfId="1620" xr:uid="{00000000-0005-0000-0000-00002F0D0000}"/>
    <cellStyle name="Unprotected 6 2" xfId="3012" xr:uid="{00000000-0005-0000-0000-0000300D0000}"/>
    <cellStyle name="Unprotected 7" xfId="2105" xr:uid="{00000000-0005-0000-0000-0000310D0000}"/>
    <cellStyle name="Warning Text" xfId="60" builtinId="11" customBuiltin="1"/>
    <cellStyle name="Warning Text 2" xfId="165" xr:uid="{00000000-0005-0000-0000-0000330D0000}"/>
    <cellStyle name="Years" xfId="433" xr:uid="{00000000-0005-0000-0000-0000340D0000}"/>
    <cellStyle name="Years 2" xfId="2106" xr:uid="{00000000-0005-0000-0000-0000350D0000}"/>
    <cellStyle name="パーセント_QTBLNEW" xfId="281" xr:uid="{00000000-0005-0000-0000-0000360D0000}"/>
    <cellStyle name="標準_Total (2)" xfId="282" xr:uid="{00000000-0005-0000-0000-0000370D0000}"/>
  </cellStyles>
  <dxfs count="1">
    <dxf>
      <fill>
        <patternFill>
          <bgColor theme="4" tint="0.79998168889431442"/>
        </patternFill>
      </fill>
    </dxf>
  </dxfs>
  <tableStyles count="1" defaultTableStyle="TableStyleMedium9" defaultPivotStyle="PivotStyleLight16">
    <tableStyle name="Invisible" pivot="0" table="0" count="0" xr9:uid="{B9BDF173-BF30-412F-8262-80481CC0DB9C}"/>
  </tableStyles>
  <colors>
    <mruColors>
      <color rgb="FF0000FF"/>
      <color rgb="FFCCECFF"/>
      <color rgb="FFDDEBF7"/>
      <color rgb="FF008000"/>
      <color rgb="FF99CCFF"/>
      <color rgb="FFCCFFFF"/>
      <color rgb="FFFFD44B"/>
      <color rgb="FF808000"/>
      <color rgb="FFFF6600"/>
      <color rgb="FF0069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1210308</xdr:colOff>
      <xdr:row>3</xdr:row>
      <xdr:rowOff>21167</xdr:rowOff>
    </xdr:from>
    <xdr:to>
      <xdr:col>12</xdr:col>
      <xdr:colOff>6968</xdr:colOff>
      <xdr:row>5</xdr:row>
      <xdr:rowOff>506669</xdr:rowOff>
    </xdr:to>
    <xdr:pic>
      <xdr:nvPicPr>
        <xdr:cNvPr id="4" name="Wells Fargo" descr="Wells Fargo">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9963783" y="383117"/>
          <a:ext cx="930260" cy="1028427"/>
        </a:xfrm>
        <a:prstGeom prst="rect">
          <a:avLst/>
        </a:prstGeom>
      </xdr:spPr>
    </xdr:pic>
    <xdr:clientData/>
  </xdr:twoCellAnchor>
  <xdr:twoCellAnchor editAs="oneCell">
    <xdr:from>
      <xdr:col>2</xdr:col>
      <xdr:colOff>17319</xdr:colOff>
      <xdr:row>32</xdr:row>
      <xdr:rowOff>69273</xdr:rowOff>
    </xdr:from>
    <xdr:to>
      <xdr:col>11</xdr:col>
      <xdr:colOff>134316</xdr:colOff>
      <xdr:row>48</xdr:row>
      <xdr:rowOff>157885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6394" y="6050973"/>
          <a:ext cx="10604022" cy="2679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28862</xdr:colOff>
      <xdr:row>52</xdr:row>
      <xdr:rowOff>150091</xdr:rowOff>
    </xdr:from>
    <xdr:to>
      <xdr:col>12</xdr:col>
      <xdr:colOff>1056</xdr:colOff>
      <xdr:row>54</xdr:row>
      <xdr:rowOff>53297</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7937" y="9122641"/>
          <a:ext cx="10640194" cy="227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Equity%20Research\Software-MT\Administrative%20and%20Archive\PW%20Archive\Companies\ServiceNow\Model\NO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isclaimer"/>
      <sheetName val="Valuation"/>
      <sheetName val="Variance"/>
      <sheetName val="IS"/>
      <sheetName val="BS"/>
      <sheetName val="Billings"/>
      <sheetName val="Rev"/>
      <sheetName val="CF"/>
      <sheetName val="StatsPull"/>
      <sheetName val="WFvsCon"/>
      <sheetName val="BM NOW Estimate Upload"/>
      <sheetName val="BM NOW Financials"/>
      <sheetName val="BM NOW DL"/>
      <sheetName val="BM NOW VAR"/>
      <sheetName val="BM NOW Charts"/>
      <sheetName val="IS (605)"/>
      <sheetName val="BS (605)"/>
      <sheetName val="Billings (605)"/>
      <sheetName val="Rev (605)"/>
      <sheetName val="CF (605)"/>
      <sheetName val="__APW_ACTIVE_FIELD_RESTORE__"/>
      <sheetName val="EUCT_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cell r="DJ1">
            <v>114</v>
          </cell>
          <cell r="DK1">
            <v>115</v>
          </cell>
          <cell r="DL1">
            <v>116</v>
          </cell>
          <cell r="DM1">
            <v>117</v>
          </cell>
          <cell r="DN1">
            <v>118</v>
          </cell>
          <cell r="DO1">
            <v>107</v>
          </cell>
          <cell r="DP1">
            <v>108</v>
          </cell>
          <cell r="DQ1">
            <v>109</v>
          </cell>
          <cell r="DR1">
            <v>110</v>
          </cell>
          <cell r="DS1">
            <v>111</v>
          </cell>
          <cell r="DT1">
            <v>112</v>
          </cell>
          <cell r="DU1">
            <v>113</v>
          </cell>
          <cell r="DV1">
            <v>114</v>
          </cell>
          <cell r="DW1">
            <v>115</v>
          </cell>
          <cell r="DX1">
            <v>116</v>
          </cell>
          <cell r="DY1">
            <v>117</v>
          </cell>
          <cell r="DZ1">
            <v>118</v>
          </cell>
          <cell r="EA1">
            <v>119</v>
          </cell>
          <cell r="EB1">
            <v>120</v>
          </cell>
          <cell r="EC1">
            <v>121</v>
          </cell>
          <cell r="ED1">
            <v>122</v>
          </cell>
          <cell r="EE1">
            <v>123</v>
          </cell>
          <cell r="EF1">
            <v>124</v>
          </cell>
          <cell r="EG1">
            <v>125</v>
          </cell>
          <cell r="EH1">
            <v>126</v>
          </cell>
          <cell r="EI1">
            <v>127</v>
          </cell>
          <cell r="EJ1">
            <v>128</v>
          </cell>
          <cell r="EK1">
            <v>129</v>
          </cell>
          <cell r="EL1">
            <v>130</v>
          </cell>
          <cell r="EM1">
            <v>131</v>
          </cell>
          <cell r="EN1">
            <v>132</v>
          </cell>
          <cell r="EO1">
            <v>133</v>
          </cell>
          <cell r="EP1">
            <v>134</v>
          </cell>
          <cell r="EQ1">
            <v>135</v>
          </cell>
          <cell r="ER1">
            <v>136</v>
          </cell>
        </row>
        <row r="2">
          <cell r="A2" t="str">
            <v>S E R V I C E N O W</v>
          </cell>
        </row>
        <row r="3">
          <cell r="A3" t="str">
            <v>R e v e n u e   B r e a k d o w n</v>
          </cell>
        </row>
        <row r="4">
          <cell r="A4" t="str">
            <v>(US$ in millions, unless otherwise stated)</v>
          </cell>
          <cell r="C4" t="str">
            <v>Fiscal 1999 by Quarter</v>
          </cell>
          <cell r="G4" t="str">
            <v>Fiscal 2000 by Quarter</v>
          </cell>
          <cell r="K4" t="str">
            <v>Fiscal 2001 by Quarter</v>
          </cell>
          <cell r="O4" t="str">
            <v>Fiscal 2002 by Quarter</v>
          </cell>
          <cell r="S4" t="str">
            <v>Fiscal 2003 by Quarter</v>
          </cell>
          <cell r="W4" t="str">
            <v>Fiscal 2004 by Quarter</v>
          </cell>
          <cell r="AA4" t="str">
            <v>Fiscal 2005 by Quarter</v>
          </cell>
          <cell r="AE4" t="str">
            <v>Fiscal 2006 by Quarter</v>
          </cell>
          <cell r="AI4" t="str">
            <v>Fiscal 2006 by Quarter</v>
          </cell>
          <cell r="AM4" t="str">
            <v>Fiscal 2007 by Quarter</v>
          </cell>
          <cell r="AQ4" t="str">
            <v>Fiscal 2008 by Quarter</v>
          </cell>
          <cell r="AU4" t="str">
            <v>Fiscal 2009 by Quarter</v>
          </cell>
          <cell r="AY4" t="str">
            <v>Fiscal 2010 by Quarter</v>
          </cell>
          <cell r="BC4" t="str">
            <v>Fiscal 2011 by Quarter</v>
          </cell>
          <cell r="BG4" t="str">
            <v>Fiscal 2012 by Quarter</v>
          </cell>
          <cell r="BK4" t="str">
            <v>Fiscal 2013 by Quarter</v>
          </cell>
          <cell r="BO4" t="str">
            <v>Fiscal 2014 by Quarter</v>
          </cell>
          <cell r="BS4" t="str">
            <v>Fiscal 2015 by Quarter</v>
          </cell>
          <cell r="BW4" t="str">
            <v>Fiscal 2016 by Quarter</v>
          </cell>
          <cell r="CA4" t="str">
            <v>Fiscal 2017 by Quarter</v>
          </cell>
          <cell r="CE4" t="str">
            <v>Fiscal 2018 by Quarter</v>
          </cell>
          <cell r="CI4" t="str">
            <v>Fiscal 2019 by Quarter</v>
          </cell>
          <cell r="CM4" t="str">
            <v>Fiscal 2020 by Quarter</v>
          </cell>
          <cell r="CQ4" t="str">
            <v>Fiscal 2021 by Quarter</v>
          </cell>
          <cell r="CU4" t="str">
            <v>Fiscal 2022 by Quarter</v>
          </cell>
          <cell r="CY4" t="str">
            <v>Fiscal 2023 by Quarter</v>
          </cell>
          <cell r="DC4" t="str">
            <v>Fiscal 2024 by Quarter</v>
          </cell>
          <cell r="DG4" t="str">
            <v>Fiscal 2025 by Quarter</v>
          </cell>
          <cell r="DK4" t="str">
            <v>Fiscal 2026 by Quarter</v>
          </cell>
          <cell r="DP4" t="str">
            <v xml:space="preserve"> Fiscal Year Ends December</v>
          </cell>
        </row>
        <row r="5">
          <cell r="C5">
            <v>35886</v>
          </cell>
          <cell r="D5">
            <v>35977</v>
          </cell>
          <cell r="E5">
            <v>36069</v>
          </cell>
          <cell r="F5">
            <v>36161</v>
          </cell>
          <cell r="G5">
            <v>36251</v>
          </cell>
          <cell r="H5">
            <v>36342</v>
          </cell>
          <cell r="I5">
            <v>36434</v>
          </cell>
          <cell r="J5">
            <v>36526</v>
          </cell>
          <cell r="K5">
            <v>36617</v>
          </cell>
          <cell r="L5">
            <v>36708</v>
          </cell>
          <cell r="M5">
            <v>36800</v>
          </cell>
          <cell r="N5">
            <v>36892</v>
          </cell>
          <cell r="O5">
            <v>36982</v>
          </cell>
          <cell r="P5">
            <v>37073</v>
          </cell>
          <cell r="Q5">
            <v>37165</v>
          </cell>
          <cell r="R5">
            <v>37257</v>
          </cell>
          <cell r="S5">
            <v>37348</v>
          </cell>
          <cell r="T5">
            <v>37439</v>
          </cell>
          <cell r="U5">
            <v>37531</v>
          </cell>
          <cell r="V5">
            <v>37623</v>
          </cell>
          <cell r="W5">
            <v>37715</v>
          </cell>
          <cell r="X5">
            <v>37806</v>
          </cell>
          <cell r="Y5">
            <v>37898</v>
          </cell>
          <cell r="Z5">
            <v>37990</v>
          </cell>
          <cell r="AA5">
            <v>38081</v>
          </cell>
          <cell r="AB5">
            <v>38172</v>
          </cell>
          <cell r="AC5">
            <v>38264</v>
          </cell>
          <cell r="AD5">
            <v>38356</v>
          </cell>
          <cell r="AE5">
            <v>38447</v>
          </cell>
          <cell r="AF5">
            <v>38538</v>
          </cell>
          <cell r="AG5">
            <v>38630</v>
          </cell>
          <cell r="AH5">
            <v>38722</v>
          </cell>
          <cell r="AI5">
            <v>38807</v>
          </cell>
          <cell r="AJ5">
            <v>38898</v>
          </cell>
          <cell r="AK5">
            <v>38990</v>
          </cell>
          <cell r="AL5">
            <v>39082</v>
          </cell>
          <cell r="AM5">
            <v>39172</v>
          </cell>
          <cell r="AN5">
            <v>39263</v>
          </cell>
          <cell r="AO5">
            <v>39355</v>
          </cell>
          <cell r="AP5">
            <v>39447</v>
          </cell>
          <cell r="AQ5">
            <v>39538</v>
          </cell>
          <cell r="AR5">
            <v>39629</v>
          </cell>
          <cell r="AS5">
            <v>39721</v>
          </cell>
          <cell r="AT5">
            <v>39813</v>
          </cell>
          <cell r="AU5">
            <v>39903</v>
          </cell>
          <cell r="AV5">
            <v>39994</v>
          </cell>
          <cell r="AW5">
            <v>40086</v>
          </cell>
          <cell r="AX5">
            <v>40178</v>
          </cell>
          <cell r="AY5">
            <v>40268</v>
          </cell>
          <cell r="AZ5">
            <v>40359</v>
          </cell>
          <cell r="BA5">
            <v>40451</v>
          </cell>
          <cell r="BB5">
            <v>40543</v>
          </cell>
          <cell r="BC5">
            <v>40633</v>
          </cell>
          <cell r="BD5">
            <v>40724</v>
          </cell>
          <cell r="BE5">
            <v>40816</v>
          </cell>
          <cell r="BF5">
            <v>40908</v>
          </cell>
          <cell r="BG5">
            <v>40999</v>
          </cell>
          <cell r="BH5">
            <v>41072</v>
          </cell>
          <cell r="BI5">
            <v>41164</v>
          </cell>
          <cell r="BJ5">
            <v>41255</v>
          </cell>
          <cell r="BK5">
            <v>41346</v>
          </cell>
          <cell r="BL5">
            <v>41438</v>
          </cell>
          <cell r="BM5">
            <v>41529</v>
          </cell>
          <cell r="BN5">
            <v>41621</v>
          </cell>
          <cell r="BO5">
            <v>41712</v>
          </cell>
          <cell r="BP5">
            <v>41804</v>
          </cell>
          <cell r="BQ5">
            <v>41894</v>
          </cell>
          <cell r="BR5">
            <v>41987</v>
          </cell>
          <cell r="BS5">
            <v>42078</v>
          </cell>
          <cell r="BT5">
            <v>42170</v>
          </cell>
          <cell r="BU5">
            <v>42262</v>
          </cell>
          <cell r="BV5">
            <v>42353</v>
          </cell>
          <cell r="BW5">
            <v>42445</v>
          </cell>
          <cell r="BX5">
            <v>42537</v>
          </cell>
          <cell r="BY5">
            <v>42629</v>
          </cell>
          <cell r="BZ5">
            <v>42720</v>
          </cell>
          <cell r="CA5">
            <v>42811</v>
          </cell>
          <cell r="CB5">
            <v>42903</v>
          </cell>
          <cell r="CC5">
            <v>42995</v>
          </cell>
          <cell r="CD5">
            <v>43086</v>
          </cell>
          <cell r="CE5">
            <v>43177</v>
          </cell>
          <cell r="CF5">
            <v>43269</v>
          </cell>
          <cell r="CG5">
            <v>43361</v>
          </cell>
          <cell r="CH5">
            <v>43452</v>
          </cell>
          <cell r="CI5">
            <v>43543</v>
          </cell>
          <cell r="CJ5">
            <v>43635</v>
          </cell>
          <cell r="CK5">
            <v>43727</v>
          </cell>
          <cell r="CL5">
            <v>43818</v>
          </cell>
          <cell r="CM5">
            <v>43910</v>
          </cell>
          <cell r="CN5">
            <v>44002</v>
          </cell>
          <cell r="CO5">
            <v>44094</v>
          </cell>
          <cell r="CP5">
            <v>44185</v>
          </cell>
          <cell r="CQ5" t="str">
            <v>Mar-21E</v>
          </cell>
          <cell r="CR5" t="str">
            <v>Jun-21E</v>
          </cell>
          <cell r="CS5" t="str">
            <v>Sep-21E</v>
          </cell>
          <cell r="CT5" t="str">
            <v>Dec-21E</v>
          </cell>
          <cell r="CU5" t="str">
            <v>Mar-22E</v>
          </cell>
          <cell r="CV5" t="str">
            <v>Jun-22E</v>
          </cell>
          <cell r="CW5" t="str">
            <v>Sep-22E</v>
          </cell>
          <cell r="CX5" t="str">
            <v>Dec-22E</v>
          </cell>
          <cell r="CY5" t="str">
            <v>Mar-23E</v>
          </cell>
          <cell r="CZ5" t="str">
            <v>Jun-23E</v>
          </cell>
          <cell r="DA5" t="str">
            <v>Sep-23E</v>
          </cell>
          <cell r="DB5" t="str">
            <v>Dec-23E</v>
          </cell>
          <cell r="DC5" t="str">
            <v>Mar-24E</v>
          </cell>
          <cell r="DD5" t="str">
            <v>Jun-24E</v>
          </cell>
          <cell r="DE5" t="str">
            <v>Sep-24E</v>
          </cell>
          <cell r="DF5" t="str">
            <v>Dec-24E</v>
          </cell>
          <cell r="DG5" t="str">
            <v>Mar-25E</v>
          </cell>
          <cell r="DH5" t="str">
            <v>Jun-25E</v>
          </cell>
          <cell r="DI5" t="str">
            <v>Sep-25E</v>
          </cell>
          <cell r="DJ5" t="str">
            <v>Dec-25E</v>
          </cell>
          <cell r="DK5" t="str">
            <v>Mar-26E</v>
          </cell>
          <cell r="DL5" t="str">
            <v>Jun-26E</v>
          </cell>
          <cell r="DM5" t="str">
            <v>Sep-26E</v>
          </cell>
          <cell r="DN5" t="str">
            <v>Dec-26E</v>
          </cell>
          <cell r="DP5">
            <v>1998</v>
          </cell>
          <cell r="DQ5">
            <v>1999</v>
          </cell>
          <cell r="DR5">
            <v>2000</v>
          </cell>
          <cell r="DS5">
            <v>2001</v>
          </cell>
          <cell r="DT5">
            <v>2002</v>
          </cell>
          <cell r="DU5">
            <v>2003</v>
          </cell>
          <cell r="DV5">
            <v>2004</v>
          </cell>
          <cell r="DW5">
            <v>2005</v>
          </cell>
          <cell r="DX5">
            <v>2006</v>
          </cell>
          <cell r="DY5">
            <v>2007</v>
          </cell>
          <cell r="DZ5">
            <v>2008</v>
          </cell>
          <cell r="EA5">
            <v>2009</v>
          </cell>
          <cell r="EB5">
            <v>2010</v>
          </cell>
          <cell r="EC5">
            <v>2011</v>
          </cell>
          <cell r="ED5">
            <v>2012</v>
          </cell>
          <cell r="EE5">
            <v>2013</v>
          </cell>
          <cell r="EF5">
            <v>2014</v>
          </cell>
          <cell r="EG5">
            <v>2015</v>
          </cell>
          <cell r="EH5">
            <v>2016</v>
          </cell>
          <cell r="EI5">
            <v>2017</v>
          </cell>
          <cell r="EJ5">
            <v>2018</v>
          </cell>
          <cell r="EK5">
            <v>2019</v>
          </cell>
          <cell r="EL5">
            <v>2020</v>
          </cell>
          <cell r="EM5" t="str">
            <v>2021E</v>
          </cell>
          <cell r="EN5" t="str">
            <v>2022E</v>
          </cell>
          <cell r="EO5" t="str">
            <v>2023E</v>
          </cell>
          <cell r="EP5" t="str">
            <v>2024E</v>
          </cell>
          <cell r="EQ5" t="str">
            <v>2025E</v>
          </cell>
          <cell r="ER5" t="str">
            <v>2026E</v>
          </cell>
        </row>
        <row r="6">
          <cell r="A6" t="str">
            <v>North America</v>
          </cell>
          <cell r="BE6">
            <v>24.5</v>
          </cell>
          <cell r="BF6">
            <v>27.4</v>
          </cell>
          <cell r="BG6">
            <v>33.9</v>
          </cell>
          <cell r="BH6">
            <v>40.700000000000003</v>
          </cell>
          <cell r="BI6">
            <v>45.5</v>
          </cell>
          <cell r="BJ6">
            <v>52.9</v>
          </cell>
          <cell r="BK6">
            <v>60.1</v>
          </cell>
          <cell r="BL6">
            <v>71.8</v>
          </cell>
          <cell r="BM6">
            <v>76.900000000000006</v>
          </cell>
          <cell r="BN6">
            <v>86.5</v>
          </cell>
          <cell r="BO6">
            <v>95</v>
          </cell>
          <cell r="BP6">
            <v>114.3</v>
          </cell>
          <cell r="BQ6">
            <v>120</v>
          </cell>
          <cell r="BR6">
            <v>135</v>
          </cell>
          <cell r="BS6">
            <v>149</v>
          </cell>
          <cell r="BT6">
            <v>174</v>
          </cell>
          <cell r="BU6">
            <v>181</v>
          </cell>
          <cell r="BV6">
            <v>199</v>
          </cell>
          <cell r="BW6">
            <v>211</v>
          </cell>
          <cell r="BX6">
            <v>234</v>
          </cell>
          <cell r="BY6">
            <v>239.62952000000001</v>
          </cell>
          <cell r="BZ6">
            <v>262.25287999999983</v>
          </cell>
          <cell r="CA6">
            <v>283.41244000000006</v>
          </cell>
          <cell r="CB6">
            <v>304.81544000000002</v>
          </cell>
          <cell r="CC6">
            <v>324.96551999999997</v>
          </cell>
          <cell r="CD6">
            <v>362.40138000000002</v>
          </cell>
          <cell r="CE6">
            <v>388.88652000000008</v>
          </cell>
          <cell r="CF6">
            <v>416.49696000000006</v>
          </cell>
          <cell r="CG6">
            <v>450.97498999999999</v>
          </cell>
          <cell r="CH6">
            <v>472.19106000000005</v>
          </cell>
          <cell r="CI6">
            <v>520.69115999999997</v>
          </cell>
          <cell r="CJ6">
            <v>542.0376</v>
          </cell>
          <cell r="CK6">
            <v>593.50810999999999</v>
          </cell>
          <cell r="CL6">
            <v>618.65309999999999</v>
          </cell>
          <cell r="CM6">
            <v>701.04779999999994</v>
          </cell>
          <cell r="CN6">
            <v>706.75572000000011</v>
          </cell>
          <cell r="CO6">
            <v>760.30151999999998</v>
          </cell>
          <cell r="CP6">
            <v>800.21119999999996</v>
          </cell>
          <cell r="DP6">
            <v>0</v>
          </cell>
          <cell r="DQ6">
            <v>0</v>
          </cell>
          <cell r="DR6">
            <v>0</v>
          </cell>
          <cell r="DS6">
            <v>0</v>
          </cell>
          <cell r="DT6">
            <v>0</v>
          </cell>
          <cell r="DU6">
            <v>0</v>
          </cell>
          <cell r="DV6">
            <v>0</v>
          </cell>
          <cell r="DW6">
            <v>0</v>
          </cell>
          <cell r="DX6">
            <v>0</v>
          </cell>
          <cell r="DY6">
            <v>0</v>
          </cell>
          <cell r="DZ6">
            <v>0</v>
          </cell>
          <cell r="EA6">
            <v>0</v>
          </cell>
          <cell r="EB6">
            <v>0</v>
          </cell>
          <cell r="EC6">
            <v>51.9</v>
          </cell>
          <cell r="ED6">
            <v>173</v>
          </cell>
          <cell r="EE6">
            <v>295.3</v>
          </cell>
          <cell r="EF6">
            <v>464.3</v>
          </cell>
          <cell r="EG6">
            <v>703</v>
          </cell>
          <cell r="EH6">
            <v>946.88239999999973</v>
          </cell>
          <cell r="EI6">
            <v>1275.5947800000001</v>
          </cell>
          <cell r="EJ6">
            <v>1728.5495300000002</v>
          </cell>
          <cell r="EK6">
            <v>2274.8899700000002</v>
          </cell>
          <cell r="EL6">
            <v>2968.3162400000001</v>
          </cell>
          <cell r="EM6">
            <v>0</v>
          </cell>
          <cell r="EN6">
            <v>0</v>
          </cell>
          <cell r="EO6">
            <v>0</v>
          </cell>
          <cell r="EP6">
            <v>0</v>
          </cell>
          <cell r="EQ6">
            <v>0</v>
          </cell>
          <cell r="ER6">
            <v>0</v>
          </cell>
        </row>
        <row r="7">
          <cell r="A7" t="str">
            <v>% revenues</v>
          </cell>
          <cell r="BC7">
            <v>0</v>
          </cell>
          <cell r="BD7">
            <v>0</v>
          </cell>
          <cell r="BE7">
            <v>0.71643711436675728</v>
          </cell>
          <cell r="BF7">
            <v>0.69937209658481803</v>
          </cell>
          <cell r="BG7">
            <v>0.71472243891126053</v>
          </cell>
          <cell r="BH7">
            <v>0.716877443900377</v>
          </cell>
          <cell r="BI7">
            <v>0.70712565078871703</v>
          </cell>
          <cell r="BJ7">
            <v>0.70381309704371886</v>
          </cell>
          <cell r="BK7">
            <v>0.69933324800148944</v>
          </cell>
          <cell r="BL7">
            <v>0.70239283128876362</v>
          </cell>
          <cell r="BM7">
            <v>0.69118003936760175</v>
          </cell>
          <cell r="BN7">
            <v>0.6907290585323006</v>
          </cell>
          <cell r="BO7">
            <v>0.68301100007189586</v>
          </cell>
          <cell r="BP7">
            <v>0.68542849775421721</v>
          </cell>
          <cell r="BQ7">
            <v>0.67147141769998664</v>
          </cell>
          <cell r="BR7">
            <v>0.68180440799175768</v>
          </cell>
          <cell r="BS7">
            <v>0.70294955747202359</v>
          </cell>
          <cell r="BT7">
            <v>0.70526435253489839</v>
          </cell>
          <cell r="BU7">
            <v>0.69308826345012453</v>
          </cell>
          <cell r="BV7">
            <v>0.69665674776824793</v>
          </cell>
          <cell r="BW7">
            <v>0.68981525374412755</v>
          </cell>
          <cell r="BX7">
            <v>0.68558972435777243</v>
          </cell>
          <cell r="BY7">
            <v>0.67</v>
          </cell>
          <cell r="BZ7">
            <v>0.6799999999999996</v>
          </cell>
          <cell r="CA7">
            <v>0.66098789330435137</v>
          </cell>
          <cell r="CB7">
            <v>0.68</v>
          </cell>
          <cell r="CC7">
            <v>0.66</v>
          </cell>
          <cell r="CD7">
            <v>0.66</v>
          </cell>
          <cell r="CE7">
            <v>0.66</v>
          </cell>
          <cell r="CF7">
            <v>0.66</v>
          </cell>
          <cell r="CG7">
            <v>0.67</v>
          </cell>
          <cell r="CH7">
            <v>0.66</v>
          </cell>
          <cell r="CI7">
            <v>0.66</v>
          </cell>
          <cell r="CJ7">
            <v>0.65</v>
          </cell>
          <cell r="CK7">
            <v>0.67</v>
          </cell>
          <cell r="CL7">
            <v>0.65</v>
          </cell>
          <cell r="CM7">
            <v>0.67</v>
          </cell>
          <cell r="CN7">
            <v>0.66</v>
          </cell>
          <cell r="CO7">
            <v>0.66</v>
          </cell>
          <cell r="CP7">
            <v>0.64</v>
          </cell>
          <cell r="DP7" t="str">
            <v>NA</v>
          </cell>
          <cell r="DQ7" t="str">
            <v>NA</v>
          </cell>
          <cell r="DR7" t="str">
            <v>NA</v>
          </cell>
          <cell r="DS7" t="str">
            <v>NA</v>
          </cell>
          <cell r="DT7" t="str">
            <v>NA</v>
          </cell>
          <cell r="DU7" t="str">
            <v>NA</v>
          </cell>
          <cell r="DV7" t="str">
            <v>NA</v>
          </cell>
          <cell r="DW7" t="str">
            <v>NA</v>
          </cell>
          <cell r="DX7" t="str">
            <v>NA</v>
          </cell>
          <cell r="DY7" t="str">
            <v>NA</v>
          </cell>
          <cell r="DZ7">
            <v>0</v>
          </cell>
          <cell r="EA7">
            <v>0</v>
          </cell>
          <cell r="EB7">
            <v>0</v>
          </cell>
          <cell r="EC7">
            <v>0.40524130515153595</v>
          </cell>
          <cell r="ED7">
            <v>0.70985425420168058</v>
          </cell>
          <cell r="EE7">
            <v>0.69539620864241136</v>
          </cell>
          <cell r="EF7">
            <v>0.6802302498084426</v>
          </cell>
          <cell r="EG7">
            <v>0.6991685563114135</v>
          </cell>
          <cell r="EH7">
            <v>0.68095904173495669</v>
          </cell>
          <cell r="EI7">
            <v>0.66489380733012471</v>
          </cell>
          <cell r="EJ7">
            <v>0.66258008613869279</v>
          </cell>
          <cell r="EK7">
            <v>0.65739962033696908</v>
          </cell>
          <cell r="EL7">
            <v>0.65678211052412183</v>
          </cell>
          <cell r="EM7">
            <v>0</v>
          </cell>
          <cell r="EN7">
            <v>0</v>
          </cell>
          <cell r="EO7">
            <v>0</v>
          </cell>
          <cell r="EP7">
            <v>0</v>
          </cell>
          <cell r="EQ7">
            <v>0</v>
          </cell>
          <cell r="ER7">
            <v>0</v>
          </cell>
        </row>
        <row r="8">
          <cell r="A8" t="str">
            <v>% growth y-o-y</v>
          </cell>
          <cell r="BC8" t="str">
            <v>NA</v>
          </cell>
          <cell r="BD8" t="str">
            <v>NA</v>
          </cell>
          <cell r="BE8" t="str">
            <v>NA</v>
          </cell>
          <cell r="BF8" t="str">
            <v>NA</v>
          </cell>
          <cell r="BG8" t="str">
            <v>NA</v>
          </cell>
          <cell r="BH8" t="str">
            <v>NA</v>
          </cell>
          <cell r="BI8">
            <v>0.85714285714285721</v>
          </cell>
          <cell r="BJ8">
            <v>0.93065693430656937</v>
          </cell>
          <cell r="BK8">
            <v>0.77286135693215341</v>
          </cell>
          <cell r="BL8">
            <v>0.76412776412776395</v>
          </cell>
          <cell r="BM8">
            <v>0.69010989010989032</v>
          </cell>
          <cell r="BN8">
            <v>0.63516068052930064</v>
          </cell>
          <cell r="BO8">
            <v>0.58069883527454236</v>
          </cell>
          <cell r="BP8">
            <v>0.59192200557103059</v>
          </cell>
          <cell r="BQ8">
            <v>0.56046814044213256</v>
          </cell>
          <cell r="BR8">
            <v>0.56069364161849711</v>
          </cell>
          <cell r="BS8">
            <v>0.56842105263157894</v>
          </cell>
          <cell r="BT8">
            <v>0.52230971128608927</v>
          </cell>
          <cell r="BU8">
            <v>0.5083333333333333</v>
          </cell>
          <cell r="BV8">
            <v>0.47407407407407409</v>
          </cell>
          <cell r="BW8">
            <v>0.41610738255033564</v>
          </cell>
          <cell r="BX8">
            <v>0.34482758620689657</v>
          </cell>
          <cell r="BY8">
            <v>0.32391999999999999</v>
          </cell>
          <cell r="BZ8">
            <v>0.3178536683417077</v>
          </cell>
          <cell r="CA8">
            <v>0.34318691943127999</v>
          </cell>
          <cell r="CB8">
            <v>0.30263008547008563</v>
          </cell>
          <cell r="CC8">
            <v>0.35611639166994102</v>
          </cell>
          <cell r="CD8">
            <v>0.38187759844620284</v>
          </cell>
          <cell r="CE8">
            <v>0.37215755243488946</v>
          </cell>
          <cell r="CF8">
            <v>0.36639062640658904</v>
          </cell>
          <cell r="CG8">
            <v>0.38776258478130243</v>
          </cell>
          <cell r="CH8">
            <v>0.30295050200967788</v>
          </cell>
          <cell r="CI8">
            <v>0.33892828170027567</v>
          </cell>
          <cell r="CJ8">
            <v>0.30142030328384606</v>
          </cell>
          <cell r="CK8">
            <v>0.31605548680205087</v>
          </cell>
          <cell r="CL8">
            <v>0.31017537689087105</v>
          </cell>
          <cell r="CM8">
            <v>0.34637930092763614</v>
          </cell>
          <cell r="CN8">
            <v>0.30388688902762495</v>
          </cell>
          <cell r="CO8">
            <v>0.28102970656963722</v>
          </cell>
          <cell r="CP8">
            <v>0.29347319200372546</v>
          </cell>
          <cell r="DQ8" t="str">
            <v>NA</v>
          </cell>
          <cell r="DR8" t="str">
            <v>NA</v>
          </cell>
          <cell r="DS8" t="str">
            <v>NA</v>
          </cell>
          <cell r="DT8" t="str">
            <v>NA</v>
          </cell>
          <cell r="DU8" t="str">
            <v>NA</v>
          </cell>
          <cell r="DV8" t="str">
            <v>NA</v>
          </cell>
          <cell r="DW8" t="str">
            <v>NA</v>
          </cell>
          <cell r="DX8" t="str">
            <v>NA</v>
          </cell>
          <cell r="DY8" t="str">
            <v>NA</v>
          </cell>
          <cell r="DZ8" t="str">
            <v>NA</v>
          </cell>
          <cell r="EA8" t="str">
            <v>NA</v>
          </cell>
          <cell r="EB8" t="str">
            <v>NA</v>
          </cell>
          <cell r="EC8" t="str">
            <v>NA</v>
          </cell>
          <cell r="ED8">
            <v>2.3333333333333335</v>
          </cell>
          <cell r="EE8">
            <v>0.70693641618497116</v>
          </cell>
          <cell r="EF8">
            <v>0.5722993565865222</v>
          </cell>
          <cell r="EG8">
            <v>0.51410725823820802</v>
          </cell>
          <cell r="EH8">
            <v>0.3469166429587478</v>
          </cell>
          <cell r="EI8">
            <v>0.34715227572082918</v>
          </cell>
          <cell r="EJ8">
            <v>0.35509297866521528</v>
          </cell>
          <cell r="EK8">
            <v>0.31606872150200971</v>
          </cell>
          <cell r="EL8">
            <v>0.304817498492026</v>
          </cell>
          <cell r="EM8">
            <v>-1</v>
          </cell>
          <cell r="EN8" t="str">
            <v>NA</v>
          </cell>
          <cell r="EO8" t="str">
            <v>NA</v>
          </cell>
          <cell r="EP8" t="str">
            <v>NA</v>
          </cell>
          <cell r="EQ8" t="str">
            <v>NA</v>
          </cell>
          <cell r="ER8" t="str">
            <v>NA</v>
          </cell>
        </row>
        <row r="9">
          <cell r="A9" t="str">
            <v>% growth seq</v>
          </cell>
          <cell r="BC9" t="str">
            <v>NA</v>
          </cell>
          <cell r="BD9" t="str">
            <v>NA</v>
          </cell>
          <cell r="BE9" t="str">
            <v>NA</v>
          </cell>
          <cell r="BF9">
            <v>0.11836734693877538</v>
          </cell>
          <cell r="BG9">
            <v>0.23722627737226287</v>
          </cell>
          <cell r="BH9">
            <v>0.20058997050147509</v>
          </cell>
          <cell r="BI9">
            <v>0.1179361179361178</v>
          </cell>
          <cell r="BJ9">
            <v>0.1626373626373625</v>
          </cell>
          <cell r="BK9">
            <v>0.13610586011342152</v>
          </cell>
          <cell r="BL9">
            <v>0.19467554076539084</v>
          </cell>
          <cell r="BM9">
            <v>7.1030640668523715E-2</v>
          </cell>
          <cell r="BN9">
            <v>0.12483745123537049</v>
          </cell>
          <cell r="BO9">
            <v>9.8265895953757232E-2</v>
          </cell>
          <cell r="BP9">
            <v>0.20315789473684198</v>
          </cell>
          <cell r="BQ9">
            <v>4.986876640419946E-2</v>
          </cell>
          <cell r="BR9">
            <v>0.125</v>
          </cell>
          <cell r="BS9">
            <v>0.10370370370370363</v>
          </cell>
          <cell r="BT9">
            <v>0.16778523489932895</v>
          </cell>
          <cell r="BU9">
            <v>4.022988505747116E-2</v>
          </cell>
          <cell r="BV9">
            <v>9.9447513812154664E-2</v>
          </cell>
          <cell r="BW9">
            <v>6.0301507537688481E-2</v>
          </cell>
          <cell r="BX9">
            <v>0.1090047393364928</v>
          </cell>
          <cell r="BY9">
            <v>2.4057777777777734E-2</v>
          </cell>
          <cell r="BZ9">
            <v>9.4409737164268481E-2</v>
          </cell>
          <cell r="CA9">
            <v>8.0683804120665004E-2</v>
          </cell>
          <cell r="CB9">
            <v>7.5518915118898633E-2</v>
          </cell>
          <cell r="CC9">
            <v>6.6105837683287705E-2</v>
          </cell>
          <cell r="CD9">
            <v>0.11519948331749186</v>
          </cell>
          <cell r="CE9">
            <v>7.3082337600370195E-2</v>
          </cell>
          <cell r="CF9">
            <v>7.099870676926523E-2</v>
          </cell>
          <cell r="CG9">
            <v>8.2780988365437125E-2</v>
          </cell>
          <cell r="CH9">
            <v>4.7044892666886051E-2</v>
          </cell>
          <cell r="CI9">
            <v>0.10271287220050263</v>
          </cell>
          <cell r="CJ9">
            <v>4.0996355690002595E-2</v>
          </cell>
          <cell r="CK9">
            <v>9.4957453136092385E-2</v>
          </cell>
          <cell r="CL9">
            <v>4.2366716774940194E-2</v>
          </cell>
          <cell r="CM9">
            <v>0.13318400893812687</v>
          </cell>
          <cell r="CN9">
            <v>8.1419840416019351E-3</v>
          </cell>
          <cell r="CO9">
            <v>7.5762810946899517E-2</v>
          </cell>
          <cell r="CP9">
            <v>5.2491911366953525E-2</v>
          </cell>
        </row>
        <row r="10">
          <cell r="DW10" t="e">
            <v>#REF!</v>
          </cell>
          <cell r="DX10" t="e">
            <v>#REF!</v>
          </cell>
        </row>
        <row r="11">
          <cell r="A11" t="str">
            <v>EMEA</v>
          </cell>
          <cell r="BE11">
            <v>8.6</v>
          </cell>
          <cell r="BF11">
            <v>10.3</v>
          </cell>
          <cell r="BG11">
            <v>11.9</v>
          </cell>
          <cell r="BH11">
            <v>14</v>
          </cell>
          <cell r="BI11">
            <v>16.100000000000001</v>
          </cell>
          <cell r="BJ11">
            <v>18.600000000000001</v>
          </cell>
          <cell r="BK11">
            <v>20.3</v>
          </cell>
          <cell r="BL11">
            <v>24.5</v>
          </cell>
          <cell r="BM11">
            <v>27.6</v>
          </cell>
          <cell r="BN11">
            <v>31.8</v>
          </cell>
          <cell r="BO11">
            <v>36</v>
          </cell>
          <cell r="BP11">
            <v>42.157000000000011</v>
          </cell>
          <cell r="BQ11">
            <v>46.711999999999989</v>
          </cell>
          <cell r="BR11">
            <v>49</v>
          </cell>
          <cell r="BS11">
            <v>48</v>
          </cell>
          <cell r="BT11">
            <v>56</v>
          </cell>
          <cell r="BU11">
            <v>62</v>
          </cell>
          <cell r="BV11">
            <v>67</v>
          </cell>
          <cell r="BW11">
            <v>74</v>
          </cell>
          <cell r="BX11">
            <v>82</v>
          </cell>
          <cell r="BY11">
            <v>89.414000000000001</v>
          </cell>
          <cell r="BZ11">
            <v>92.559840000000008</v>
          </cell>
          <cell r="CA11">
            <v>100.02792000000001</v>
          </cell>
          <cell r="CB11">
            <v>107.58192000000001</v>
          </cell>
          <cell r="CC11">
            <v>128.01671999999999</v>
          </cell>
          <cell r="CD11">
            <v>142.76417999999998</v>
          </cell>
          <cell r="CE11">
            <v>153.19772000000003</v>
          </cell>
          <cell r="CF11">
            <v>164.07456000000002</v>
          </cell>
          <cell r="CG11">
            <v>161.54327999999998</v>
          </cell>
          <cell r="CH11">
            <v>178.86025000000001</v>
          </cell>
          <cell r="CI11">
            <v>197.23149999999998</v>
          </cell>
          <cell r="CJ11">
            <v>216.81504000000001</v>
          </cell>
          <cell r="CK11">
            <v>212.59992</v>
          </cell>
          <cell r="CL11">
            <v>247.46124</v>
          </cell>
          <cell r="CM11">
            <v>251.12159999999997</v>
          </cell>
          <cell r="CN11">
            <v>267.71050000000002</v>
          </cell>
          <cell r="CO11">
            <v>287.99299999999999</v>
          </cell>
          <cell r="CP11">
            <v>325.08580000000001</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874.10769999999991</v>
          </cell>
          <cell r="EL11">
            <v>1131.9109000000001</v>
          </cell>
          <cell r="EM11">
            <v>0</v>
          </cell>
          <cell r="EN11">
            <v>0</v>
          </cell>
          <cell r="EO11">
            <v>0</v>
          </cell>
          <cell r="EP11">
            <v>0</v>
          </cell>
          <cell r="EQ11">
            <v>0</v>
          </cell>
          <cell r="ER11">
            <v>0</v>
          </cell>
        </row>
        <row r="12">
          <cell r="A12" t="str">
            <v>% revenues</v>
          </cell>
          <cell r="BC12">
            <v>0</v>
          </cell>
          <cell r="BD12">
            <v>0</v>
          </cell>
          <cell r="BE12">
            <v>0.2514840483083311</v>
          </cell>
          <cell r="BF12">
            <v>0.26290264944611774</v>
          </cell>
          <cell r="BG12">
            <v>0.25089076764141599</v>
          </cell>
          <cell r="BH12">
            <v>0.24659174974460141</v>
          </cell>
          <cell r="BI12">
            <v>0.25021369181754605</v>
          </cell>
          <cell r="BJ12">
            <v>0.24746547457491819</v>
          </cell>
          <cell r="BK12">
            <v>0.23621405880915533</v>
          </cell>
          <cell r="BL12">
            <v>0.23967443407485667</v>
          </cell>
          <cell r="BM12">
            <v>0.24806981907081677</v>
          </cell>
          <cell r="BN12">
            <v>0.25393276371476481</v>
          </cell>
          <cell r="BO12">
            <v>0.25882522107987632</v>
          </cell>
          <cell r="BP12">
            <v>0.25280497970100213</v>
          </cell>
          <cell r="BQ12">
            <v>0.26138144053001472</v>
          </cell>
          <cell r="BR12">
            <v>0.24746974808589722</v>
          </cell>
          <cell r="BS12">
            <v>0.22645354871581966</v>
          </cell>
          <cell r="BT12">
            <v>0.22698163070088684</v>
          </cell>
          <cell r="BU12">
            <v>0.2374114493586062</v>
          </cell>
          <cell r="BV12">
            <v>0.23455277437423422</v>
          </cell>
          <cell r="BW12">
            <v>0.24192572880125801</v>
          </cell>
          <cell r="BX12">
            <v>0.24024939058691172</v>
          </cell>
          <cell r="BY12">
            <v>0.25</v>
          </cell>
          <cell r="BZ12">
            <v>0.24000000000000002</v>
          </cell>
          <cell r="CA12">
            <v>0.23328984469565339</v>
          </cell>
          <cell r="CB12">
            <v>0.24</v>
          </cell>
          <cell r="CC12">
            <v>0.26</v>
          </cell>
          <cell r="CD12">
            <v>0.26</v>
          </cell>
          <cell r="CE12">
            <v>0.26</v>
          </cell>
          <cell r="CF12">
            <v>0.26</v>
          </cell>
          <cell r="CG12">
            <v>0.24</v>
          </cell>
          <cell r="CH12">
            <v>0.25</v>
          </cell>
          <cell r="CI12">
            <v>0.25</v>
          </cell>
          <cell r="CJ12">
            <v>0.26</v>
          </cell>
          <cell r="CK12">
            <v>0.24</v>
          </cell>
          <cell r="CL12">
            <v>0.26</v>
          </cell>
          <cell r="CM12">
            <v>0.24</v>
          </cell>
          <cell r="CN12">
            <v>0.25</v>
          </cell>
          <cell r="CO12">
            <v>0.25</v>
          </cell>
          <cell r="CP12">
            <v>0.26</v>
          </cell>
          <cell r="DP12" t="str">
            <v>NA</v>
          </cell>
          <cell r="DQ12" t="str">
            <v>NA</v>
          </cell>
          <cell r="DR12" t="str">
            <v>NA</v>
          </cell>
          <cell r="DS12" t="str">
            <v>NA</v>
          </cell>
          <cell r="DT12" t="str">
            <v>NA</v>
          </cell>
          <cell r="DU12" t="str">
            <v>NA</v>
          </cell>
          <cell r="DV12" t="str">
            <v>NA</v>
          </cell>
          <cell r="DW12" t="str">
            <v>NA</v>
          </cell>
          <cell r="DX12" t="str">
            <v>NA</v>
          </cell>
          <cell r="DY12" t="str">
            <v>NA</v>
          </cell>
          <cell r="DZ12">
            <v>0</v>
          </cell>
          <cell r="EA12">
            <v>0</v>
          </cell>
          <cell r="EB12">
            <v>0</v>
          </cell>
          <cell r="EC12">
            <v>0</v>
          </cell>
          <cell r="ED12">
            <v>0</v>
          </cell>
          <cell r="EE12">
            <v>0</v>
          </cell>
          <cell r="EF12">
            <v>0</v>
          </cell>
          <cell r="EG12">
            <v>0</v>
          </cell>
          <cell r="EH12">
            <v>0</v>
          </cell>
          <cell r="EI12">
            <v>0</v>
          </cell>
          <cell r="EJ12">
            <v>0</v>
          </cell>
          <cell r="EK12">
            <v>0.252600379663031</v>
          </cell>
          <cell r="EL12">
            <v>0.25045135683631142</v>
          </cell>
          <cell r="EM12">
            <v>0</v>
          </cell>
          <cell r="EN12">
            <v>0</v>
          </cell>
          <cell r="EO12">
            <v>0</v>
          </cell>
          <cell r="EP12">
            <v>0</v>
          </cell>
          <cell r="EQ12">
            <v>0</v>
          </cell>
          <cell r="ER12">
            <v>0</v>
          </cell>
        </row>
        <row r="13">
          <cell r="A13" t="str">
            <v>% growth y-o-y</v>
          </cell>
          <cell r="BC13" t="str">
            <v>NA</v>
          </cell>
          <cell r="BD13" t="str">
            <v>NA</v>
          </cell>
          <cell r="BE13" t="str">
            <v>NA</v>
          </cell>
          <cell r="BF13" t="str">
            <v>NA</v>
          </cell>
          <cell r="BG13" t="str">
            <v>NA</v>
          </cell>
          <cell r="BH13" t="str">
            <v>NA</v>
          </cell>
          <cell r="BI13">
            <v>0.87209302325581417</v>
          </cell>
          <cell r="BJ13">
            <v>0.80582524271844669</v>
          </cell>
          <cell r="BK13">
            <v>0.70588235294117641</v>
          </cell>
          <cell r="BL13">
            <v>0.75</v>
          </cell>
          <cell r="BM13">
            <v>0.71428571428571419</v>
          </cell>
          <cell r="BN13">
            <v>0.70967741935483852</v>
          </cell>
          <cell r="BO13">
            <v>0.77339901477832496</v>
          </cell>
          <cell r="BP13">
            <v>0.72069387755102077</v>
          </cell>
          <cell r="BQ13">
            <v>0.69246376811594157</v>
          </cell>
          <cell r="BR13">
            <v>0.54088050314465397</v>
          </cell>
          <cell r="BS13">
            <v>0.33333333333333326</v>
          </cell>
          <cell r="BT13">
            <v>0.32836776810494062</v>
          </cell>
          <cell r="BU13">
            <v>0.32728206884740563</v>
          </cell>
          <cell r="BV13">
            <v>0.36734693877551017</v>
          </cell>
          <cell r="BW13">
            <v>0.54166666666666674</v>
          </cell>
          <cell r="BX13">
            <v>0.46428571428571419</v>
          </cell>
          <cell r="BY13">
            <v>0.44216129032258067</v>
          </cell>
          <cell r="BZ13">
            <v>0.38149014925373148</v>
          </cell>
          <cell r="CA13">
            <v>0.35172864864864883</v>
          </cell>
          <cell r="CB13">
            <v>0.31197463414634163</v>
          </cell>
          <cell r="CC13">
            <v>0.43173015411456817</v>
          </cell>
          <cell r="CD13">
            <v>0.54239873361924529</v>
          </cell>
          <cell r="CE13">
            <v>0.53154959135409419</v>
          </cell>
          <cell r="CF13">
            <v>0.52511276987806133</v>
          </cell>
          <cell r="CG13">
            <v>0.26189204035222891</v>
          </cell>
          <cell r="CH13">
            <v>0.25283702116315188</v>
          </cell>
          <cell r="CI13">
            <v>0.28743104009641884</v>
          </cell>
          <cell r="CJ13">
            <v>0.32144215410359767</v>
          </cell>
          <cell r="CK13">
            <v>0.31605548680205087</v>
          </cell>
          <cell r="CL13">
            <v>0.3835451979967599</v>
          </cell>
          <cell r="CM13">
            <v>0.27323272398171694</v>
          </cell>
          <cell r="CN13">
            <v>0.23474137218525071</v>
          </cell>
          <cell r="CO13">
            <v>0.35462421622736273</v>
          </cell>
          <cell r="CP13">
            <v>0.31368371062878375</v>
          </cell>
          <cell r="DQ13" t="str">
            <v>NA</v>
          </cell>
          <cell r="DR13" t="str">
            <v>NA</v>
          </cell>
          <cell r="DS13" t="str">
            <v>NA</v>
          </cell>
          <cell r="DT13" t="str">
            <v>NA</v>
          </cell>
          <cell r="DU13" t="str">
            <v>NA</v>
          </cell>
          <cell r="DV13" t="str">
            <v>NA</v>
          </cell>
          <cell r="DW13" t="str">
            <v>NA</v>
          </cell>
          <cell r="DX13" t="str">
            <v>NA</v>
          </cell>
          <cell r="DY13" t="str">
            <v>NA</v>
          </cell>
          <cell r="DZ13" t="str">
            <v>NA</v>
          </cell>
          <cell r="EA13" t="str">
            <v>NA</v>
          </cell>
          <cell r="EB13" t="str">
            <v>NA</v>
          </cell>
          <cell r="EC13" t="str">
            <v>NA</v>
          </cell>
          <cell r="ED13" t="str">
            <v>NA</v>
          </cell>
          <cell r="EE13" t="str">
            <v>NA</v>
          </cell>
          <cell r="EF13" t="str">
            <v>NA</v>
          </cell>
          <cell r="EG13" t="str">
            <v>NA</v>
          </cell>
          <cell r="EH13" t="str">
            <v>NA</v>
          </cell>
          <cell r="EI13" t="str">
            <v>NA</v>
          </cell>
          <cell r="EJ13" t="str">
            <v>NA</v>
          </cell>
          <cell r="EK13" t="str">
            <v>NA</v>
          </cell>
          <cell r="EL13">
            <v>0.2949329928108404</v>
          </cell>
          <cell r="EM13">
            <v>-1</v>
          </cell>
          <cell r="EN13" t="str">
            <v>NA</v>
          </cell>
          <cell r="EO13" t="str">
            <v>NA</v>
          </cell>
          <cell r="EP13" t="str">
            <v>NA</v>
          </cell>
          <cell r="EQ13" t="str">
            <v>NA</v>
          </cell>
          <cell r="ER13" t="str">
            <v>NA</v>
          </cell>
        </row>
        <row r="14">
          <cell r="A14" t="str">
            <v>% growth seq</v>
          </cell>
          <cell r="BC14" t="str">
            <v>NA</v>
          </cell>
          <cell r="BD14" t="str">
            <v>NA</v>
          </cell>
          <cell r="BE14" t="str">
            <v>NA</v>
          </cell>
          <cell r="BF14">
            <v>0.19767441860465129</v>
          </cell>
          <cell r="BG14">
            <v>0.15533980582524265</v>
          </cell>
          <cell r="BH14">
            <v>0.17647058823529416</v>
          </cell>
          <cell r="BI14">
            <v>0.15000000000000013</v>
          </cell>
          <cell r="BJ14">
            <v>0.15527950310559002</v>
          </cell>
          <cell r="BK14">
            <v>9.139784946236551E-2</v>
          </cell>
          <cell r="BL14">
            <v>0.2068965517241379</v>
          </cell>
          <cell r="BM14">
            <v>0.12653061224489792</v>
          </cell>
          <cell r="BN14">
            <v>0.15217391304347827</v>
          </cell>
          <cell r="BO14">
            <v>0.13207547169811318</v>
          </cell>
          <cell r="BP14">
            <v>0.171027777777778</v>
          </cell>
          <cell r="BQ14">
            <v>0.10804848542353529</v>
          </cell>
          <cell r="BR14">
            <v>4.8980989895530236E-2</v>
          </cell>
          <cell r="BS14">
            <v>-2.0408163265306145E-2</v>
          </cell>
          <cell r="BT14">
            <v>0.16666666666666674</v>
          </cell>
          <cell r="BU14">
            <v>0.10714285714285721</v>
          </cell>
          <cell r="BV14">
            <v>8.0645161290322509E-2</v>
          </cell>
          <cell r="BW14">
            <v>0.10447761194029859</v>
          </cell>
          <cell r="BX14">
            <v>0.10810810810810811</v>
          </cell>
          <cell r="BY14">
            <v>9.0414634146341433E-2</v>
          </cell>
          <cell r="BZ14">
            <v>3.5182857270673606E-2</v>
          </cell>
          <cell r="CA14">
            <v>8.0683804120663893E-2</v>
          </cell>
          <cell r="CB14">
            <v>7.5518915118898855E-2</v>
          </cell>
          <cell r="CC14">
            <v>0.18994641478791219</v>
          </cell>
          <cell r="CD14">
            <v>0.11519948331749164</v>
          </cell>
          <cell r="CE14">
            <v>7.3082337600370417E-2</v>
          </cell>
          <cell r="CF14">
            <v>7.099870676926523E-2</v>
          </cell>
          <cell r="CG14">
            <v>-1.5427620223391392E-2</v>
          </cell>
          <cell r="CH14">
            <v>0.10719709294004698</v>
          </cell>
          <cell r="CI14">
            <v>0.10271287220050285</v>
          </cell>
          <cell r="CJ14">
            <v>9.9292151608642687E-2</v>
          </cell>
          <cell r="CK14">
            <v>-1.9441086743797853E-2</v>
          </cell>
          <cell r="CL14">
            <v>0.1639761670653499</v>
          </cell>
          <cell r="CM14">
            <v>1.4791649795337536E-2</v>
          </cell>
          <cell r="CN14">
            <v>6.6059231862173773E-2</v>
          </cell>
          <cell r="CO14">
            <v>7.5762810946899517E-2</v>
          </cell>
          <cell r="CP14">
            <v>0.1287975749410577</v>
          </cell>
        </row>
        <row r="15">
          <cell r="DW15" t="e">
            <v>#REF!</v>
          </cell>
          <cell r="DX15" t="e">
            <v>#REF!</v>
          </cell>
        </row>
        <row r="16">
          <cell r="A16" t="str">
            <v>APAC &amp; Other</v>
          </cell>
          <cell r="BE16">
            <v>1.1000000000000001</v>
          </cell>
          <cell r="BF16">
            <v>1.5</v>
          </cell>
          <cell r="BG16">
            <v>1.6</v>
          </cell>
          <cell r="BH16">
            <v>2.1</v>
          </cell>
          <cell r="BI16">
            <v>2.7</v>
          </cell>
          <cell r="BJ16">
            <v>3.7</v>
          </cell>
          <cell r="BK16">
            <v>5.5</v>
          </cell>
          <cell r="BL16">
            <v>5.9</v>
          </cell>
          <cell r="BM16">
            <v>6.8</v>
          </cell>
          <cell r="BN16">
            <v>6.9</v>
          </cell>
          <cell r="BO16">
            <v>7.8</v>
          </cell>
          <cell r="BP16">
            <v>10.3</v>
          </cell>
          <cell r="BQ16">
            <v>12</v>
          </cell>
          <cell r="BR16">
            <v>14</v>
          </cell>
          <cell r="BS16">
            <v>15</v>
          </cell>
          <cell r="BT16">
            <v>17</v>
          </cell>
          <cell r="BU16">
            <v>18</v>
          </cell>
          <cell r="BV16">
            <v>20</v>
          </cell>
          <cell r="BW16">
            <v>21</v>
          </cell>
          <cell r="BX16">
            <v>25</v>
          </cell>
          <cell r="BY16">
            <v>28.612480000000001</v>
          </cell>
          <cell r="BZ16">
            <v>30.853280000000005</v>
          </cell>
          <cell r="CA16">
            <v>33.342640000000003</v>
          </cell>
          <cell r="CB16">
            <v>35.860639999999982</v>
          </cell>
          <cell r="CC16">
            <v>39.389759999999974</v>
          </cell>
          <cell r="CD16">
            <v>43.927439999999976</v>
          </cell>
          <cell r="CE16">
            <v>47.137759999999986</v>
          </cell>
          <cell r="CF16">
            <v>50.484479999999976</v>
          </cell>
          <cell r="CG16">
            <v>60.578729999999979</v>
          </cell>
          <cell r="CH16">
            <v>64.389689999999987</v>
          </cell>
          <cell r="CI16">
            <v>71.003339999999966</v>
          </cell>
          <cell r="CJ16">
            <v>75.051359999999974</v>
          </cell>
          <cell r="CK16">
            <v>79.724969999999971</v>
          </cell>
          <cell r="CL16">
            <v>85.659659999999974</v>
          </cell>
          <cell r="CM16">
            <v>94.170599999999965</v>
          </cell>
          <cell r="CN16">
            <v>96.375779999999978</v>
          </cell>
          <cell r="CO16">
            <v>103.67747999999996</v>
          </cell>
          <cell r="CP16">
            <v>125.03299999999996</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311.43932999999987</v>
          </cell>
          <cell r="EL16">
            <v>419.25685999999985</v>
          </cell>
          <cell r="EM16">
            <v>0</v>
          </cell>
          <cell r="EN16">
            <v>0</v>
          </cell>
          <cell r="EO16">
            <v>0</v>
          </cell>
          <cell r="EP16">
            <v>0</v>
          </cell>
          <cell r="EQ16">
            <v>0</v>
          </cell>
          <cell r="ER16">
            <v>0</v>
          </cell>
        </row>
        <row r="17">
          <cell r="A17" t="str">
            <v>% revenues</v>
          </cell>
          <cell r="BC17">
            <v>0</v>
          </cell>
          <cell r="BD17">
            <v>0</v>
          </cell>
          <cell r="BE17">
            <v>3.2166564318507472E-2</v>
          </cell>
          <cell r="BF17">
            <v>3.8286793608657922E-2</v>
          </cell>
          <cell r="BG17">
            <v>3.3733212455988704E-2</v>
          </cell>
          <cell r="BH17">
            <v>3.6988762461690208E-2</v>
          </cell>
          <cell r="BI17">
            <v>4.19613023544953E-2</v>
          </cell>
          <cell r="BJ17">
            <v>4.9227003006838563E-2</v>
          </cell>
          <cell r="BK17">
            <v>6.3998882928588879E-2</v>
          </cell>
          <cell r="BL17">
            <v>5.7717516777210383E-2</v>
          </cell>
          <cell r="BM17">
            <v>6.1118651075418619E-2</v>
          </cell>
          <cell r="BN17">
            <v>5.5098618541882936E-2</v>
          </cell>
          <cell r="BO17">
            <v>5.6078797900639868E-2</v>
          </cell>
          <cell r="BP17">
            <v>6.1766522544780732E-2</v>
          </cell>
          <cell r="BQ17">
            <v>6.7147141769998656E-2</v>
          </cell>
          <cell r="BR17">
            <v>7.0705642310256347E-2</v>
          </cell>
          <cell r="BS17">
            <v>7.0766733973693652E-2</v>
          </cell>
          <cell r="BT17">
            <v>6.8905137891340645E-2</v>
          </cell>
          <cell r="BU17">
            <v>6.8925904652498565E-2</v>
          </cell>
          <cell r="BV17">
            <v>7.0015753544547532E-2</v>
          </cell>
          <cell r="BW17">
            <v>6.8654598713870515E-2</v>
          </cell>
          <cell r="BX17">
            <v>7.3246765422838936E-2</v>
          </cell>
          <cell r="BY17">
            <v>0.08</v>
          </cell>
          <cell r="BZ17">
            <v>8.0000000000000016E-2</v>
          </cell>
          <cell r="CA17">
            <v>7.7763281565217807E-2</v>
          </cell>
          <cell r="CB17">
            <v>7.999999999999996E-2</v>
          </cell>
          <cell r="CC17">
            <v>7.999999999999996E-2</v>
          </cell>
          <cell r="CD17">
            <v>7.999999999999996E-2</v>
          </cell>
          <cell r="CE17">
            <v>7.999999999999996E-2</v>
          </cell>
          <cell r="CF17">
            <v>7.999999999999996E-2</v>
          </cell>
          <cell r="CG17">
            <v>8.9999999999999969E-2</v>
          </cell>
          <cell r="CH17">
            <v>8.9999999999999969E-2</v>
          </cell>
          <cell r="CI17">
            <v>8.9999999999999969E-2</v>
          </cell>
          <cell r="CJ17">
            <v>8.9999999999999969E-2</v>
          </cell>
          <cell r="CK17">
            <v>8.9999999999999969E-2</v>
          </cell>
          <cell r="CL17">
            <v>8.9999999999999969E-2</v>
          </cell>
          <cell r="CM17">
            <v>8.9999999999999969E-2</v>
          </cell>
          <cell r="CN17">
            <v>8.9999999999999969E-2</v>
          </cell>
          <cell r="CO17">
            <v>8.9999999999999969E-2</v>
          </cell>
          <cell r="CP17">
            <v>9.9999999999999978E-2</v>
          </cell>
          <cell r="DP17" t="str">
            <v>NA</v>
          </cell>
          <cell r="DQ17" t="str">
            <v>NA</v>
          </cell>
          <cell r="DR17" t="str">
            <v>NA</v>
          </cell>
          <cell r="DS17" t="str">
            <v>NA</v>
          </cell>
          <cell r="DT17" t="str">
            <v>NA</v>
          </cell>
          <cell r="DU17" t="str">
            <v>NA</v>
          </cell>
          <cell r="DV17" t="str">
            <v>NA</v>
          </cell>
          <cell r="DW17" t="str">
            <v>NA</v>
          </cell>
          <cell r="DX17" t="str">
            <v>NA</v>
          </cell>
          <cell r="DY17" t="str">
            <v>NA</v>
          </cell>
          <cell r="DZ17">
            <v>0</v>
          </cell>
          <cell r="EA17">
            <v>0</v>
          </cell>
          <cell r="EB17">
            <v>0</v>
          </cell>
          <cell r="EC17">
            <v>0</v>
          </cell>
          <cell r="ED17">
            <v>0</v>
          </cell>
          <cell r="EE17">
            <v>0</v>
          </cell>
          <cell r="EF17">
            <v>0</v>
          </cell>
          <cell r="EG17">
            <v>0</v>
          </cell>
          <cell r="EH17">
            <v>0</v>
          </cell>
          <cell r="EI17">
            <v>0</v>
          </cell>
          <cell r="EJ17">
            <v>0</v>
          </cell>
          <cell r="EK17">
            <v>8.9999999999999969E-2</v>
          </cell>
          <cell r="EL17">
            <v>9.2766532639566801E-2</v>
          </cell>
          <cell r="EM17">
            <v>0</v>
          </cell>
          <cell r="EN17">
            <v>0</v>
          </cell>
          <cell r="EO17">
            <v>0</v>
          </cell>
          <cell r="EP17">
            <v>0</v>
          </cell>
          <cell r="EQ17">
            <v>0</v>
          </cell>
          <cell r="ER17">
            <v>0</v>
          </cell>
        </row>
        <row r="18">
          <cell r="A18" t="str">
            <v>% growth y-o-y</v>
          </cell>
          <cell r="BC18" t="str">
            <v>NA</v>
          </cell>
          <cell r="BD18" t="str">
            <v>NA</v>
          </cell>
          <cell r="BE18" t="str">
            <v>NA</v>
          </cell>
          <cell r="BF18" t="str">
            <v>NA</v>
          </cell>
          <cell r="BG18" t="str">
            <v>NA</v>
          </cell>
          <cell r="BH18" t="str">
            <v>NA</v>
          </cell>
          <cell r="BI18">
            <v>1.4545454545454546</v>
          </cell>
          <cell r="BJ18">
            <v>1.4666666666666668</v>
          </cell>
          <cell r="BK18">
            <v>2.4375</v>
          </cell>
          <cell r="BL18">
            <v>1.8095238095238098</v>
          </cell>
          <cell r="BM18">
            <v>1.5185185185185182</v>
          </cell>
          <cell r="BN18">
            <v>0.86486486486486491</v>
          </cell>
          <cell r="BO18">
            <v>0.41818181818181821</v>
          </cell>
          <cell r="BP18">
            <v>0.74576271186440679</v>
          </cell>
          <cell r="BQ18">
            <v>0.76470588235294112</v>
          </cell>
          <cell r="BR18">
            <v>1.0289855072463765</v>
          </cell>
          <cell r="BS18">
            <v>0.92307692307692313</v>
          </cell>
          <cell r="BT18">
            <v>0.65048543689320382</v>
          </cell>
          <cell r="BU18">
            <v>0.5</v>
          </cell>
          <cell r="BV18">
            <v>0.4285714285714286</v>
          </cell>
          <cell r="BW18">
            <v>0.39999999999999991</v>
          </cell>
          <cell r="BX18">
            <v>0.47058823529411775</v>
          </cell>
          <cell r="BY18">
            <v>0.58958222222222223</v>
          </cell>
          <cell r="BZ18">
            <v>0.54266400000000026</v>
          </cell>
          <cell r="CA18">
            <v>0.58774476190476199</v>
          </cell>
          <cell r="CB18">
            <v>0.4344255999999993</v>
          </cell>
          <cell r="CC18">
            <v>0.37666360972554536</v>
          </cell>
          <cell r="CD18">
            <v>0.42375267718699505</v>
          </cell>
          <cell r="CE18">
            <v>0.41373808432685544</v>
          </cell>
          <cell r="CF18">
            <v>0.40779640296436437</v>
          </cell>
          <cell r="CG18">
            <v>0.53793092417927957</v>
          </cell>
          <cell r="CH18">
            <v>0.465819314760888</v>
          </cell>
          <cell r="CI18">
            <v>0.50629431691281024</v>
          </cell>
          <cell r="CJ18">
            <v>0.48662242336654771</v>
          </cell>
          <cell r="CK18">
            <v>0.31605548680205087</v>
          </cell>
          <cell r="CL18">
            <v>0.33033192115073073</v>
          </cell>
          <cell r="CM18">
            <v>0.32628408748095517</v>
          </cell>
          <cell r="CN18">
            <v>0.28413102707266069</v>
          </cell>
          <cell r="CO18">
            <v>0.30043924757826801</v>
          </cell>
          <cell r="CP18">
            <v>0.45964856736531523</v>
          </cell>
          <cell r="DQ18" t="str">
            <v>NA</v>
          </cell>
          <cell r="DR18" t="str">
            <v>NA</v>
          </cell>
          <cell r="DS18" t="str">
            <v>NA</v>
          </cell>
          <cell r="DT18" t="str">
            <v>NA</v>
          </cell>
          <cell r="DU18" t="str">
            <v>NA</v>
          </cell>
          <cell r="DV18" t="str">
            <v>NA</v>
          </cell>
          <cell r="DW18" t="str">
            <v>NA</v>
          </cell>
          <cell r="DX18" t="str">
            <v>NA</v>
          </cell>
          <cell r="DY18" t="str">
            <v>NA</v>
          </cell>
          <cell r="DZ18" t="str">
            <v>NA</v>
          </cell>
          <cell r="EA18" t="str">
            <v>NA</v>
          </cell>
          <cell r="EB18" t="str">
            <v>NA</v>
          </cell>
          <cell r="EC18" t="str">
            <v>NA</v>
          </cell>
          <cell r="ED18" t="str">
            <v>NA</v>
          </cell>
          <cell r="EE18" t="str">
            <v>NA</v>
          </cell>
          <cell r="EF18" t="str">
            <v>NA</v>
          </cell>
          <cell r="EG18" t="str">
            <v>NA</v>
          </cell>
          <cell r="EH18" t="str">
            <v>NA</v>
          </cell>
          <cell r="EI18" t="str">
            <v>NA</v>
          </cell>
          <cell r="EJ18" t="str">
            <v>NA</v>
          </cell>
          <cell r="EK18" t="str">
            <v>NA</v>
          </cell>
          <cell r="EL18">
            <v>0.34619111850773643</v>
          </cell>
          <cell r="EM18">
            <v>-1</v>
          </cell>
          <cell r="EN18" t="str">
            <v>NA</v>
          </cell>
          <cell r="EO18" t="str">
            <v>NA</v>
          </cell>
          <cell r="EP18" t="str">
            <v>NA</v>
          </cell>
          <cell r="EQ18" t="str">
            <v>NA</v>
          </cell>
          <cell r="ER18" t="str">
            <v>NA</v>
          </cell>
        </row>
        <row r="19">
          <cell r="A19" t="str">
            <v>% growth seq</v>
          </cell>
          <cell r="BC19" t="str">
            <v>NA</v>
          </cell>
          <cell r="BD19" t="str">
            <v>NA</v>
          </cell>
          <cell r="BE19" t="str">
            <v>NA</v>
          </cell>
          <cell r="BF19">
            <v>0.36363636363636354</v>
          </cell>
          <cell r="BG19">
            <v>6.6666666666666652E-2</v>
          </cell>
          <cell r="BH19">
            <v>0.3125</v>
          </cell>
          <cell r="BI19">
            <v>0.28571428571428581</v>
          </cell>
          <cell r="BJ19">
            <v>0.37037037037037024</v>
          </cell>
          <cell r="BK19">
            <v>0.4864864864864864</v>
          </cell>
          <cell r="BL19">
            <v>7.2727272727272751E-2</v>
          </cell>
          <cell r="BM19">
            <v>0.15254237288135575</v>
          </cell>
          <cell r="BN19">
            <v>1.4705882352941346E-2</v>
          </cell>
          <cell r="BO19">
            <v>0.13043478260869557</v>
          </cell>
          <cell r="BP19">
            <v>0.32051282051282071</v>
          </cell>
          <cell r="BQ19">
            <v>0.16504854368932032</v>
          </cell>
          <cell r="BR19">
            <v>0.16666666666666674</v>
          </cell>
          <cell r="BS19">
            <v>7.1428571428571397E-2</v>
          </cell>
          <cell r="BT19">
            <v>0.1333333333333333</v>
          </cell>
          <cell r="BU19">
            <v>5.8823529411764719E-2</v>
          </cell>
          <cell r="BV19">
            <v>0.11111111111111116</v>
          </cell>
          <cell r="BW19">
            <v>5.0000000000000044E-2</v>
          </cell>
          <cell r="BX19">
            <v>0.19047619047619047</v>
          </cell>
          <cell r="BY19">
            <v>0.14449920000000005</v>
          </cell>
          <cell r="BZ19">
            <v>7.831547632361846E-2</v>
          </cell>
          <cell r="CA19">
            <v>8.0683804120663893E-2</v>
          </cell>
          <cell r="CB19">
            <v>7.5518915118898189E-2</v>
          </cell>
          <cell r="CC19">
            <v>9.8412075188841985E-2</v>
          </cell>
          <cell r="CD19">
            <v>0.11519948331749186</v>
          </cell>
          <cell r="CE19">
            <v>7.3082337600370417E-2</v>
          </cell>
          <cell r="CF19">
            <v>7.0998706769265008E-2</v>
          </cell>
          <cell r="CG19">
            <v>0.19994758785274214</v>
          </cell>
          <cell r="CH19">
            <v>6.2909209222445028E-2</v>
          </cell>
          <cell r="CI19">
            <v>0.10271287220050263</v>
          </cell>
          <cell r="CJ19">
            <v>5.7011684239079541E-2</v>
          </cell>
          <cell r="CK19">
            <v>6.2272156027552317E-2</v>
          </cell>
          <cell r="CL19">
            <v>7.4439538829553786E-2</v>
          </cell>
          <cell r="CM19">
            <v>9.9357620611615793E-2</v>
          </cell>
          <cell r="CN19">
            <v>2.3416862587686715E-2</v>
          </cell>
          <cell r="CO19">
            <v>7.5762810946899517E-2</v>
          </cell>
          <cell r="CP19">
            <v>0.20598031510796755</v>
          </cell>
        </row>
        <row r="20">
          <cell r="AG20" t="str">
            <v>Ex. Alias</v>
          </cell>
          <cell r="AH20" t="e">
            <v>#REF!</v>
          </cell>
          <cell r="AI20" t="e">
            <v>#REF!</v>
          </cell>
          <cell r="AM20" t="e">
            <v>#REF!</v>
          </cell>
          <cell r="AQ20" t="e">
            <v>#REF!</v>
          </cell>
        </row>
        <row r="22">
          <cell r="A22" t="str">
            <v>(US$ in millions, unless otherwise stated)</v>
          </cell>
          <cell r="C22" t="str">
            <v>Fiscal 1999 by Quarter</v>
          </cell>
          <cell r="G22" t="str">
            <v>Fiscal 2000 by Quarter</v>
          </cell>
          <cell r="K22" t="str">
            <v>Fiscal 2001 by Quarter</v>
          </cell>
          <cell r="O22" t="str">
            <v>Fiscal 2002 by Quarter</v>
          </cell>
          <cell r="S22" t="str">
            <v>Fiscal 2003 by Quarter</v>
          </cell>
          <cell r="W22" t="str">
            <v>Fiscal 2004 by Quarter</v>
          </cell>
          <cell r="AA22" t="str">
            <v>Fiscal 2005 by Quarter</v>
          </cell>
          <cell r="AE22" t="str">
            <v>Fiscal 2006 by Quarter</v>
          </cell>
          <cell r="AI22" t="str">
            <v>Fiscal 2006 by Quarter</v>
          </cell>
          <cell r="AM22" t="str">
            <v>Fiscal 2007 by Quarter</v>
          </cell>
          <cell r="AQ22" t="str">
            <v>Fiscal 2008 by Quarter</v>
          </cell>
          <cell r="AU22" t="str">
            <v>Fiscal 2009 by Quarter</v>
          </cell>
          <cell r="AY22" t="str">
            <v>Fiscal 2010 by Quarter</v>
          </cell>
          <cell r="BC22" t="str">
            <v>Fiscal 2011 by Quarter</v>
          </cell>
          <cell r="BG22" t="str">
            <v>Fiscal 2012 by Quarter</v>
          </cell>
          <cell r="BK22" t="str">
            <v>Fiscal 2013 by Quarter</v>
          </cell>
          <cell r="BO22" t="str">
            <v>Fiscal 2014 by Quarter</v>
          </cell>
          <cell r="BS22" t="str">
            <v>Fiscal 2015 by Quarter</v>
          </cell>
          <cell r="BW22" t="str">
            <v>Fiscal 2016 by Quarter</v>
          </cell>
          <cell r="CA22" t="str">
            <v>Fiscal 2017 by Quarter</v>
          </cell>
          <cell r="CE22" t="str">
            <v>Fiscal 2018 by Quarter</v>
          </cell>
          <cell r="CI22" t="str">
            <v>Fiscal 2019 by Quarter</v>
          </cell>
          <cell r="CM22" t="str">
            <v>Fiscal 2020 by Quarter</v>
          </cell>
          <cell r="CQ22" t="str">
            <v>Fiscal 2021 by Quarter</v>
          </cell>
          <cell r="CU22" t="str">
            <v>Fiscal 2022 by Quarter</v>
          </cell>
          <cell r="CY22" t="str">
            <v>Fiscal 2023 by Quarter</v>
          </cell>
          <cell r="DC22" t="str">
            <v>Fiscal 2024 by Quarter</v>
          </cell>
          <cell r="DG22" t="str">
            <v>Fiscal 2025 by Quarter</v>
          </cell>
          <cell r="DK22" t="str">
            <v>Fiscal 2026 by Quarter</v>
          </cell>
          <cell r="DP22" t="str">
            <v xml:space="preserve"> Fiscal Year Ends December</v>
          </cell>
        </row>
        <row r="23">
          <cell r="C23">
            <v>35886</v>
          </cell>
          <cell r="D23">
            <v>35977</v>
          </cell>
          <cell r="E23">
            <v>36069</v>
          </cell>
          <cell r="F23">
            <v>36161</v>
          </cell>
          <cell r="G23">
            <v>36251</v>
          </cell>
          <cell r="H23">
            <v>36342</v>
          </cell>
          <cell r="I23">
            <v>36434</v>
          </cell>
          <cell r="J23">
            <v>36526</v>
          </cell>
          <cell r="K23">
            <v>36617</v>
          </cell>
          <cell r="L23">
            <v>36708</v>
          </cell>
          <cell r="M23">
            <v>36800</v>
          </cell>
          <cell r="N23">
            <v>36892</v>
          </cell>
          <cell r="O23">
            <v>36982</v>
          </cell>
          <cell r="P23">
            <v>37073</v>
          </cell>
          <cell r="Q23">
            <v>37165</v>
          </cell>
          <cell r="R23">
            <v>37257</v>
          </cell>
          <cell r="S23">
            <v>37348</v>
          </cell>
          <cell r="T23">
            <v>37439</v>
          </cell>
          <cell r="U23">
            <v>37531</v>
          </cell>
          <cell r="V23">
            <v>37623</v>
          </cell>
          <cell r="W23">
            <v>37715</v>
          </cell>
          <cell r="X23">
            <v>37806</v>
          </cell>
          <cell r="Y23">
            <v>37898</v>
          </cell>
          <cell r="Z23">
            <v>37990</v>
          </cell>
          <cell r="AA23">
            <v>38081</v>
          </cell>
          <cell r="AB23">
            <v>38172</v>
          </cell>
          <cell r="AC23">
            <v>38264</v>
          </cell>
          <cell r="AD23">
            <v>38356</v>
          </cell>
          <cell r="AE23">
            <v>38447</v>
          </cell>
          <cell r="AF23">
            <v>38538</v>
          </cell>
          <cell r="AG23">
            <v>38630</v>
          </cell>
          <cell r="AH23">
            <v>38722</v>
          </cell>
          <cell r="AI23">
            <v>38807</v>
          </cell>
          <cell r="AJ23">
            <v>38898</v>
          </cell>
          <cell r="AK23">
            <v>38990</v>
          </cell>
          <cell r="AL23">
            <v>39082</v>
          </cell>
          <cell r="AM23">
            <v>39172</v>
          </cell>
          <cell r="AN23">
            <v>39263</v>
          </cell>
          <cell r="AO23">
            <v>39355</v>
          </cell>
          <cell r="AP23">
            <v>39447</v>
          </cell>
          <cell r="AQ23">
            <v>39538</v>
          </cell>
          <cell r="AR23">
            <v>39629</v>
          </cell>
          <cell r="AS23">
            <v>39721</v>
          </cell>
          <cell r="AT23">
            <v>39813</v>
          </cell>
          <cell r="AU23">
            <v>39903</v>
          </cell>
          <cell r="AV23">
            <v>39994</v>
          </cell>
          <cell r="AW23">
            <v>40086</v>
          </cell>
          <cell r="AX23">
            <v>40178</v>
          </cell>
          <cell r="AY23">
            <v>40268</v>
          </cell>
          <cell r="AZ23">
            <v>40359</v>
          </cell>
          <cell r="BA23">
            <v>40451</v>
          </cell>
          <cell r="BB23">
            <v>40543</v>
          </cell>
          <cell r="BC23">
            <v>40633</v>
          </cell>
          <cell r="BD23">
            <v>40724</v>
          </cell>
          <cell r="BE23">
            <v>40816</v>
          </cell>
          <cell r="BF23">
            <v>40908</v>
          </cell>
          <cell r="BG23">
            <v>40999</v>
          </cell>
          <cell r="BH23">
            <v>41072</v>
          </cell>
          <cell r="BI23">
            <v>41164</v>
          </cell>
          <cell r="BJ23">
            <v>41255</v>
          </cell>
          <cell r="BK23">
            <v>41346</v>
          </cell>
          <cell r="BL23">
            <v>41438</v>
          </cell>
          <cell r="BM23">
            <v>41529</v>
          </cell>
          <cell r="BN23">
            <v>41621</v>
          </cell>
          <cell r="BO23">
            <v>41712</v>
          </cell>
          <cell r="BP23">
            <v>41804</v>
          </cell>
          <cell r="BQ23">
            <v>41894</v>
          </cell>
          <cell r="BR23">
            <v>41987</v>
          </cell>
          <cell r="BS23">
            <v>42078</v>
          </cell>
          <cell r="BT23">
            <v>42170</v>
          </cell>
          <cell r="BU23">
            <v>42262</v>
          </cell>
          <cell r="BV23">
            <v>42353</v>
          </cell>
          <cell r="BW23">
            <v>42445</v>
          </cell>
          <cell r="BX23">
            <v>42537</v>
          </cell>
          <cell r="BY23">
            <v>42629</v>
          </cell>
          <cell r="BZ23">
            <v>42720</v>
          </cell>
          <cell r="CA23">
            <v>42811</v>
          </cell>
          <cell r="CB23">
            <v>42903</v>
          </cell>
          <cell r="CC23">
            <v>42995</v>
          </cell>
          <cell r="CD23">
            <v>43086</v>
          </cell>
          <cell r="CE23">
            <v>43177</v>
          </cell>
          <cell r="CF23">
            <v>43269</v>
          </cell>
          <cell r="CG23">
            <v>43361</v>
          </cell>
          <cell r="CH23">
            <v>43452</v>
          </cell>
          <cell r="CI23">
            <v>43543</v>
          </cell>
          <cell r="CJ23">
            <v>43635</v>
          </cell>
          <cell r="CK23">
            <v>43727</v>
          </cell>
          <cell r="CL23">
            <v>43818</v>
          </cell>
          <cell r="CM23">
            <v>43910</v>
          </cell>
          <cell r="CN23">
            <v>44002</v>
          </cell>
          <cell r="CO23">
            <v>44094</v>
          </cell>
          <cell r="CP23">
            <v>44185</v>
          </cell>
          <cell r="CQ23" t="str">
            <v>Mar-21E</v>
          </cell>
          <cell r="CR23" t="str">
            <v>Jun-21E</v>
          </cell>
          <cell r="CS23" t="str">
            <v>Sep-21E</v>
          </cell>
          <cell r="CT23" t="str">
            <v>Dec-21E</v>
          </cell>
          <cell r="CU23" t="str">
            <v>Mar-22E</v>
          </cell>
          <cell r="CV23" t="str">
            <v>Jun-22E</v>
          </cell>
          <cell r="CW23" t="str">
            <v>Sep-22E</v>
          </cell>
          <cell r="CX23" t="str">
            <v>Dec-22E</v>
          </cell>
          <cell r="CY23" t="str">
            <v>Mar-23E</v>
          </cell>
          <cell r="CZ23" t="str">
            <v>Jun-23E</v>
          </cell>
          <cell r="DA23" t="str">
            <v>Sep-23E</v>
          </cell>
          <cell r="DB23" t="str">
            <v>Dec-23E</v>
          </cell>
          <cell r="DC23" t="str">
            <v>Mar-24E</v>
          </cell>
          <cell r="DD23" t="str">
            <v>Jun-24E</v>
          </cell>
          <cell r="DE23" t="str">
            <v>Sep-24E</v>
          </cell>
          <cell r="DF23" t="str">
            <v>Dec-24E</v>
          </cell>
          <cell r="DG23" t="str">
            <v>Mar-25E</v>
          </cell>
          <cell r="DH23" t="str">
            <v>Jun-25E</v>
          </cell>
          <cell r="DI23" t="str">
            <v>Sep-25E</v>
          </cell>
          <cell r="DJ23" t="str">
            <v>Dec-25E</v>
          </cell>
          <cell r="DK23" t="str">
            <v>Mar-26E</v>
          </cell>
          <cell r="DL23" t="str">
            <v>Jun-26E</v>
          </cell>
          <cell r="DM23" t="str">
            <v>Sep-26E</v>
          </cell>
          <cell r="DN23" t="str">
            <v>Dec-26E</v>
          </cell>
          <cell r="DP23">
            <v>1998</v>
          </cell>
          <cell r="DQ23">
            <v>1999</v>
          </cell>
          <cell r="DR23">
            <v>2000</v>
          </cell>
          <cell r="DS23">
            <v>2001</v>
          </cell>
          <cell r="DT23">
            <v>2002</v>
          </cell>
          <cell r="DU23">
            <v>2003</v>
          </cell>
          <cell r="DV23">
            <v>2004</v>
          </cell>
          <cell r="DW23">
            <v>2005</v>
          </cell>
          <cell r="DX23">
            <v>2006</v>
          </cell>
          <cell r="DY23">
            <v>2007</v>
          </cell>
          <cell r="DZ23">
            <v>2008</v>
          </cell>
          <cell r="EA23">
            <v>2009</v>
          </cell>
          <cell r="EB23">
            <v>2010</v>
          </cell>
          <cell r="EC23">
            <v>2011</v>
          </cell>
          <cell r="ED23">
            <v>2012</v>
          </cell>
          <cell r="EE23">
            <v>2013</v>
          </cell>
          <cell r="EF23">
            <v>2014</v>
          </cell>
          <cell r="EG23">
            <v>2015</v>
          </cell>
          <cell r="EH23">
            <v>2016</v>
          </cell>
          <cell r="EI23">
            <v>2017</v>
          </cell>
          <cell r="EJ23">
            <v>2018</v>
          </cell>
          <cell r="EK23">
            <v>2019</v>
          </cell>
          <cell r="EL23">
            <v>2020</v>
          </cell>
          <cell r="EM23" t="str">
            <v>2021E</v>
          </cell>
          <cell r="EN23" t="str">
            <v>2022E</v>
          </cell>
          <cell r="EO23" t="str">
            <v>2023E</v>
          </cell>
          <cell r="EP23" t="str">
            <v>2024E</v>
          </cell>
          <cell r="EQ23" t="str">
            <v>2025E</v>
          </cell>
          <cell r="ER23" t="str">
            <v>2026E</v>
          </cell>
        </row>
        <row r="24">
          <cell r="A24" t="str">
            <v>Subscription and support</v>
          </cell>
          <cell r="AW24">
            <v>7.0659999999999998</v>
          </cell>
          <cell r="AX24">
            <v>8.7430000000000003</v>
          </cell>
          <cell r="AY24">
            <v>11.098000000000001</v>
          </cell>
          <cell r="AZ24">
            <v>13.17</v>
          </cell>
          <cell r="BA24">
            <v>14.816000000000001</v>
          </cell>
          <cell r="BB24">
            <v>18.375</v>
          </cell>
          <cell r="BC24">
            <v>21.224</v>
          </cell>
          <cell r="BD24">
            <v>24.776022999999999</v>
          </cell>
          <cell r="BE24">
            <v>30.331</v>
          </cell>
          <cell r="BF24">
            <v>34.555</v>
          </cell>
          <cell r="BG24">
            <v>39.540999999999997</v>
          </cell>
          <cell r="BH24">
            <v>46.82</v>
          </cell>
          <cell r="BI24">
            <v>55.279000000000003</v>
          </cell>
          <cell r="BJ24">
            <v>62.886000000000003</v>
          </cell>
          <cell r="BK24">
            <v>71.558000000000007</v>
          </cell>
          <cell r="BL24">
            <v>80.376000000000005</v>
          </cell>
          <cell r="BM24">
            <v>92.992000000000004</v>
          </cell>
          <cell r="BN24">
            <v>104.878</v>
          </cell>
          <cell r="BO24">
            <v>117.375</v>
          </cell>
          <cell r="BP24">
            <v>132.72399999999999</v>
          </cell>
          <cell r="BQ24">
            <v>150.36699999999999</v>
          </cell>
          <cell r="BR24">
            <v>166.751</v>
          </cell>
          <cell r="BS24">
            <v>179.90700000000001</v>
          </cell>
          <cell r="BT24">
            <v>200.46100000000001</v>
          </cell>
          <cell r="BU24">
            <v>223.208</v>
          </cell>
          <cell r="BV24">
            <v>244.702</v>
          </cell>
          <cell r="BW24">
            <v>267.42200000000003</v>
          </cell>
          <cell r="BX24">
            <v>290.67899999999997</v>
          </cell>
          <cell r="BY24">
            <v>318.93400000000003</v>
          </cell>
          <cell r="BZ24">
            <v>344.60399999999998</v>
          </cell>
          <cell r="CA24">
            <v>387.584</v>
          </cell>
          <cell r="CB24">
            <v>402.67200000000003</v>
          </cell>
          <cell r="CC24">
            <v>449.50599999999997</v>
          </cell>
          <cell r="CD24">
            <v>499.738</v>
          </cell>
          <cell r="CE24">
            <v>543.32500000000005</v>
          </cell>
          <cell r="CF24">
            <v>585.28200000000004</v>
          </cell>
          <cell r="CG24">
            <v>626.56700000000001</v>
          </cell>
          <cell r="CH24">
            <v>666.13900000000001</v>
          </cell>
          <cell r="CI24">
            <v>739.98599999999999</v>
          </cell>
          <cell r="CJ24">
            <v>780.98900000000003</v>
          </cell>
          <cell r="CK24">
            <v>834.91</v>
          </cell>
          <cell r="CL24">
            <v>899.19399999999996</v>
          </cell>
          <cell r="CM24">
            <v>994.702</v>
          </cell>
          <cell r="CN24">
            <v>1015.528</v>
          </cell>
          <cell r="CO24">
            <v>1091.386</v>
          </cell>
          <cell r="CP24">
            <v>1184.181</v>
          </cell>
          <cell r="CQ24">
            <v>1279.2170818399061</v>
          </cell>
          <cell r="CR24">
            <v>1358.1011990049717</v>
          </cell>
          <cell r="CS24">
            <v>1393.6787924043736</v>
          </cell>
          <cell r="CT24">
            <v>1466.9192528949336</v>
          </cell>
          <cell r="CU24">
            <v>1562.998778027737</v>
          </cell>
          <cell r="CV24">
            <v>1670.8857950521058</v>
          </cell>
          <cell r="CW24">
            <v>1774.9844693650821</v>
          </cell>
          <cell r="CX24">
            <v>1892.6456412524244</v>
          </cell>
          <cell r="CY24">
            <v>2017.8864337488289</v>
          </cell>
          <cell r="CZ24">
            <v>2163.2800526255714</v>
          </cell>
          <cell r="DA24">
            <v>2301.9508408604738</v>
          </cell>
          <cell r="DB24">
            <v>2436.3189978260903</v>
          </cell>
          <cell r="DC24">
            <v>2572.9909999542747</v>
          </cell>
          <cell r="DD24">
            <v>2763.1951830369871</v>
          </cell>
          <cell r="DE24">
            <v>2943.9355198678641</v>
          </cell>
          <cell r="DF24">
            <v>3098.7981874561851</v>
          </cell>
          <cell r="DG24">
            <v>3249.0022480938346</v>
          </cell>
          <cell r="DH24">
            <v>3492.7553410798009</v>
          </cell>
          <cell r="DI24">
            <v>3724.6696618311089</v>
          </cell>
          <cell r="DJ24">
            <v>3904.5617742435579</v>
          </cell>
          <cell r="DK24">
            <v>4070.6400200499838</v>
          </cell>
          <cell r="DL24">
            <v>4378.1754835995844</v>
          </cell>
          <cell r="DM24">
            <v>4672.1763937007227</v>
          </cell>
          <cell r="DN24">
            <v>4882.5475949222791</v>
          </cell>
          <cell r="DP24">
            <v>0</v>
          </cell>
          <cell r="DQ24">
            <v>0</v>
          </cell>
          <cell r="DR24">
            <v>0</v>
          </cell>
          <cell r="DS24">
            <v>0</v>
          </cell>
          <cell r="DT24">
            <v>0</v>
          </cell>
          <cell r="DU24">
            <v>0</v>
          </cell>
          <cell r="DV24">
            <v>0</v>
          </cell>
          <cell r="DW24">
            <v>0</v>
          </cell>
          <cell r="DX24">
            <v>0</v>
          </cell>
          <cell r="DY24">
            <v>0</v>
          </cell>
          <cell r="DZ24">
            <v>0</v>
          </cell>
          <cell r="EA24">
            <v>15.809000000000001</v>
          </cell>
          <cell r="EB24">
            <v>57.459000000000003</v>
          </cell>
          <cell r="EC24">
            <v>110.88602299999999</v>
          </cell>
          <cell r="ED24">
            <v>204.52599999999998</v>
          </cell>
          <cell r="EE24">
            <v>349.80400000000003</v>
          </cell>
          <cell r="EF24">
            <v>567.21699999999998</v>
          </cell>
          <cell r="EG24">
            <v>848.27800000000002</v>
          </cell>
          <cell r="EH24">
            <v>1221.6390000000001</v>
          </cell>
          <cell r="EI24">
            <v>1739.5000000000002</v>
          </cell>
          <cell r="EJ24">
            <v>2421.3130000000001</v>
          </cell>
          <cell r="EK24">
            <v>3255.0789999999997</v>
          </cell>
          <cell r="EL24">
            <v>4285.7970000000005</v>
          </cell>
          <cell r="EM24">
            <v>5497.9163261441845</v>
          </cell>
          <cell r="EN24">
            <v>6901.514683697349</v>
          </cell>
          <cell r="EO24">
            <v>8919.4363250609658</v>
          </cell>
          <cell r="EP24">
            <v>11378.91989031531</v>
          </cell>
          <cell r="EQ24">
            <v>14370.989025248302</v>
          </cell>
          <cell r="ER24">
            <v>18003.539492272568</v>
          </cell>
        </row>
        <row r="25">
          <cell r="A25" t="str">
            <v>% of revenues</v>
          </cell>
          <cell r="C25" t="str">
            <v>NA</v>
          </cell>
          <cell r="D25" t="str">
            <v>NA</v>
          </cell>
          <cell r="E25" t="str">
            <v>NA</v>
          </cell>
          <cell r="F25" t="str">
            <v>NA</v>
          </cell>
          <cell r="G25" t="str">
            <v>NA</v>
          </cell>
          <cell r="H25" t="str">
            <v>NA</v>
          </cell>
          <cell r="I25" t="str">
            <v>NA</v>
          </cell>
          <cell r="J25" t="str">
            <v>NA</v>
          </cell>
          <cell r="K25" t="str">
            <v>NA</v>
          </cell>
          <cell r="L25" t="str">
            <v>NA</v>
          </cell>
          <cell r="M25" t="str">
            <v>NA</v>
          </cell>
          <cell r="N25" t="str">
            <v>NA</v>
          </cell>
          <cell r="O25" t="str">
            <v>NA</v>
          </cell>
          <cell r="P25" t="str">
            <v>NA</v>
          </cell>
          <cell r="Q25" t="str">
            <v>NA</v>
          </cell>
          <cell r="R25" t="str">
            <v>NA</v>
          </cell>
          <cell r="S25" t="str">
            <v>NA</v>
          </cell>
          <cell r="T25" t="str">
            <v>NA</v>
          </cell>
          <cell r="U25" t="str">
            <v>NA</v>
          </cell>
          <cell r="V25" t="str">
            <v>NA</v>
          </cell>
          <cell r="W25" t="str">
            <v>NA</v>
          </cell>
          <cell r="X25" t="str">
            <v>NA</v>
          </cell>
          <cell r="Y25" t="str">
            <v>NA</v>
          </cell>
          <cell r="Z25" t="str">
            <v>NA</v>
          </cell>
          <cell r="AA25" t="str">
            <v>NA</v>
          </cell>
          <cell r="AB25" t="str">
            <v>NA</v>
          </cell>
          <cell r="AC25" t="str">
            <v>NA</v>
          </cell>
          <cell r="AD25" t="str">
            <v>NA</v>
          </cell>
          <cell r="AE25" t="str">
            <v>NA</v>
          </cell>
          <cell r="AF25" t="str">
            <v>NA</v>
          </cell>
          <cell r="AG25" t="str">
            <v>NA</v>
          </cell>
          <cell r="AH25" t="str">
            <v>NA</v>
          </cell>
          <cell r="AI25" t="str">
            <v>NA</v>
          </cell>
          <cell r="AJ25" t="str">
            <v>NA</v>
          </cell>
          <cell r="AK25" t="str">
            <v>NA</v>
          </cell>
          <cell r="AL25" t="str">
            <v>NA</v>
          </cell>
          <cell r="AM25" t="str">
            <v>NA</v>
          </cell>
          <cell r="AN25">
            <v>0</v>
          </cell>
          <cell r="AO25" t="str">
            <v>NA</v>
          </cell>
          <cell r="AP25" t="str">
            <v>NA</v>
          </cell>
          <cell r="AQ25" t="str">
            <v>NA</v>
          </cell>
          <cell r="AR25">
            <v>0</v>
          </cell>
          <cell r="AS25" t="str">
            <v>NA</v>
          </cell>
          <cell r="AT25" t="str">
            <v>NA</v>
          </cell>
          <cell r="AU25" t="str">
            <v>NA</v>
          </cell>
          <cell r="AV25" t="str">
            <v>NA</v>
          </cell>
          <cell r="AW25">
            <v>0.9302264349657714</v>
          </cell>
          <cell r="AX25">
            <v>0.93598115833422535</v>
          </cell>
          <cell r="AY25">
            <v>0.93709364181372967</v>
          </cell>
          <cell r="AZ25">
            <v>0.90527907616167169</v>
          </cell>
          <cell r="BA25">
            <v>0.89306811332127789</v>
          </cell>
          <cell r="BB25">
            <v>0.86045422617653944</v>
          </cell>
          <cell r="BC25">
            <v>0.84182135491036014</v>
          </cell>
          <cell r="BD25">
            <v>0.84029698515247209</v>
          </cell>
          <cell r="BE25">
            <v>0.88694914758604548</v>
          </cell>
          <cell r="BF25">
            <v>0.8820001020981163</v>
          </cell>
          <cell r="BG25">
            <v>0.8336530960764057</v>
          </cell>
          <cell r="BH25">
            <v>0.82467326593158841</v>
          </cell>
          <cell r="BI25">
            <v>0.85910327142746146</v>
          </cell>
          <cell r="BJ25">
            <v>0.83667278678055401</v>
          </cell>
          <cell r="BK25">
            <v>0.83266037538253879</v>
          </cell>
          <cell r="BL25">
            <v>0.78628866584492574</v>
          </cell>
          <cell r="BM25">
            <v>0.83581552953019533</v>
          </cell>
          <cell r="BN25">
            <v>0.83748303122255052</v>
          </cell>
          <cell r="BO25">
            <v>0.84387806456251346</v>
          </cell>
          <cell r="BP25">
            <v>0.79591261536247349</v>
          </cell>
          <cell r="BQ25">
            <v>0.84139285554411569</v>
          </cell>
          <cell r="BR25">
            <v>0.84215975434839696</v>
          </cell>
          <cell r="BS25">
            <v>0.84876205393368687</v>
          </cell>
          <cell r="BT25">
            <v>0.81251722628447287</v>
          </cell>
          <cell r="BU25">
            <v>0.8547118514263834</v>
          </cell>
          <cell r="BV25">
            <v>0.85664974619289347</v>
          </cell>
          <cell r="BW25">
            <v>0.87427381415527061</v>
          </cell>
          <cell r="BX25">
            <v>0.85165186105381585</v>
          </cell>
          <cell r="BY25">
            <v>0.89173395665108379</v>
          </cell>
          <cell r="BZ25">
            <v>0.8935296344505349</v>
          </cell>
          <cell r="CA25">
            <v>0.90394173113386866</v>
          </cell>
          <cell r="CB25">
            <v>0.89830410165574293</v>
          </cell>
          <cell r="CC25">
            <v>0.91293980973735311</v>
          </cell>
          <cell r="CD25">
            <v>0.91011540850092798</v>
          </cell>
          <cell r="CE25">
            <v>0.92210575979851395</v>
          </cell>
          <cell r="CF25">
            <v>0.92746444055678101</v>
          </cell>
          <cell r="CG25">
            <v>0.93087177628187323</v>
          </cell>
          <cell r="CH25">
            <v>0.93108865720583522</v>
          </cell>
          <cell r="CI25">
            <v>0.93796629848680368</v>
          </cell>
          <cell r="CJ25">
            <v>0.93654545367332453</v>
          </cell>
          <cell r="CK25">
            <v>0.94251399530159752</v>
          </cell>
          <cell r="CL25">
            <v>0.94475579286679401</v>
          </cell>
          <cell r="CM25">
            <v>0.95064892864652029</v>
          </cell>
          <cell r="CN25">
            <v>0.94834532078495237</v>
          </cell>
          <cell r="CO25">
            <v>0.94740670780192571</v>
          </cell>
          <cell r="CP25">
            <v>0.94709476698151696</v>
          </cell>
          <cell r="CQ25">
            <v>0.95354020794502059</v>
          </cell>
          <cell r="CR25">
            <v>0.95485353727887223</v>
          </cell>
          <cell r="CS25">
            <v>0.95462152563071978</v>
          </cell>
          <cell r="CT25">
            <v>0.95552699758735293</v>
          </cell>
          <cell r="CU25">
            <v>0.95692779926253668</v>
          </cell>
          <cell r="CV25">
            <v>0.95857525907173924</v>
          </cell>
          <cell r="CW25">
            <v>0.95973509578674066</v>
          </cell>
          <cell r="CX25">
            <v>0.96087920160370976</v>
          </cell>
          <cell r="CY25">
            <v>0.9619432530786225</v>
          </cell>
          <cell r="CZ25">
            <v>0.96335500170858701</v>
          </cell>
          <cell r="DA25">
            <v>0.96434749085452898</v>
          </cell>
          <cell r="DB25">
            <v>0.96509333721329504</v>
          </cell>
          <cell r="DC25">
            <v>0.96574832155570522</v>
          </cell>
          <cell r="DD25">
            <v>0.96710760487107073</v>
          </cell>
          <cell r="DE25">
            <v>0.96807786262813211</v>
          </cell>
          <cell r="DF25">
            <v>0.96861933105235998</v>
          </cell>
          <cell r="DG25">
            <v>0.96903511895407746</v>
          </cell>
          <cell r="DH25">
            <v>0.97034930108904238</v>
          </cell>
          <cell r="DI25">
            <v>0.97130297297986556</v>
          </cell>
          <cell r="DJ25">
            <v>0.97171805883547213</v>
          </cell>
          <cell r="DK25">
            <v>0.97196408014049784</v>
          </cell>
          <cell r="DL25">
            <v>0.97317987125798022</v>
          </cell>
          <cell r="DM25">
            <v>0.97407907372986957</v>
          </cell>
          <cell r="DN25">
            <v>0.97439589982332442</v>
          </cell>
          <cell r="DP25" t="str">
            <v>NA</v>
          </cell>
          <cell r="DQ25" t="str">
            <v>NA</v>
          </cell>
          <cell r="DR25" t="str">
            <v>NA</v>
          </cell>
          <cell r="DS25" t="str">
            <v>NA</v>
          </cell>
          <cell r="DT25" t="str">
            <v>NA</v>
          </cell>
          <cell r="DU25" t="str">
            <v>NA</v>
          </cell>
          <cell r="DV25" t="str">
            <v>NA</v>
          </cell>
          <cell r="DW25" t="str">
            <v>NA</v>
          </cell>
          <cell r="DX25" t="str">
            <v>NA</v>
          </cell>
          <cell r="DY25" t="str">
            <v>NA</v>
          </cell>
          <cell r="DZ25">
            <v>0</v>
          </cell>
          <cell r="EA25">
            <v>0.56460714285714286</v>
          </cell>
          <cell r="EB25">
            <v>0.89310805769709034</v>
          </cell>
          <cell r="EC25">
            <v>0.86581111143705658</v>
          </cell>
          <cell r="ED25">
            <v>0.83921185661764697</v>
          </cell>
          <cell r="EE25">
            <v>0.8237466148592959</v>
          </cell>
          <cell r="EF25">
            <v>0.83101047082833379</v>
          </cell>
          <cell r="EG25">
            <v>0.84365477185026072</v>
          </cell>
          <cell r="EH25">
            <v>0.87855273557313029</v>
          </cell>
          <cell r="EI25">
            <v>0.90670077675510086</v>
          </cell>
          <cell r="EJ25">
            <v>0.9281271657334208</v>
          </cell>
          <cell r="EK25">
            <v>0.94065547212678624</v>
          </cell>
          <cell r="EL25">
            <v>0.94829343349816064</v>
          </cell>
          <cell r="EM25">
            <v>0.95466831031136801</v>
          </cell>
          <cell r="EN25">
            <v>0.95913007927097271</v>
          </cell>
          <cell r="EO25">
            <v>0.96376516765999609</v>
          </cell>
          <cell r="EP25">
            <v>0.96746175671884393</v>
          </cell>
          <cell r="EQ25">
            <v>0.97067018710259412</v>
          </cell>
          <cell r="ER25">
            <v>0.97346723423019332</v>
          </cell>
        </row>
        <row r="26">
          <cell r="A26" t="str">
            <v>% growth y-o-y</v>
          </cell>
          <cell r="C26" t="str">
            <v>NA</v>
          </cell>
          <cell r="D26" t="str">
            <v>NA</v>
          </cell>
          <cell r="E26" t="str">
            <v>NA</v>
          </cell>
          <cell r="F26" t="str">
            <v>NA</v>
          </cell>
          <cell r="G26" t="str">
            <v>NA</v>
          </cell>
          <cell r="H26" t="str">
            <v>NA</v>
          </cell>
          <cell r="I26" t="str">
            <v>NA</v>
          </cell>
          <cell r="J26" t="str">
            <v>NA</v>
          </cell>
          <cell r="K26" t="str">
            <v>NA</v>
          </cell>
          <cell r="L26" t="str">
            <v>NA</v>
          </cell>
          <cell r="M26" t="str">
            <v>NA</v>
          </cell>
          <cell r="N26" t="str">
            <v>NA</v>
          </cell>
          <cell r="O26" t="str">
            <v>NA</v>
          </cell>
          <cell r="P26" t="str">
            <v>NA</v>
          </cell>
          <cell r="Q26" t="str">
            <v>NA</v>
          </cell>
          <cell r="R26" t="str">
            <v>NA</v>
          </cell>
          <cell r="S26" t="str">
            <v>NA</v>
          </cell>
          <cell r="T26" t="str">
            <v>NA</v>
          </cell>
          <cell r="U26" t="str">
            <v>NA</v>
          </cell>
          <cell r="V26" t="str">
            <v>NA</v>
          </cell>
          <cell r="W26" t="str">
            <v>NA</v>
          </cell>
          <cell r="X26" t="str">
            <v>NA</v>
          </cell>
          <cell r="Y26" t="str">
            <v>NA</v>
          </cell>
          <cell r="Z26" t="str">
            <v>NA</v>
          </cell>
          <cell r="AA26" t="str">
            <v>NA</v>
          </cell>
          <cell r="AB26" t="str">
            <v>NA</v>
          </cell>
          <cell r="AC26" t="str">
            <v>NA</v>
          </cell>
          <cell r="AD26" t="str">
            <v>NA</v>
          </cell>
          <cell r="AE26" t="str">
            <v>NA</v>
          </cell>
          <cell r="AF26" t="str">
            <v>NA</v>
          </cell>
          <cell r="AG26" t="str">
            <v>NA</v>
          </cell>
          <cell r="AH26" t="str">
            <v>NA</v>
          </cell>
          <cell r="AI26" t="str">
            <v>NA</v>
          </cell>
          <cell r="AJ26" t="str">
            <v>NA</v>
          </cell>
          <cell r="AK26" t="str">
            <v>NA</v>
          </cell>
          <cell r="AL26" t="str">
            <v>NA</v>
          </cell>
          <cell r="AM26" t="str">
            <v>NA</v>
          </cell>
          <cell r="AN26" t="str">
            <v>NA</v>
          </cell>
          <cell r="AO26" t="str">
            <v>NA</v>
          </cell>
          <cell r="AP26" t="str">
            <v>NA</v>
          </cell>
          <cell r="AQ26" t="str">
            <v>NA</v>
          </cell>
          <cell r="AR26" t="str">
            <v>NA</v>
          </cell>
          <cell r="AS26" t="str">
            <v>NA</v>
          </cell>
          <cell r="AT26" t="str">
            <v>NA</v>
          </cell>
          <cell r="AU26" t="str">
            <v>NA</v>
          </cell>
          <cell r="AV26" t="str">
            <v>NA</v>
          </cell>
          <cell r="AW26" t="str">
            <v>NA</v>
          </cell>
          <cell r="AX26" t="str">
            <v>NA</v>
          </cell>
          <cell r="AY26" t="str">
            <v>NA</v>
          </cell>
          <cell r="AZ26" t="str">
            <v>NA</v>
          </cell>
          <cell r="BA26" t="str">
            <v>NA</v>
          </cell>
          <cell r="BB26" t="str">
            <v>NA</v>
          </cell>
          <cell r="BC26">
            <v>0.91241665164894559</v>
          </cell>
          <cell r="BD26">
            <v>0.8812470007593014</v>
          </cell>
          <cell r="BE26">
            <v>1.0471787257019436</v>
          </cell>
          <cell r="BF26">
            <v>0.8805442176870748</v>
          </cell>
          <cell r="BG26">
            <v>0.86303241613267989</v>
          </cell>
          <cell r="BH26">
            <v>0.88973024443834281</v>
          </cell>
          <cell r="BI26">
            <v>0.8225248096007387</v>
          </cell>
          <cell r="BJ26">
            <v>0.81988134857473605</v>
          </cell>
          <cell r="BK26">
            <v>0.80971649680078928</v>
          </cell>
          <cell r="BL26">
            <v>0.71670226398974801</v>
          </cell>
          <cell r="BM26">
            <v>0.68223014164510931</v>
          </cell>
          <cell r="BN26">
            <v>0.66774798842349647</v>
          </cell>
          <cell r="BO26">
            <v>0.64027781659632721</v>
          </cell>
          <cell r="BP26">
            <v>0.65128894197272791</v>
          </cell>
          <cell r="BQ26">
            <v>0.6169885581555401</v>
          </cell>
          <cell r="BR26">
            <v>0.58995213486145803</v>
          </cell>
          <cell r="BS26">
            <v>0.53275399361022369</v>
          </cell>
          <cell r="BT26">
            <v>0.51035984448931648</v>
          </cell>
          <cell r="BU26">
            <v>0.48442144885513461</v>
          </cell>
          <cell r="BV26">
            <v>0.46746946045301074</v>
          </cell>
          <cell r="BW26">
            <v>0.4864457747614046</v>
          </cell>
          <cell r="BX26">
            <v>0.45005262869086726</v>
          </cell>
          <cell r="BY26">
            <v>0.4288645568259204</v>
          </cell>
          <cell r="BZ26">
            <v>0.40825984258404091</v>
          </cell>
          <cell r="CA26">
            <v>0.44933475929429867</v>
          </cell>
          <cell r="CB26">
            <v>0.3852806704302687</v>
          </cell>
          <cell r="CC26">
            <v>0.40940131814105718</v>
          </cell>
          <cell r="CD26">
            <v>0.45018049703427709</v>
          </cell>
          <cell r="CE26">
            <v>0.40182515274108344</v>
          </cell>
          <cell r="CF26">
            <v>0.45349564906425077</v>
          </cell>
          <cell r="CG26">
            <v>0.39390130498814258</v>
          </cell>
          <cell r="CH26">
            <v>0.33297647967534982</v>
          </cell>
          <cell r="CI26">
            <v>0.36195831224405262</v>
          </cell>
          <cell r="CJ26">
            <v>0.3343806917007528</v>
          </cell>
          <cell r="CK26">
            <v>0.33251511809590983</v>
          </cell>
          <cell r="CL26">
            <v>0.34985941372596407</v>
          </cell>
          <cell r="CM26">
            <v>0.34421732303043573</v>
          </cell>
          <cell r="CN26">
            <v>0.30031024764753411</v>
          </cell>
          <cell r="CO26">
            <v>0.30718999652657164</v>
          </cell>
          <cell r="CP26">
            <v>0.31693605606798991</v>
          </cell>
          <cell r="CQ26">
            <v>0.28603047127673031</v>
          </cell>
          <cell r="CR26">
            <v>0.33733506019033621</v>
          </cell>
          <cell r="CS26">
            <v>0.27698063966770103</v>
          </cell>
          <cell r="CT26">
            <v>0.23876270003904265</v>
          </cell>
          <cell r="CU26">
            <v>0.22184013973583427</v>
          </cell>
          <cell r="CV26">
            <v>0.23031022745307883</v>
          </cell>
          <cell r="CW26">
            <v>0.27359652671680568</v>
          </cell>
          <cell r="CX26">
            <v>0.29021801133043201</v>
          </cell>
          <cell r="CY26">
            <v>0.29103519600641659</v>
          </cell>
          <cell r="CZ26">
            <v>0.2946905521799057</v>
          </cell>
          <cell r="DA26">
            <v>0.29688506045570606</v>
          </cell>
          <cell r="DB26">
            <v>0.28725575708609652</v>
          </cell>
          <cell r="DC26">
            <v>0.2750920750154271</v>
          </cell>
          <cell r="DD26">
            <v>0.27731736798631279</v>
          </cell>
          <cell r="DE26">
            <v>0.27888722365913554</v>
          </cell>
          <cell r="DF26">
            <v>0.2719180822467091</v>
          </cell>
          <cell r="DG26">
            <v>0.26273362330127603</v>
          </cell>
          <cell r="DH26">
            <v>0.26402773228670906</v>
          </cell>
          <cell r="DI26">
            <v>0.26520082953389124</v>
          </cell>
          <cell r="DJ26">
            <v>0.26002454436983746</v>
          </cell>
          <cell r="DK26">
            <v>0.25288925929127881</v>
          </cell>
          <cell r="DL26">
            <v>0.25350190782216431</v>
          </cell>
          <cell r="DM26">
            <v>0.2543867826935835</v>
          </cell>
          <cell r="DN26">
            <v>0.25047262080216148</v>
          </cell>
          <cell r="DP26" t="str">
            <v>NA</v>
          </cell>
          <cell r="DQ26" t="str">
            <v>NA</v>
          </cell>
          <cell r="DR26" t="str">
            <v>NA</v>
          </cell>
          <cell r="DS26" t="str">
            <v>NA</v>
          </cell>
          <cell r="DT26" t="str">
            <v>NA</v>
          </cell>
          <cell r="DU26" t="str">
            <v>NA</v>
          </cell>
          <cell r="DV26" t="str">
            <v>NA</v>
          </cell>
          <cell r="DW26" t="str">
            <v>NA</v>
          </cell>
          <cell r="DX26" t="str">
            <v>NA</v>
          </cell>
          <cell r="DY26" t="str">
            <v>NA</v>
          </cell>
          <cell r="DZ26" t="str">
            <v>NA</v>
          </cell>
          <cell r="EA26" t="str">
            <v>NA</v>
          </cell>
          <cell r="EB26">
            <v>2.6345752419507873</v>
          </cell>
          <cell r="EC26">
            <v>0.92982862562870894</v>
          </cell>
          <cell r="ED26">
            <v>0.84447051545892293</v>
          </cell>
          <cell r="EE26">
            <v>0.7103155589020469</v>
          </cell>
          <cell r="EF26">
            <v>0.62152805571119818</v>
          </cell>
          <cell r="EG26">
            <v>0.4955087735381698</v>
          </cell>
          <cell r="EH26">
            <v>0.44013990696446226</v>
          </cell>
          <cell r="EI26">
            <v>0.42390673513206445</v>
          </cell>
          <cell r="EJ26">
            <v>0.39195918367346927</v>
          </cell>
          <cell r="EK26">
            <v>0.34434457668215535</v>
          </cell>
          <cell r="EL26">
            <v>0.31664915045072672</v>
          </cell>
          <cell r="EM26">
            <v>0.28282238429495932</v>
          </cell>
          <cell r="EN26">
            <v>0.25529642036904932</v>
          </cell>
          <cell r="EO26">
            <v>0.29238822691058242</v>
          </cell>
          <cell r="EP26">
            <v>0.2757442819950322</v>
          </cell>
          <cell r="EQ26">
            <v>0.26294843129000012</v>
          </cell>
          <cell r="ER26">
            <v>0.25276969181747067</v>
          </cell>
        </row>
        <row r="27">
          <cell r="A27" t="str">
            <v>% growth seq</v>
          </cell>
          <cell r="C27" t="str">
            <v>NA</v>
          </cell>
          <cell r="D27" t="str">
            <v>NA</v>
          </cell>
          <cell r="E27" t="str">
            <v>NA</v>
          </cell>
          <cell r="F27" t="str">
            <v>NA</v>
          </cell>
          <cell r="G27" t="str">
            <v>NA</v>
          </cell>
          <cell r="H27" t="str">
            <v>NA</v>
          </cell>
          <cell r="I27" t="str">
            <v>NA</v>
          </cell>
          <cell r="J27" t="str">
            <v>NA</v>
          </cell>
          <cell r="K27" t="str">
            <v>NA</v>
          </cell>
          <cell r="L27" t="str">
            <v>NA</v>
          </cell>
          <cell r="M27" t="str">
            <v>NA</v>
          </cell>
          <cell r="N27" t="str">
            <v>NA</v>
          </cell>
          <cell r="O27" t="str">
            <v>NA</v>
          </cell>
          <cell r="P27" t="str">
            <v>NA</v>
          </cell>
          <cell r="Q27" t="str">
            <v>NA</v>
          </cell>
          <cell r="R27" t="str">
            <v>NA</v>
          </cell>
          <cell r="S27" t="str">
            <v>NA</v>
          </cell>
          <cell r="T27" t="str">
            <v>NA</v>
          </cell>
          <cell r="U27" t="str">
            <v>NA</v>
          </cell>
          <cell r="V27" t="str">
            <v>NA</v>
          </cell>
          <cell r="W27" t="str">
            <v>NA</v>
          </cell>
          <cell r="X27" t="str">
            <v>NA</v>
          </cell>
          <cell r="Y27" t="str">
            <v>NA</v>
          </cell>
          <cell r="Z27" t="str">
            <v>NA</v>
          </cell>
          <cell r="AA27" t="str">
            <v>NA</v>
          </cell>
          <cell r="AB27" t="str">
            <v>NA</v>
          </cell>
          <cell r="AC27" t="str">
            <v>NA</v>
          </cell>
          <cell r="AD27" t="str">
            <v>NA</v>
          </cell>
          <cell r="AE27" t="str">
            <v>NA</v>
          </cell>
          <cell r="AF27" t="str">
            <v>NA</v>
          </cell>
          <cell r="AG27" t="str">
            <v>NA</v>
          </cell>
          <cell r="AH27" t="str">
            <v>NA</v>
          </cell>
          <cell r="AI27" t="str">
            <v>NA</v>
          </cell>
          <cell r="AJ27" t="str">
            <v>NA</v>
          </cell>
          <cell r="AK27" t="str">
            <v>NA</v>
          </cell>
          <cell r="AL27" t="str">
            <v>NA</v>
          </cell>
          <cell r="AM27" t="str">
            <v>NA</v>
          </cell>
          <cell r="AN27" t="str">
            <v>NA</v>
          </cell>
          <cell r="AO27" t="str">
            <v>NA</v>
          </cell>
          <cell r="AP27" t="str">
            <v>NA</v>
          </cell>
          <cell r="AQ27" t="str">
            <v>NA</v>
          </cell>
          <cell r="AR27" t="str">
            <v>NA</v>
          </cell>
          <cell r="AS27" t="str">
            <v>NA</v>
          </cell>
          <cell r="AT27" t="str">
            <v>NA</v>
          </cell>
          <cell r="AU27" t="str">
            <v>NA</v>
          </cell>
          <cell r="AV27" t="str">
            <v>NA</v>
          </cell>
          <cell r="AW27" t="str">
            <v>NA</v>
          </cell>
          <cell r="AX27">
            <v>0.23733371072742715</v>
          </cell>
          <cell r="AY27">
            <v>0.26935834381791146</v>
          </cell>
          <cell r="AZ27">
            <v>0.18670030636150647</v>
          </cell>
          <cell r="BA27">
            <v>0.1249810174639332</v>
          </cell>
          <cell r="BB27">
            <v>0.24021328293736488</v>
          </cell>
          <cell r="BC27">
            <v>0.1550476190476191</v>
          </cell>
          <cell r="BD27">
            <v>0.16735879193365988</v>
          </cell>
          <cell r="BE27">
            <v>0.22420777539639847</v>
          </cell>
          <cell r="BF27">
            <v>0.13926345982658006</v>
          </cell>
          <cell r="BG27">
            <v>0.14429170886991738</v>
          </cell>
          <cell r="BH27">
            <v>0.18408740294883796</v>
          </cell>
          <cell r="BI27">
            <v>0.18067065356685186</v>
          </cell>
          <cell r="BJ27">
            <v>0.13761102769586997</v>
          </cell>
          <cell r="BK27">
            <v>0.13790032757688531</v>
          </cell>
          <cell r="BL27">
            <v>0.12322870957824428</v>
          </cell>
          <cell r="BM27">
            <v>0.15696227729670542</v>
          </cell>
          <cell r="BN27">
            <v>0.1278174466620785</v>
          </cell>
          <cell r="BO27">
            <v>0.11915749728255687</v>
          </cell>
          <cell r="BP27">
            <v>0.13076890308839184</v>
          </cell>
          <cell r="BQ27">
            <v>0.13292999005454931</v>
          </cell>
          <cell r="BR27">
            <v>0.10896007767661797</v>
          </cell>
          <cell r="BS27">
            <v>7.8896078584236307E-2</v>
          </cell>
          <cell r="BT27">
            <v>0.11424791697932823</v>
          </cell>
          <cell r="BU27">
            <v>0.1134734437122431</v>
          </cell>
          <cell r="BV27">
            <v>9.6295831690620393E-2</v>
          </cell>
          <cell r="BW27">
            <v>9.2847626909465575E-2</v>
          </cell>
          <cell r="BX27">
            <v>8.6967414797585629E-2</v>
          </cell>
          <cell r="BY27">
            <v>9.7203444349265089E-2</v>
          </cell>
          <cell r="BZ27">
            <v>8.0486871891989997E-2</v>
          </cell>
          <cell r="CA27">
            <v>0.12472287030910856</v>
          </cell>
          <cell r="CB27">
            <v>3.8928335535006742E-2</v>
          </cell>
          <cell r="CC27">
            <v>0.11630806214487222</v>
          </cell>
          <cell r="CD27">
            <v>0.11174934261166714</v>
          </cell>
          <cell r="CE27">
            <v>8.7219703124437276E-2</v>
          </cell>
          <cell r="CF27">
            <v>7.7222656789214472E-2</v>
          </cell>
          <cell r="CG27">
            <v>7.0538646327753085E-2</v>
          </cell>
          <cell r="CH27">
            <v>6.315685313781283E-2</v>
          </cell>
          <cell r="CI27">
            <v>0.11085824430036362</v>
          </cell>
          <cell r="CJ27">
            <v>5.5410507766363137E-2</v>
          </cell>
          <cell r="CK27">
            <v>6.9041945533163673E-2</v>
          </cell>
          <cell r="CL27">
            <v>7.6995125223077832E-2</v>
          </cell>
          <cell r="CM27">
            <v>0.10621512154218116</v>
          </cell>
          <cell r="CN27">
            <v>2.093692382241108E-2</v>
          </cell>
          <cell r="CO27">
            <v>7.4698088088166914E-2</v>
          </cell>
          <cell r="CP27">
            <v>8.5024913275413061E-2</v>
          </cell>
          <cell r="CQ27">
            <v>8.0254692348472156E-2</v>
          </cell>
          <cell r="CR27">
            <v>6.1665934801000466E-2</v>
          </cell>
          <cell r="CS27">
            <v>2.6196570200709868E-2</v>
          </cell>
          <cell r="CT27">
            <v>5.2551894231098739E-2</v>
          </cell>
          <cell r="CU27">
            <v>6.5497487297404122E-2</v>
          </cell>
          <cell r="CV27">
            <v>6.9025656667822677E-2</v>
          </cell>
          <cell r="CW27">
            <v>6.2301489797350396E-2</v>
          </cell>
          <cell r="CX27">
            <v>6.6288564163848873E-2</v>
          </cell>
          <cell r="CY27">
            <v>6.6172340858021705E-2</v>
          </cell>
          <cell r="CZ27">
            <v>7.2052428940032165E-2</v>
          </cell>
          <cell r="DA27">
            <v>6.4102097214180809E-2</v>
          </cell>
          <cell r="DB27">
            <v>5.837142765194292E-2</v>
          </cell>
          <cell r="DC27">
            <v>5.6097745102400731E-2</v>
          </cell>
          <cell r="DD27">
            <v>7.392337675728089E-2</v>
          </cell>
          <cell r="DE27">
            <v>6.5409905872891638E-2</v>
          </cell>
          <cell r="DF27">
            <v>5.2603960427527241E-2</v>
          </cell>
          <cell r="DG27">
            <v>4.847171437161335E-2</v>
          </cell>
          <cell r="DH27">
            <v>7.5023984095109242E-2</v>
          </cell>
          <cell r="DI27">
            <v>6.6398673283428522E-2</v>
          </cell>
          <cell r="DJ27">
            <v>4.8297467626702506E-2</v>
          </cell>
          <cell r="DK27">
            <v>4.2534413695785478E-2</v>
          </cell>
          <cell r="DL27">
            <v>7.5549658538910602E-2</v>
          </cell>
          <cell r="DM27">
            <v>6.7151467820887989E-2</v>
          </cell>
          <cell r="DN27">
            <v>4.5026382459615544E-2</v>
          </cell>
        </row>
        <row r="29">
          <cell r="A29" t="str">
            <v>Enterprise Service Management</v>
          </cell>
          <cell r="AW29">
            <v>7.0659999999999998</v>
          </cell>
          <cell r="AX29">
            <v>8.7430000000000003</v>
          </cell>
          <cell r="AY29">
            <v>9.2839077681208408</v>
          </cell>
          <cell r="AZ29">
            <v>11.140493333653588</v>
          </cell>
          <cell r="BA29">
            <v>11.800535763149909</v>
          </cell>
          <cell r="BB29">
            <v>14.758725049943529</v>
          </cell>
          <cell r="BC29">
            <v>19.170085709537791</v>
          </cell>
          <cell r="BD29">
            <v>22.470944774021913</v>
          </cell>
          <cell r="BE29">
            <v>27.008821227197888</v>
          </cell>
          <cell r="BF29">
            <v>30.554313719115989</v>
          </cell>
          <cell r="BG29">
            <v>36.9870796225646</v>
          </cell>
          <cell r="BH29">
            <v>43.876111535527301</v>
          </cell>
          <cell r="BI29">
            <v>51.034557829703992</v>
          </cell>
          <cell r="BJ29">
            <v>57.705711028395001</v>
          </cell>
          <cell r="BK29">
            <v>67.524157011043414</v>
          </cell>
          <cell r="BL29">
            <v>75.531498838485646</v>
          </cell>
          <cell r="BM29">
            <v>86.604650015876757</v>
          </cell>
          <cell r="BN29">
            <v>97.280734160412763</v>
          </cell>
          <cell r="BO29">
            <v>110.42530602654755</v>
          </cell>
          <cell r="BP29">
            <v>124.49353291264691</v>
          </cell>
          <cell r="BQ29">
            <v>140.15465071379083</v>
          </cell>
          <cell r="BR29">
            <v>154.51677922598523</v>
          </cell>
          <cell r="BS29">
            <v>167.20400000000001</v>
          </cell>
          <cell r="BT29">
            <v>186.08199999999999</v>
          </cell>
          <cell r="BU29">
            <v>205.79499999999999</v>
          </cell>
          <cell r="BV29">
            <v>224.52199999999993</v>
          </cell>
          <cell r="BW29">
            <v>244.60599999999999</v>
          </cell>
          <cell r="BX29">
            <v>264.66699999999997</v>
          </cell>
          <cell r="BY29">
            <v>290.005</v>
          </cell>
          <cell r="BZ29">
            <v>309.56799999999998</v>
          </cell>
          <cell r="CA29">
            <v>333.63600000000002</v>
          </cell>
          <cell r="CB29">
            <v>363.74599999999998</v>
          </cell>
          <cell r="CC29">
            <v>397.85988696080648</v>
          </cell>
          <cell r="CD29">
            <v>439.27552906650851</v>
          </cell>
          <cell r="CE29">
            <v>460.65359856332969</v>
          </cell>
          <cell r="CF29">
            <v>517.936130718865</v>
          </cell>
          <cell r="CG29">
            <v>547.1125581388302</v>
          </cell>
          <cell r="CH29">
            <v>575.23383908818266</v>
          </cell>
          <cell r="CI29">
            <v>625.63740852476303</v>
          </cell>
          <cell r="CJ29">
            <v>678.30167456276843</v>
          </cell>
          <cell r="CK29">
            <v>717.1717799076232</v>
          </cell>
          <cell r="CL29">
            <v>766.94566743437213</v>
          </cell>
          <cell r="CM29">
            <v>835.55971784441829</v>
          </cell>
          <cell r="CN29">
            <v>865.65114695496038</v>
          </cell>
          <cell r="CO29">
            <v>920.26646870632089</v>
          </cell>
          <cell r="CP29">
            <v>990.59804526053688</v>
          </cell>
          <cell r="CQ29">
            <v>1049.6779099284315</v>
          </cell>
          <cell r="CR29">
            <v>1135.548617307913</v>
          </cell>
          <cell r="CS29">
            <v>1153.848065979955</v>
          </cell>
          <cell r="CT29">
            <v>1204.503236539761</v>
          </cell>
          <cell r="CU29">
            <v>1256.0727015035075</v>
          </cell>
          <cell r="CV29">
            <v>1361.614218481448</v>
          </cell>
          <cell r="CW29">
            <v>1438.711302949135</v>
          </cell>
          <cell r="CX29">
            <v>1522.8971651881652</v>
          </cell>
          <cell r="CY29">
            <v>1590.6553459852905</v>
          </cell>
          <cell r="CZ29">
            <v>1723.0358091991056</v>
          </cell>
          <cell r="DA29">
            <v>1825.019815650408</v>
          </cell>
          <cell r="DB29">
            <v>1918.9085847794806</v>
          </cell>
          <cell r="DC29">
            <v>1987.9400437505701</v>
          </cell>
          <cell r="DD29">
            <v>2151.3473671255497</v>
          </cell>
          <cell r="DE29">
            <v>2282.7040523791702</v>
          </cell>
          <cell r="DF29">
            <v>2388.2862896062616</v>
          </cell>
          <cell r="DG29">
            <v>2458.2892040040178</v>
          </cell>
          <cell r="DH29">
            <v>2657.595686789417</v>
          </cell>
          <cell r="DI29">
            <v>2823.614469933525</v>
          </cell>
          <cell r="DJ29">
            <v>2943.1641594566618</v>
          </cell>
          <cell r="DK29">
            <v>3013.5366516341164</v>
          </cell>
          <cell r="DL29">
            <v>3254.2575165514563</v>
          </cell>
          <cell r="DM29">
            <v>3461.0722482621632</v>
          </cell>
          <cell r="DN29">
            <v>3597.1980176758593</v>
          </cell>
          <cell r="DP29">
            <v>0</v>
          </cell>
          <cell r="DQ29">
            <v>0</v>
          </cell>
          <cell r="DR29">
            <v>0</v>
          </cell>
          <cell r="DS29">
            <v>0</v>
          </cell>
          <cell r="DT29">
            <v>0</v>
          </cell>
          <cell r="DU29">
            <v>0</v>
          </cell>
          <cell r="DV29">
            <v>0</v>
          </cell>
          <cell r="DW29">
            <v>0</v>
          </cell>
          <cell r="DX29">
            <v>0</v>
          </cell>
          <cell r="DY29">
            <v>0</v>
          </cell>
          <cell r="DZ29">
            <v>0</v>
          </cell>
          <cell r="EA29">
            <v>15.809000000000001</v>
          </cell>
          <cell r="EB29">
            <v>46.983661914867866</v>
          </cell>
          <cell r="EC29">
            <v>99.204165429873584</v>
          </cell>
          <cell r="ED29">
            <v>189.60346001619089</v>
          </cell>
          <cell r="EE29">
            <v>326.94104002581855</v>
          </cell>
          <cell r="EF29">
            <v>529.59026887897051</v>
          </cell>
          <cell r="EG29">
            <v>783.60299999999995</v>
          </cell>
          <cell r="EH29">
            <v>1108.846</v>
          </cell>
          <cell r="EI29">
            <v>1534.517416027315</v>
          </cell>
          <cell r="EJ29">
            <v>2100.9361265092075</v>
          </cell>
          <cell r="EK29">
            <v>2788.0565304295269</v>
          </cell>
          <cell r="EL29">
            <v>3612.0753787662366</v>
          </cell>
          <cell r="EM29">
            <v>4543.577829756061</v>
          </cell>
          <cell r="EN29">
            <v>5579.2953881222547</v>
          </cell>
          <cell r="EO29">
            <v>7057.6195556142839</v>
          </cell>
          <cell r="EP29">
            <v>8810.2777528615516</v>
          </cell>
          <cell r="EQ29">
            <v>10882.663520183622</v>
          </cell>
          <cell r="ER29">
            <v>13326.064434123595</v>
          </cell>
        </row>
        <row r="30">
          <cell r="A30" t="str">
            <v>% of revenues</v>
          </cell>
          <cell r="AU30" t="str">
            <v>NA</v>
          </cell>
          <cell r="AV30" t="str">
            <v>NA</v>
          </cell>
          <cell r="AW30">
            <v>0.9302264349657714</v>
          </cell>
          <cell r="AX30">
            <v>0.93598115833422535</v>
          </cell>
          <cell r="AY30">
            <v>0.78391520460363429</v>
          </cell>
          <cell r="AZ30">
            <v>0.76577490608012011</v>
          </cell>
          <cell r="BA30">
            <v>0.71130414485532911</v>
          </cell>
          <cell r="BB30">
            <v>0.69111332474565812</v>
          </cell>
          <cell r="BC30">
            <v>0.760355612785094</v>
          </cell>
          <cell r="BD30">
            <v>0.76211856709764558</v>
          </cell>
          <cell r="BE30">
            <v>0.78980089561066424</v>
          </cell>
          <cell r="BF30">
            <v>0.77988446881198603</v>
          </cell>
          <cell r="BG30">
            <v>0.7798081343965888</v>
          </cell>
          <cell r="BH30">
            <v>0.7728205082524976</v>
          </cell>
          <cell r="BI30">
            <v>0.79313944874821651</v>
          </cell>
          <cell r="BJ30">
            <v>0.76775113792069127</v>
          </cell>
          <cell r="BK30">
            <v>0.78572193080025843</v>
          </cell>
          <cell r="BL30">
            <v>0.73889670363019355</v>
          </cell>
          <cell r="BM30">
            <v>0.77840579203369398</v>
          </cell>
          <cell r="BN30">
            <v>0.7768165308665077</v>
          </cell>
          <cell r="BO30">
            <v>0.79391261792039358</v>
          </cell>
          <cell r="BP30">
            <v>0.74655656381829194</v>
          </cell>
          <cell r="BQ30">
            <v>0.78424868343362975</v>
          </cell>
          <cell r="BR30">
            <v>0.78037200877752577</v>
          </cell>
          <cell r="BS30">
            <v>0.78883206582249821</v>
          </cell>
          <cell r="BT30">
            <v>0.75423563935861471</v>
          </cell>
          <cell r="BU30">
            <v>0.78803369710894122</v>
          </cell>
          <cell r="BV30">
            <v>0.78600385086644475</v>
          </cell>
          <cell r="BW30">
            <v>0.79968222728595284</v>
          </cell>
          <cell r="BX30">
            <v>0.77544006656666042</v>
          </cell>
          <cell r="BY30">
            <v>0.81084897219674767</v>
          </cell>
          <cell r="BZ30">
            <v>0.8026841878724077</v>
          </cell>
          <cell r="CA30">
            <v>0.7781216546828027</v>
          </cell>
          <cell r="CB30">
            <v>0.81146571840324089</v>
          </cell>
          <cell r="CC30">
            <v>0.80804734420480151</v>
          </cell>
          <cell r="CD30">
            <v>0.80000205623912257</v>
          </cell>
          <cell r="CE30">
            <v>0.78179972669610032</v>
          </cell>
          <cell r="CF30">
            <v>0.82074511726196242</v>
          </cell>
          <cell r="CG30">
            <v>0.81282869800167024</v>
          </cell>
          <cell r="CH30">
            <v>0.80402694154819565</v>
          </cell>
          <cell r="CI30">
            <v>0.79302419811840796</v>
          </cell>
          <cell r="CJ30">
            <v>0.81340498973834929</v>
          </cell>
          <cell r="CK30">
            <v>0.80960156136384986</v>
          </cell>
          <cell r="CL30">
            <v>0.80580649128298543</v>
          </cell>
          <cell r="CM30">
            <v>0.79855469335437657</v>
          </cell>
          <cell r="CN30">
            <v>0.80838363358456267</v>
          </cell>
          <cell r="CO30">
            <v>0.79886183753278805</v>
          </cell>
          <cell r="CP30">
            <v>0.79226927711927009</v>
          </cell>
          <cell r="CQ30">
            <v>0.78243959271465935</v>
          </cell>
          <cell r="CR30">
            <v>0.79838130971609855</v>
          </cell>
          <cell r="CS30">
            <v>0.79034581504361801</v>
          </cell>
          <cell r="CT30">
            <v>0.78459353432286127</v>
          </cell>
          <cell r="CU30">
            <v>0.76901588335225834</v>
          </cell>
          <cell r="CV30">
            <v>0.78114836220503958</v>
          </cell>
          <cell r="CW30">
            <v>0.77791200654238113</v>
          </cell>
          <cell r="CX30">
            <v>0.77316121957316386</v>
          </cell>
          <cell r="CY30">
            <v>0.75827863870482304</v>
          </cell>
          <cell r="CZ30">
            <v>0.76730479851665412</v>
          </cell>
          <cell r="DA30">
            <v>0.76454859449752277</v>
          </cell>
          <cell r="DB30">
            <v>0.76013276239463301</v>
          </cell>
          <cell r="DC30">
            <v>0.7461548682601713</v>
          </cell>
          <cell r="DD30">
            <v>0.75296324061325803</v>
          </cell>
          <cell r="DE30">
            <v>0.75063983063697981</v>
          </cell>
          <cell r="DF30">
            <v>0.74652821134472447</v>
          </cell>
          <cell r="DG30">
            <v>0.73320003783412535</v>
          </cell>
          <cell r="DH30">
            <v>0.73832715590554876</v>
          </cell>
          <cell r="DI30">
            <v>0.7363297629586566</v>
          </cell>
          <cell r="DJ30">
            <v>0.73245755329749473</v>
          </cell>
          <cell r="DK30">
            <v>0.7195549999872658</v>
          </cell>
          <cell r="DL30">
            <v>0.72335563589472229</v>
          </cell>
          <cell r="DM30">
            <v>0.72158192790940212</v>
          </cell>
          <cell r="DN30">
            <v>0.7178824028097861</v>
          </cell>
          <cell r="DP30" t="str">
            <v>NA</v>
          </cell>
          <cell r="DQ30" t="str">
            <v>NA</v>
          </cell>
          <cell r="DR30" t="str">
            <v>NA</v>
          </cell>
          <cell r="DS30" t="str">
            <v>NA</v>
          </cell>
          <cell r="DT30" t="str">
            <v>NA</v>
          </cell>
          <cell r="DU30" t="str">
            <v>NA</v>
          </cell>
          <cell r="DV30" t="str">
            <v>NA</v>
          </cell>
          <cell r="DW30" t="str">
            <v>NA</v>
          </cell>
          <cell r="DX30" t="str">
            <v>NA</v>
          </cell>
          <cell r="DY30" t="str">
            <v>NA</v>
          </cell>
          <cell r="DZ30">
            <v>0</v>
          </cell>
          <cell r="EA30">
            <v>0.56460714285714286</v>
          </cell>
          <cell r="EB30">
            <v>0.73028571740344239</v>
          </cell>
          <cell r="EC30">
            <v>0.77459779335781997</v>
          </cell>
          <cell r="ED30">
            <v>0.77798163412630839</v>
          </cell>
          <cell r="EE30">
            <v>0.76990707647667145</v>
          </cell>
          <cell r="EF30">
            <v>0.77588481778087959</v>
          </cell>
          <cell r="EG30">
            <v>0.77933225921947724</v>
          </cell>
          <cell r="EH30">
            <v>0.79743662950292449</v>
          </cell>
          <cell r="EI30">
            <v>0.79985520727576698</v>
          </cell>
          <cell r="EJ30">
            <v>0.8053216963209392</v>
          </cell>
          <cell r="EK30">
            <v>0.8056949253604464</v>
          </cell>
          <cell r="EL30">
            <v>0.79922295969323864</v>
          </cell>
          <cell r="EM30">
            <v>0.78895521724745432</v>
          </cell>
          <cell r="EN30">
            <v>0.77537617075952292</v>
          </cell>
          <cell r="EO30">
            <v>0.76259167579746978</v>
          </cell>
          <cell r="EP30">
            <v>0.74906993582219483</v>
          </cell>
          <cell r="EQ30">
            <v>0.73505567478705214</v>
          </cell>
          <cell r="ER30">
            <v>0.72055203886033958</v>
          </cell>
        </row>
        <row r="31">
          <cell r="A31" t="str">
            <v>% of subscription revenues</v>
          </cell>
          <cell r="AU31" t="str">
            <v>NA</v>
          </cell>
          <cell r="AV31" t="str">
            <v>NA</v>
          </cell>
          <cell r="AW31">
            <v>1</v>
          </cell>
          <cell r="AX31">
            <v>1</v>
          </cell>
          <cell r="AY31">
            <v>0.83653881493249593</v>
          </cell>
          <cell r="AZ31">
            <v>0.84589926603292243</v>
          </cell>
          <cell r="BA31">
            <v>0.79647244621692148</v>
          </cell>
          <cell r="BB31">
            <v>0.80319592108536209</v>
          </cell>
          <cell r="BC31">
            <v>0.90322680501026154</v>
          </cell>
          <cell r="BD31">
            <v>0.90696334815405655</v>
          </cell>
          <cell r="BE31">
            <v>0.89046919742830399</v>
          </cell>
          <cell r="BF31">
            <v>0.88422265139968137</v>
          </cell>
          <cell r="BG31">
            <v>0.93541082983648882</v>
          </cell>
          <cell r="BH31">
            <v>0.93712327072890433</v>
          </cell>
          <cell r="BI31">
            <v>0.92321781923884272</v>
          </cell>
          <cell r="BJ31">
            <v>0.91762412982849917</v>
          </cell>
          <cell r="BK31">
            <v>0.94362834359601178</v>
          </cell>
          <cell r="BL31">
            <v>0.93972701849414808</v>
          </cell>
          <cell r="BM31">
            <v>0.93131290880803463</v>
          </cell>
          <cell r="BN31">
            <v>0.92756091992994494</v>
          </cell>
          <cell r="BO31">
            <v>0.9407906796723966</v>
          </cell>
          <cell r="BP31">
            <v>0.93798810247315423</v>
          </cell>
          <cell r="BQ31">
            <v>0.93208383963097519</v>
          </cell>
          <cell r="BR31">
            <v>0.92663179966528075</v>
          </cell>
          <cell r="BS31">
            <v>0.92939129661436182</v>
          </cell>
          <cell r="BT31">
            <v>0.92827033687350646</v>
          </cell>
          <cell r="BU31">
            <v>0.92198756316977881</v>
          </cell>
          <cell r="BV31">
            <v>0.9175323454650961</v>
          </cell>
          <cell r="BW31">
            <v>0.91468166418619246</v>
          </cell>
          <cell r="BX31">
            <v>0.91051297135327969</v>
          </cell>
          <cell r="BY31">
            <v>0.90929471301272358</v>
          </cell>
          <cell r="BZ31">
            <v>0.89832967696254251</v>
          </cell>
          <cell r="CA31">
            <v>0.86080952774108332</v>
          </cell>
          <cell r="CB31">
            <v>0.90333075058608481</v>
          </cell>
          <cell r="CC31">
            <v>0.88510473043920768</v>
          </cell>
          <cell r="CD31">
            <v>0.87901166024298438</v>
          </cell>
          <cell r="CE31">
            <v>0.84784171271951347</v>
          </cell>
          <cell r="CF31">
            <v>0.88493432348656709</v>
          </cell>
          <cell r="CG31">
            <v>0.87319082897572042</v>
          </cell>
          <cell r="CH31">
            <v>0.86353424598797346</v>
          </cell>
          <cell r="CI31">
            <v>0.84547195288122079</v>
          </cell>
          <cell r="CJ31">
            <v>0.86851629736496727</v>
          </cell>
          <cell r="CK31">
            <v>0.85898094394320734</v>
          </cell>
          <cell r="CL31">
            <v>0.85292569504953564</v>
          </cell>
          <cell r="CM31">
            <v>0.84001009130816895</v>
          </cell>
          <cell r="CN31">
            <v>0.85241484917694088</v>
          </cell>
          <cell r="CO31">
            <v>0.84320897345789747</v>
          </cell>
          <cell r="CP31">
            <v>0.83652587337622952</v>
          </cell>
          <cell r="CQ31">
            <v>0.82056276829783503</v>
          </cell>
          <cell r="CR31">
            <v>0.83612960369955169</v>
          </cell>
          <cell r="CS31">
            <v>0.82791535055888821</v>
          </cell>
          <cell r="CT31">
            <v>0.82111079676860177</v>
          </cell>
          <cell r="CU31">
            <v>0.80362999585225348</v>
          </cell>
          <cell r="CV31">
            <v>0.81490561623871294</v>
          </cell>
          <cell r="CW31">
            <v>0.81054867114627027</v>
          </cell>
          <cell r="CX31">
            <v>0.80463935350328719</v>
          </cell>
          <cell r="CY31">
            <v>0.7882779324851158</v>
          </cell>
          <cell r="CZ31">
            <v>0.79649225587221517</v>
          </cell>
          <cell r="DA31">
            <v>0.79281441777801476</v>
          </cell>
          <cell r="DB31">
            <v>0.78762616327817037</v>
          </cell>
          <cell r="DC31">
            <v>0.77261834331558032</v>
          </cell>
          <cell r="DD31">
            <v>0.77857234998543801</v>
          </cell>
          <cell r="DE31">
            <v>0.77539200059708757</v>
          </cell>
          <cell r="DF31">
            <v>0.77071372355707179</v>
          </cell>
          <cell r="DG31">
            <v>0.75662896369070776</v>
          </cell>
          <cell r="DH31">
            <v>0.76088801741487266</v>
          </cell>
          <cell r="DI31">
            <v>0.75808453535323439</v>
          </cell>
          <cell r="DJ31">
            <v>0.75377579601153821</v>
          </cell>
          <cell r="DK31">
            <v>0.7403102796589498</v>
          </cell>
          <cell r="DL31">
            <v>0.74329079059113423</v>
          </cell>
          <cell r="DM31">
            <v>0.74078372831311878</v>
          </cell>
          <cell r="DN31">
            <v>0.73674612438327292</v>
          </cell>
          <cell r="DP31" t="str">
            <v>NA</v>
          </cell>
          <cell r="DQ31" t="str">
            <v>NA</v>
          </cell>
          <cell r="DR31" t="str">
            <v>NA</v>
          </cell>
          <cell r="DS31" t="str">
            <v>NA</v>
          </cell>
          <cell r="DT31" t="str">
            <v>NA</v>
          </cell>
          <cell r="DU31" t="str">
            <v>NA</v>
          </cell>
          <cell r="DV31" t="str">
            <v>NA</v>
          </cell>
          <cell r="DW31" t="str">
            <v>NA</v>
          </cell>
          <cell r="DX31" t="str">
            <v>NA</v>
          </cell>
          <cell r="DY31" t="str">
            <v>NA</v>
          </cell>
          <cell r="DZ31" t="str">
            <v>NA</v>
          </cell>
          <cell r="EA31">
            <v>1</v>
          </cell>
          <cell r="EB31">
            <v>0.81769021241002915</v>
          </cell>
          <cell r="EC31">
            <v>0.89464986430141502</v>
          </cell>
          <cell r="ED31">
            <v>0.92703842062227249</v>
          </cell>
          <cell r="EE31">
            <v>0.93464065598397539</v>
          </cell>
          <cell r="EF31">
            <v>0.93366430991837435</v>
          </cell>
          <cell r="EG31">
            <v>0.92375730597752148</v>
          </cell>
          <cell r="EH31">
            <v>0.90767076034736927</v>
          </cell>
          <cell r="EI31">
            <v>0.88216005520397511</v>
          </cell>
          <cell r="EJ31">
            <v>0.86768465147182849</v>
          </cell>
          <cell r="EK31">
            <v>0.85652499691390815</v>
          </cell>
          <cell r="EL31">
            <v>0.84280132231326776</v>
          </cell>
          <cell r="EM31">
            <v>0.8264181482992079</v>
          </cell>
          <cell r="EN31">
            <v>0.8084160715185581</v>
          </cell>
          <cell r="EO31">
            <v>0.79126295635795618</v>
          </cell>
          <cell r="EP31">
            <v>0.77426309683048644</v>
          </cell>
          <cell r="EQ31">
            <v>0.75726614925833824</v>
          </cell>
          <cell r="ER31">
            <v>0.74019136291746257</v>
          </cell>
        </row>
        <row r="32">
          <cell r="A32" t="str">
            <v>% growth y-o-y</v>
          </cell>
          <cell r="AU32" t="str">
            <v>NA</v>
          </cell>
          <cell r="AV32" t="str">
            <v>NA</v>
          </cell>
          <cell r="AW32" t="str">
            <v>NA</v>
          </cell>
          <cell r="AX32" t="str">
            <v>NA</v>
          </cell>
          <cell r="AY32" t="str">
            <v>NA</v>
          </cell>
          <cell r="AZ32" t="str">
            <v>NA</v>
          </cell>
          <cell r="BA32">
            <v>0.67004468768042869</v>
          </cell>
          <cell r="BB32">
            <v>0.6880618837862893</v>
          </cell>
          <cell r="BC32">
            <v>1.0648724856319869</v>
          </cell>
          <cell r="BD32">
            <v>1.0170511395703552</v>
          </cell>
          <cell r="BE32">
            <v>1.2887792359004249</v>
          </cell>
          <cell r="BF32">
            <v>1.0702542811604787</v>
          </cell>
          <cell r="BG32">
            <v>0.92941649729621334</v>
          </cell>
          <cell r="BH32">
            <v>0.95257084100225975</v>
          </cell>
          <cell r="BI32">
            <v>0.88955146914416927</v>
          </cell>
          <cell r="BJ32">
            <v>0.88862730018681524</v>
          </cell>
          <cell r="BK32">
            <v>0.82561472006157377</v>
          </cell>
          <cell r="BL32">
            <v>0.72147203102367885</v>
          </cell>
          <cell r="BM32">
            <v>0.69698051083083268</v>
          </cell>
          <cell r="BN32">
            <v>0.68580773768724979</v>
          </cell>
          <cell r="BO32">
            <v>0.63534519962222924</v>
          </cell>
          <cell r="BP32">
            <v>0.64823331758396918</v>
          </cell>
          <cell r="BQ32">
            <v>0.6183270839163606</v>
          </cell>
          <cell r="BR32">
            <v>0.588359509820229</v>
          </cell>
          <cell r="BS32">
            <v>0.51418190283124221</v>
          </cell>
          <cell r="BT32">
            <v>0.494712180194675</v>
          </cell>
          <cell r="BU32">
            <v>0.46834228441161763</v>
          </cell>
          <cell r="BV32">
            <v>0.45305902132240305</v>
          </cell>
          <cell r="BW32">
            <v>0.46291954737924912</v>
          </cell>
          <cell r="BX32">
            <v>0.42231381863909445</v>
          </cell>
          <cell r="BY32">
            <v>0.40919361500522378</v>
          </cell>
          <cell r="BZ32">
            <v>0.3787869340198291</v>
          </cell>
          <cell r="CA32">
            <v>0.36397308324407418</v>
          </cell>
          <cell r="CB32">
            <v>0.37435343280424083</v>
          </cell>
          <cell r="CC32">
            <v>0.37190699112362369</v>
          </cell>
          <cell r="CD32">
            <v>0.41899527427417738</v>
          </cell>
          <cell r="CE32">
            <v>0.38070711363081222</v>
          </cell>
          <cell r="CF32">
            <v>0.42389505511776093</v>
          </cell>
          <cell r="CG32">
            <v>0.37513877641232707</v>
          </cell>
          <cell r="CH32">
            <v>0.30950576807816987</v>
          </cell>
          <cell r="CI32">
            <v>0.35815157088966432</v>
          </cell>
          <cell r="CJ32">
            <v>0.3096241685655825</v>
          </cell>
          <cell r="CK32">
            <v>0.31083041183938676</v>
          </cell>
          <cell r="CL32">
            <v>0.33327633967097037</v>
          </cell>
          <cell r="CM32">
            <v>0.33553349985041114</v>
          </cell>
          <cell r="CN32">
            <v>0.2762037592092883</v>
          </cell>
          <cell r="CO32">
            <v>0.28318834411590732</v>
          </cell>
          <cell r="CP32">
            <v>0.29161437025172687</v>
          </cell>
          <cell r="CQ32">
            <v>0.25625719803295044</v>
          </cell>
          <cell r="CR32">
            <v>0.31178549384743692</v>
          </cell>
          <cell r="CS32">
            <v>0.25381952425366006</v>
          </cell>
          <cell r="CT32">
            <v>0.21593540619491636</v>
          </cell>
          <cell r="CU32">
            <v>0.19662678391426591</v>
          </cell>
          <cell r="CV32">
            <v>0.19908051291496176</v>
          </cell>
          <cell r="CW32">
            <v>0.24688106291294742</v>
          </cell>
          <cell r="CX32">
            <v>0.26433629980361939</v>
          </cell>
          <cell r="CY32">
            <v>0.26637203728835979</v>
          </cell>
          <cell r="CZ32">
            <v>0.26543611678845136</v>
          </cell>
          <cell r="DA32">
            <v>0.2685100978281052</v>
          </cell>
          <cell r="DB32">
            <v>0.26003818816117197</v>
          </cell>
          <cell r="DC32">
            <v>0.24976164620953245</v>
          </cell>
          <cell r="DD32">
            <v>0.24857960330234219</v>
          </cell>
          <cell r="DE32">
            <v>0.25078316016292179</v>
          </cell>
          <cell r="DF32">
            <v>0.24460660010060953</v>
          </cell>
          <cell r="DG32">
            <v>0.23660128067346431</v>
          </cell>
          <cell r="DH32">
            <v>0.2353168657929352</v>
          </cell>
          <cell r="DI32">
            <v>0.23696037906910705</v>
          </cell>
          <cell r="DJ32">
            <v>0.23233306336229842</v>
          </cell>
          <cell r="DK32">
            <v>0.22586742305409846</v>
          </cell>
          <cell r="DL32">
            <v>0.22451188972347169</v>
          </cell>
          <cell r="DM32">
            <v>0.22575949553893793</v>
          </cell>
          <cell r="DN32">
            <v>0.22222133145979162</v>
          </cell>
          <cell r="DQ32" t="str">
            <v>NA</v>
          </cell>
          <cell r="DR32" t="str">
            <v>NA</v>
          </cell>
          <cell r="DS32" t="str">
            <v>NA</v>
          </cell>
          <cell r="DT32" t="str">
            <v>NA</v>
          </cell>
          <cell r="DU32" t="str">
            <v>NA</v>
          </cell>
          <cell r="DV32" t="str">
            <v>NA</v>
          </cell>
          <cell r="DW32" t="str">
            <v>NA</v>
          </cell>
          <cell r="DX32" t="str">
            <v>NA</v>
          </cell>
          <cell r="DY32" t="str">
            <v>NA</v>
          </cell>
          <cell r="DZ32" t="str">
            <v>NA</v>
          </cell>
          <cell r="EA32" t="str">
            <v>NA</v>
          </cell>
          <cell r="EB32">
            <v>1.9719566016109726</v>
          </cell>
          <cell r="EC32">
            <v>1.1114609076156463</v>
          </cell>
          <cell r="ED32">
            <v>0.91124494817931456</v>
          </cell>
          <cell r="EE32">
            <v>0.72434110642231908</v>
          </cell>
          <cell r="EF32">
            <v>0.61983417204872393</v>
          </cell>
          <cell r="EG32">
            <v>0.47964010301533699</v>
          </cell>
          <cell r="EH32">
            <v>0.41506094284988704</v>
          </cell>
          <cell r="EI32">
            <v>0.38388686618999834</v>
          </cell>
          <cell r="EJ32">
            <v>0.3691184632809732</v>
          </cell>
          <cell r="EK32">
            <v>0.32705439982223461</v>
          </cell>
          <cell r="EL32">
            <v>0.29555313507569436</v>
          </cell>
          <cell r="EM32">
            <v>0.25788566220564157</v>
          </cell>
          <cell r="EN32">
            <v>0.22795197907324072</v>
          </cell>
          <cell r="EO32">
            <v>0.26496610497433593</v>
          </cell>
          <cell r="EP32">
            <v>0.24833560146395839</v>
          </cell>
          <cell r="EQ32">
            <v>0.23522365871484197</v>
          </cell>
          <cell r="ER32">
            <v>0.22452232483420076</v>
          </cell>
        </row>
        <row r="33">
          <cell r="A33" t="str">
            <v>% growth seq</v>
          </cell>
          <cell r="AU33" t="str">
            <v>NA</v>
          </cell>
          <cell r="AV33" t="str">
            <v>NA</v>
          </cell>
          <cell r="AW33" t="str">
            <v>NA</v>
          </cell>
          <cell r="AX33">
            <v>0.23733371072742715</v>
          </cell>
          <cell r="AY33">
            <v>6.1867524662111428E-2</v>
          </cell>
          <cell r="AZ33">
            <v>0.19997888948314468</v>
          </cell>
          <cell r="BA33">
            <v>5.9247145501397425E-2</v>
          </cell>
          <cell r="BB33">
            <v>0.25068262544750697</v>
          </cell>
          <cell r="BC33">
            <v>0.29889849188640727</v>
          </cell>
          <cell r="BD33">
            <v>0.17218801806618056</v>
          </cell>
          <cell r="BE33">
            <v>0.20194417719463664</v>
          </cell>
          <cell r="BF33">
            <v>0.13127164869926977</v>
          </cell>
          <cell r="BG33">
            <v>0.21053544067736718</v>
          </cell>
          <cell r="BH33">
            <v>0.18625509186618583</v>
          </cell>
          <cell r="BI33">
            <v>0.16315133779301205</v>
          </cell>
          <cell r="BJ33">
            <v>0.13071835012173172</v>
          </cell>
          <cell r="BK33">
            <v>0.17014686774792698</v>
          </cell>
          <cell r="BL33">
            <v>0.11858484699235339</v>
          </cell>
          <cell r="BM33">
            <v>0.1466030907326441</v>
          </cell>
          <cell r="BN33">
            <v>0.12327379814569794</v>
          </cell>
          <cell r="BO33">
            <v>0.13511999040282552</v>
          </cell>
          <cell r="BP33">
            <v>0.12740038848266533</v>
          </cell>
          <cell r="BQ33">
            <v>0.12579864539737029</v>
          </cell>
          <cell r="BR33">
            <v>0.10247343515930307</v>
          </cell>
          <cell r="BS33">
            <v>8.2109016493667308E-2</v>
          </cell>
          <cell r="BT33">
            <v>0.11290399751202118</v>
          </cell>
          <cell r="BU33">
            <v>0.10593716748530224</v>
          </cell>
          <cell r="BV33">
            <v>9.0998323574430717E-2</v>
          </cell>
          <cell r="BW33">
            <v>8.9452258575997368E-2</v>
          </cell>
          <cell r="BX33">
            <v>8.2013523789277398E-2</v>
          </cell>
          <cell r="BY33">
            <v>9.5735395799249723E-2</v>
          </cell>
          <cell r="BZ33">
            <v>6.7457457630040851E-2</v>
          </cell>
          <cell r="CA33">
            <v>7.7747053959065671E-2</v>
          </cell>
          <cell r="CB33">
            <v>9.0248054766272068E-2</v>
          </cell>
          <cell r="CC33">
            <v>9.3784912990951153E-2</v>
          </cell>
          <cell r="CD33">
            <v>0.10409604854128429</v>
          </cell>
          <cell r="CE33">
            <v>4.8666652436230917E-2</v>
          </cell>
          <cell r="CF33">
            <v>0.12435055828107289</v>
          </cell>
          <cell r="CG33">
            <v>5.6332095193803111E-2</v>
          </cell>
          <cell r="CH33">
            <v>5.1399443370511388E-2</v>
          </cell>
          <cell r="CI33">
            <v>8.7622747501218567E-2</v>
          </cell>
          <cell r="CJ33">
            <v>8.4176977463969793E-2</v>
          </cell>
          <cell r="CK33">
            <v>5.7305041108604682E-2</v>
          </cell>
          <cell r="CL33">
            <v>6.940302019853628E-2</v>
          </cell>
          <cell r="CM33">
            <v>8.9464030274240436E-2</v>
          </cell>
          <cell r="CN33">
            <v>3.6013499056862353E-2</v>
          </cell>
          <cell r="CO33">
            <v>6.3091606755766305E-2</v>
          </cell>
          <cell r="CP33">
            <v>7.6425230023957846E-2</v>
          </cell>
          <cell r="CQ33">
            <v>5.9640602917156116E-2</v>
          </cell>
          <cell r="CR33">
            <v>8.1806720487560103E-2</v>
          </cell>
          <cell r="CS33">
            <v>1.6115072831866195E-2</v>
          </cell>
          <cell r="CT33">
            <v>4.3901075066399731E-2</v>
          </cell>
          <cell r="CU33">
            <v>4.2813886587712791E-2</v>
          </cell>
          <cell r="CV33">
            <v>8.4025006555439319E-2</v>
          </cell>
          <cell r="CW33">
            <v>5.6621826814991838E-2</v>
          </cell>
          <cell r="CX33">
            <v>5.8514770869223298E-2</v>
          </cell>
          <cell r="CY33">
            <v>4.4492945647287563E-2</v>
          </cell>
          <cell r="CZ33">
            <v>8.3223850815913547E-2</v>
          </cell>
          <cell r="DA33">
            <v>5.9188558883582321E-2</v>
          </cell>
          <cell r="DB33">
            <v>5.144534230474207E-2</v>
          </cell>
          <cell r="DC33">
            <v>3.597433432662589E-2</v>
          </cell>
          <cell r="DD33">
            <v>8.2199321799808933E-2</v>
          </cell>
          <cell r="DE33">
            <v>6.1057868785331593E-2</v>
          </cell>
          <cell r="DF33">
            <v>4.6253143116405049E-2</v>
          </cell>
          <cell r="DG33">
            <v>2.9310939271563363E-2</v>
          </cell>
          <cell r="DH33">
            <v>8.1075278881252988E-2</v>
          </cell>
          <cell r="DI33">
            <v>6.2469541160593778E-2</v>
          </cell>
          <cell r="DJ33">
            <v>4.2339239579669341E-2</v>
          </cell>
          <cell r="DK33">
            <v>2.391048829245257E-2</v>
          </cell>
          <cell r="DL33">
            <v>7.9879853057969852E-2</v>
          </cell>
          <cell r="DM33">
            <v>6.3552048557567353E-2</v>
          </cell>
          <cell r="DN33">
            <v>3.9330519460275992E-2</v>
          </cell>
        </row>
        <row r="35">
          <cell r="A35" t="str">
            <v>ITSM</v>
          </cell>
          <cell r="AW35">
            <v>7.0659999999999998</v>
          </cell>
          <cell r="AX35">
            <v>8.7430000000000003</v>
          </cell>
          <cell r="AY35">
            <v>9.2839077681208408</v>
          </cell>
          <cell r="AZ35">
            <v>11.140493333653588</v>
          </cell>
          <cell r="BA35">
            <v>11.800535763149909</v>
          </cell>
          <cell r="BB35">
            <v>14.758725049943529</v>
          </cell>
          <cell r="BC35">
            <v>19.170085709537791</v>
          </cell>
          <cell r="BD35">
            <v>22.470944774021913</v>
          </cell>
          <cell r="BE35">
            <v>27.008821227197888</v>
          </cell>
          <cell r="BF35">
            <v>30.554313719115989</v>
          </cell>
          <cell r="BG35">
            <v>36.9870796225646</v>
          </cell>
          <cell r="BH35">
            <v>43.876111535527301</v>
          </cell>
          <cell r="BI35">
            <v>51.034557829703992</v>
          </cell>
          <cell r="BJ35">
            <v>57.705711028395001</v>
          </cell>
          <cell r="BK35">
            <v>67.277568785525958</v>
          </cell>
          <cell r="BL35">
            <v>74.396151485925742</v>
          </cell>
          <cell r="BM35">
            <v>83.954175912664851</v>
          </cell>
          <cell r="BN35">
            <v>92.931520907780651</v>
          </cell>
          <cell r="BO35">
            <v>104.18052616260026</v>
          </cell>
          <cell r="BP35">
            <v>116.14170456739832</v>
          </cell>
          <cell r="BQ35">
            <v>129.6584436665089</v>
          </cell>
          <cell r="BR35">
            <v>141.70811698476447</v>
          </cell>
          <cell r="BS35">
            <v>152.77637181063719</v>
          </cell>
          <cell r="BT35">
            <v>169.15268933291648</v>
          </cell>
          <cell r="BU35">
            <v>186.1435662505169</v>
          </cell>
          <cell r="BV35">
            <v>201.81724595505844</v>
          </cell>
          <cell r="BW35">
            <v>217.96256979585218</v>
          </cell>
          <cell r="BX35">
            <v>232.94070773376927</v>
          </cell>
          <cell r="BY35">
            <v>250.91577622366142</v>
          </cell>
          <cell r="BZ35">
            <v>262.7138505772802</v>
          </cell>
          <cell r="CA35">
            <v>277.48266634220431</v>
          </cell>
          <cell r="CB35">
            <v>295.56443709601757</v>
          </cell>
          <cell r="CC35">
            <v>316.72672816915258</v>
          </cell>
          <cell r="CD35">
            <v>340.33932847364639</v>
          </cell>
          <cell r="CE35">
            <v>345.28311635664062</v>
          </cell>
          <cell r="CF35">
            <v>378.99796391818558</v>
          </cell>
          <cell r="CG35">
            <v>392.94146283243157</v>
          </cell>
          <cell r="CH35">
            <v>401.8624891720205</v>
          </cell>
          <cell r="CI35">
            <v>421.14864474648499</v>
          </cell>
          <cell r="CJ35">
            <v>448.09713214695228</v>
          </cell>
          <cell r="CK35">
            <v>464.89225704396955</v>
          </cell>
          <cell r="CL35">
            <v>484.47154705850357</v>
          </cell>
          <cell r="CM35">
            <v>514.98555830420196</v>
          </cell>
          <cell r="CN35">
            <v>531.69642729950795</v>
          </cell>
          <cell r="CO35">
            <v>560.57903976336843</v>
          </cell>
          <cell r="CP35">
            <v>593.50675505067966</v>
          </cell>
          <cell r="CQ35">
            <v>616.88284951997628</v>
          </cell>
          <cell r="CR35">
            <v>663.87197668608871</v>
          </cell>
          <cell r="CS35">
            <v>670.78874665126079</v>
          </cell>
          <cell r="CT35">
            <v>691.67316947964139</v>
          </cell>
          <cell r="CU35">
            <v>707.90094069822919</v>
          </cell>
          <cell r="CV35">
            <v>762.89204338928641</v>
          </cell>
          <cell r="CW35">
            <v>799.50986758205238</v>
          </cell>
          <cell r="CX35">
            <v>835.37540029157526</v>
          </cell>
          <cell r="CY35">
            <v>856.30605738714451</v>
          </cell>
          <cell r="CZ35">
            <v>922.50585354328746</v>
          </cell>
          <cell r="DA35">
            <v>969.50970709205603</v>
          </cell>
          <cell r="DB35">
            <v>1008.1944284235115</v>
          </cell>
          <cell r="DC35">
            <v>1026.5653499475102</v>
          </cell>
          <cell r="DD35">
            <v>1104.9780889515089</v>
          </cell>
          <cell r="DE35">
            <v>1163.5601207059408</v>
          </cell>
          <cell r="DF35">
            <v>1205.4952780452709</v>
          </cell>
          <cell r="DG35">
            <v>1220.6274424618173</v>
          </cell>
          <cell r="DH35">
            <v>1312.2995721171899</v>
          </cell>
          <cell r="DI35">
            <v>1383.7334379511055</v>
          </cell>
          <cell r="DJ35">
            <v>1429.3245793262126</v>
          </cell>
          <cell r="DK35">
            <v>1440.2822198422341</v>
          </cell>
          <cell r="DL35">
            <v>1546.2185442910138</v>
          </cell>
          <cell r="DM35">
            <v>1631.7979158849557</v>
          </cell>
          <cell r="DN35">
            <v>1681.4069665632283</v>
          </cell>
          <cell r="DP35">
            <v>0</v>
          </cell>
          <cell r="DQ35">
            <v>0</v>
          </cell>
          <cell r="DR35">
            <v>0</v>
          </cell>
          <cell r="DS35">
            <v>0</v>
          </cell>
          <cell r="DT35">
            <v>0</v>
          </cell>
          <cell r="DU35">
            <v>0</v>
          </cell>
          <cell r="DV35">
            <v>0</v>
          </cell>
          <cell r="DW35">
            <v>0</v>
          </cell>
          <cell r="DX35">
            <v>0</v>
          </cell>
          <cell r="DY35">
            <v>0</v>
          </cell>
          <cell r="DZ35">
            <v>0</v>
          </cell>
          <cell r="EA35">
            <v>15.809000000000001</v>
          </cell>
          <cell r="EB35">
            <v>46.983661914867866</v>
          </cell>
          <cell r="EC35">
            <v>99.204165429873584</v>
          </cell>
          <cell r="ED35">
            <v>189.60346001619089</v>
          </cell>
          <cell r="EE35">
            <v>318.55941709189722</v>
          </cell>
          <cell r="EF35">
            <v>491.68879138127193</v>
          </cell>
          <cell r="EG35">
            <v>709.88987334912895</v>
          </cell>
          <cell r="EH35">
            <v>964.53290433056304</v>
          </cell>
          <cell r="EI35">
            <v>1230.1131600810209</v>
          </cell>
          <cell r="EJ35">
            <v>1519.0850322792783</v>
          </cell>
          <cell r="EK35">
            <v>1818.6095809959104</v>
          </cell>
          <cell r="EL35">
            <v>2200.7677804177583</v>
          </cell>
          <cell r="EM35">
            <v>2643.2167423369669</v>
          </cell>
          <cell r="EN35">
            <v>3105.6782519611434</v>
          </cell>
          <cell r="EO35">
            <v>3756.5160464459996</v>
          </cell>
          <cell r="EP35">
            <v>4500.5988376502301</v>
          </cell>
          <cell r="EQ35">
            <v>5345.9850318563258</v>
          </cell>
          <cell r="ER35">
            <v>6299.7056465814312</v>
          </cell>
        </row>
        <row r="36">
          <cell r="A36" t="str">
            <v>% of revenues</v>
          </cell>
          <cell r="AU36" t="str">
            <v>NA</v>
          </cell>
          <cell r="AV36" t="str">
            <v>NA</v>
          </cell>
          <cell r="AW36">
            <v>0.9302264349657714</v>
          </cell>
          <cell r="AX36">
            <v>0.93598115833422535</v>
          </cell>
          <cell r="AY36">
            <v>0.78391520460363429</v>
          </cell>
          <cell r="AZ36">
            <v>0.76577490608012011</v>
          </cell>
          <cell r="BA36">
            <v>0.71130414485532911</v>
          </cell>
          <cell r="BB36">
            <v>0.69111332474565812</v>
          </cell>
          <cell r="BC36">
            <v>0.760355612785094</v>
          </cell>
          <cell r="BD36">
            <v>0.76211856709764558</v>
          </cell>
          <cell r="BE36">
            <v>0.78980089561066424</v>
          </cell>
          <cell r="BF36">
            <v>0.77988446881198603</v>
          </cell>
          <cell r="BG36">
            <v>0.7798081343965888</v>
          </cell>
          <cell r="BH36">
            <v>0.7728205082524976</v>
          </cell>
          <cell r="BI36">
            <v>0.79313944874821651</v>
          </cell>
          <cell r="BJ36">
            <v>0.76775113792069127</v>
          </cell>
          <cell r="BK36">
            <v>0.78285259062272017</v>
          </cell>
          <cell r="BL36">
            <v>0.72779002060149223</v>
          </cell>
          <cell r="BM36">
            <v>0.75458323293095253</v>
          </cell>
          <cell r="BN36">
            <v>0.74208672768330786</v>
          </cell>
          <cell r="BO36">
            <v>0.74901521434035701</v>
          </cell>
          <cell r="BP36">
            <v>0.6964727391797545</v>
          </cell>
          <cell r="BQ36">
            <v>0.72551615821270488</v>
          </cell>
          <cell r="BR36">
            <v>0.71568310228462284</v>
          </cell>
          <cell r="BS36">
            <v>0.72076565742596477</v>
          </cell>
          <cell r="BT36">
            <v>0.68561702253974799</v>
          </cell>
          <cell r="BU36">
            <v>0.7127840943921766</v>
          </cell>
          <cell r="BV36">
            <v>0.70651932769143522</v>
          </cell>
          <cell r="BW36">
            <v>0.71257775066562978</v>
          </cell>
          <cell r="BX36">
            <v>0.68248613507221922</v>
          </cell>
          <cell r="BY36">
            <v>0.701556177510405</v>
          </cell>
          <cell r="BZ36">
            <v>0.68119525853272056</v>
          </cell>
          <cell r="CA36">
            <v>0.64715819479909864</v>
          </cell>
          <cell r="CB36">
            <v>0.65936232503606751</v>
          </cell>
          <cell r="CC36">
            <v>0.64326713982345185</v>
          </cell>
          <cell r="CD36">
            <v>0.61982092008757428</v>
          </cell>
          <cell r="CE36">
            <v>0.58599834418375518</v>
          </cell>
          <cell r="CF36">
            <v>0.60057738761407153</v>
          </cell>
          <cell r="CG36">
            <v>0.58378133141646982</v>
          </cell>
          <cell r="CH36">
            <v>0.5616989928897288</v>
          </cell>
          <cell r="CI36">
            <v>0.53382528240479465</v>
          </cell>
          <cell r="CJ36">
            <v>0.53734858226720617</v>
          </cell>
          <cell r="CK36">
            <v>0.52480801352395945</v>
          </cell>
          <cell r="CL36">
            <v>0.50901952255315186</v>
          </cell>
          <cell r="CM36">
            <v>0.49217802846512798</v>
          </cell>
          <cell r="CN36">
            <v>0.49652182796295613</v>
          </cell>
          <cell r="CO36">
            <v>0.48662557749959934</v>
          </cell>
          <cell r="CP36">
            <v>0.47468008849718052</v>
          </cell>
          <cell r="CQ36">
            <v>0.45983016405859023</v>
          </cell>
          <cell r="CR36">
            <v>0.46675498534532128</v>
          </cell>
          <cell r="CS36">
            <v>0.45946697344760101</v>
          </cell>
          <cell r="CT36">
            <v>0.45054449018943182</v>
          </cell>
          <cell r="CU36">
            <v>0.43340410677289387</v>
          </cell>
          <cell r="CV36">
            <v>0.43766572215837701</v>
          </cell>
          <cell r="CW36">
            <v>0.43229543277118221</v>
          </cell>
          <cell r="CX36">
            <v>0.42411259148351688</v>
          </cell>
          <cell r="CY36">
            <v>0.40820822257257389</v>
          </cell>
          <cell r="CZ36">
            <v>0.41081164088660638</v>
          </cell>
          <cell r="DA36">
            <v>0.40615300587559444</v>
          </cell>
          <cell r="DB36">
            <v>0.39937369710423781</v>
          </cell>
          <cell r="DC36">
            <v>0.38531178838039915</v>
          </cell>
          <cell r="DD36">
            <v>0.38673804861891381</v>
          </cell>
          <cell r="DE36">
            <v>0.38262278065889727</v>
          </cell>
          <cell r="DF36">
            <v>0.37681254446761192</v>
          </cell>
          <cell r="DG36">
            <v>0.36405972313455814</v>
          </cell>
          <cell r="DH36">
            <v>0.36458006595723669</v>
          </cell>
          <cell r="DI36">
            <v>0.36084392016467165</v>
          </cell>
          <cell r="DJ36">
            <v>0.35571226323798422</v>
          </cell>
          <cell r="DK36">
            <v>0.34390232888598232</v>
          </cell>
          <cell r="DL36">
            <v>0.34369311360555105</v>
          </cell>
          <cell r="DM36">
            <v>0.34020552061403297</v>
          </cell>
          <cell r="DN36">
            <v>0.33555352452834875</v>
          </cell>
          <cell r="DP36" t="str">
            <v>NA</v>
          </cell>
          <cell r="DQ36" t="str">
            <v>NA</v>
          </cell>
          <cell r="DR36" t="str">
            <v>NA</v>
          </cell>
          <cell r="DS36" t="str">
            <v>NA</v>
          </cell>
          <cell r="DT36" t="str">
            <v>NA</v>
          </cell>
          <cell r="DU36" t="str">
            <v>NA</v>
          </cell>
          <cell r="DV36" t="str">
            <v>NA</v>
          </cell>
          <cell r="DW36" t="str">
            <v>NA</v>
          </cell>
          <cell r="DX36" t="str">
            <v>NA</v>
          </cell>
          <cell r="DY36" t="str">
            <v>NA</v>
          </cell>
          <cell r="DZ36">
            <v>0</v>
          </cell>
          <cell r="EA36">
            <v>0.56460714285714286</v>
          </cell>
          <cell r="EB36">
            <v>0.73028571740344239</v>
          </cell>
          <cell r="EC36">
            <v>0.77459779335781997</v>
          </cell>
          <cell r="ED36">
            <v>0.77798163412630839</v>
          </cell>
          <cell r="EE36">
            <v>0.75016935615659297</v>
          </cell>
          <cell r="EF36">
            <v>0.72035664309561453</v>
          </cell>
          <cell r="EG36">
            <v>0.70602087893257848</v>
          </cell>
          <cell r="EH36">
            <v>0.69365256155862121</v>
          </cell>
          <cell r="EI36">
            <v>0.64118686849217199</v>
          </cell>
          <cell r="EJ36">
            <v>0.58228906610480702</v>
          </cell>
          <cell r="EK36">
            <v>0.52554332906390444</v>
          </cell>
          <cell r="EL36">
            <v>0.48695111663582802</v>
          </cell>
          <cell r="EM36">
            <v>0.45897302023206055</v>
          </cell>
          <cell r="EN36">
            <v>0.43160806931701284</v>
          </cell>
          <cell r="EO36">
            <v>0.40590001266652331</v>
          </cell>
          <cell r="EP36">
            <v>0.38265119182935253</v>
          </cell>
          <cell r="EQ36">
            <v>0.36108776382772223</v>
          </cell>
          <cell r="ER36">
            <v>0.34063063181960179</v>
          </cell>
        </row>
        <row r="37">
          <cell r="A37" t="str">
            <v>% of subscription revenues</v>
          </cell>
          <cell r="AU37" t="str">
            <v>NA</v>
          </cell>
          <cell r="AV37" t="str">
            <v>NA</v>
          </cell>
          <cell r="AW37">
            <v>1</v>
          </cell>
          <cell r="AX37">
            <v>1</v>
          </cell>
          <cell r="AY37">
            <v>0.83653881493249593</v>
          </cell>
          <cell r="AZ37">
            <v>0.84589926603292243</v>
          </cell>
          <cell r="BA37">
            <v>0.79647244621692148</v>
          </cell>
          <cell r="BB37">
            <v>0.80319592108536209</v>
          </cell>
          <cell r="BC37">
            <v>0.90322680501026154</v>
          </cell>
          <cell r="BD37">
            <v>0.90696334815405655</v>
          </cell>
          <cell r="BE37">
            <v>0.89046919742830399</v>
          </cell>
          <cell r="BF37">
            <v>0.88422265139968137</v>
          </cell>
          <cell r="BG37">
            <v>0.93541082983648882</v>
          </cell>
          <cell r="BH37">
            <v>0.93712327072890433</v>
          </cell>
          <cell r="BI37">
            <v>0.92321781923884272</v>
          </cell>
          <cell r="BJ37">
            <v>0.91762412982849917</v>
          </cell>
          <cell r="BK37">
            <v>0.94018235257449834</v>
          </cell>
          <cell r="BL37">
            <v>0.92560156621287126</v>
          </cell>
          <cell r="BM37">
            <v>0.9028107354682644</v>
          </cell>
          <cell r="BN37">
            <v>0.88609165800054013</v>
          </cell>
          <cell r="BO37">
            <v>0.88758701735974666</v>
          </cell>
          <cell r="BP37">
            <v>0.87506181675807182</v>
          </cell>
          <cell r="BQ37">
            <v>0.86227991292310757</v>
          </cell>
          <cell r="BR37">
            <v>0.84981869364960017</v>
          </cell>
          <cell r="BS37">
            <v>0.8491963726293984</v>
          </cell>
          <cell r="BT37">
            <v>0.84381844514851501</v>
          </cell>
          <cell r="BU37">
            <v>0.83394666074028212</v>
          </cell>
          <cell r="BV37">
            <v>0.82474702272583977</v>
          </cell>
          <cell r="BW37">
            <v>0.81505100476345305</v>
          </cell>
          <cell r="BX37">
            <v>0.8013675144532949</v>
          </cell>
          <cell r="BY37">
            <v>0.78673260368496745</v>
          </cell>
          <cell r="BZ37">
            <v>0.762364483805412</v>
          </cell>
          <cell r="CA37">
            <v>0.71592910528351095</v>
          </cell>
          <cell r="CB37">
            <v>0.73400791983554248</v>
          </cell>
          <cell r="CC37">
            <v>0.70461067965533852</v>
          </cell>
          <cell r="CD37">
            <v>0.681035519559542</v>
          </cell>
          <cell r="CE37">
            <v>0.63550014513714737</v>
          </cell>
          <cell r="CF37">
            <v>0.64754761622292423</v>
          </cell>
          <cell r="CG37">
            <v>0.62713399019168192</v>
          </cell>
          <cell r="CH37">
            <v>0.60327122293098057</v>
          </cell>
          <cell r="CI37">
            <v>0.56913055753282493</v>
          </cell>
          <cell r="CJ37">
            <v>0.57375600955577133</v>
          </cell>
          <cell r="CK37">
            <v>0.55681721029089315</v>
          </cell>
          <cell r="CL37">
            <v>0.53878423016446242</v>
          </cell>
          <cell r="CM37">
            <v>0.51772848381143499</v>
          </cell>
          <cell r="CN37">
            <v>0.52356648689106355</v>
          </cell>
          <cell r="CO37">
            <v>0.51363957368279278</v>
          </cell>
          <cell r="CP37">
            <v>0.50119597852919417</v>
          </cell>
          <cell r="CQ37">
            <v>0.48223468735479186</v>
          </cell>
          <cell r="CR37">
            <v>0.488823643755327</v>
          </cell>
          <cell r="CS37">
            <v>0.48130799600818819</v>
          </cell>
          <cell r="CT37">
            <v>0.47151413966013417</v>
          </cell>
          <cell r="CU37">
            <v>0.45291202440445338</v>
          </cell>
          <cell r="CV37">
            <v>0.45657940575495526</v>
          </cell>
          <cell r="CW37">
            <v>0.45043203553664879</v>
          </cell>
          <cell r="CX37">
            <v>0.44137971846582996</v>
          </cell>
          <cell r="CY37">
            <v>0.42435790392638661</v>
          </cell>
          <cell r="CZ37">
            <v>0.42643847819132008</v>
          </cell>
          <cell r="DA37">
            <v>0.42116872779509545</v>
          </cell>
          <cell r="DB37">
            <v>0.41381872789364449</v>
          </cell>
          <cell r="DC37">
            <v>0.39897743519730677</v>
          </cell>
          <cell r="DD37">
            <v>0.39989143573167485</v>
          </cell>
          <cell r="DE37">
            <v>0.39523967588738701</v>
          </cell>
          <cell r="DF37">
            <v>0.38902026047551885</v>
          </cell>
          <cell r="DG37">
            <v>0.37569301257884641</v>
          </cell>
          <cell r="DH37">
            <v>0.37572043958609669</v>
          </cell>
          <cell r="DI37">
            <v>0.3715050094592387</v>
          </cell>
          <cell r="DJ37">
            <v>0.3660653005299474</v>
          </cell>
          <cell r="DK37">
            <v>0.3538220556836536</v>
          </cell>
          <cell r="DL37">
            <v>0.35316504559560652</v>
          </cell>
          <cell r="DM37">
            <v>0.34925862775323141</v>
          </cell>
          <cell r="DN37">
            <v>0.34437082975122396</v>
          </cell>
          <cell r="DP37" t="str">
            <v>NA</v>
          </cell>
          <cell r="DQ37" t="str">
            <v>NA</v>
          </cell>
          <cell r="DR37" t="str">
            <v>NA</v>
          </cell>
          <cell r="DS37" t="str">
            <v>NA</v>
          </cell>
          <cell r="DT37" t="str">
            <v>NA</v>
          </cell>
          <cell r="DU37" t="str">
            <v>NA</v>
          </cell>
          <cell r="DV37" t="str">
            <v>NA</v>
          </cell>
          <cell r="DW37" t="str">
            <v>NA</v>
          </cell>
          <cell r="DX37" t="str">
            <v>NA</v>
          </cell>
          <cell r="DY37" t="str">
            <v>NA</v>
          </cell>
          <cell r="DZ37" t="str">
            <v>NA</v>
          </cell>
          <cell r="EA37">
            <v>1</v>
          </cell>
          <cell r="EB37">
            <v>0.81769021241002915</v>
          </cell>
          <cell r="EC37">
            <v>0.89464986430141502</v>
          </cell>
          <cell r="ED37">
            <v>0.92703842062227249</v>
          </cell>
          <cell r="EE37">
            <v>0.91067974377622096</v>
          </cell>
          <cell r="EF37">
            <v>0.86684424370438817</v>
          </cell>
          <cell r="EG37">
            <v>0.83685993665888891</v>
          </cell>
          <cell r="EH37">
            <v>0.78954003951295182</v>
          </cell>
          <cell r="EI37">
            <v>0.70716479452774972</v>
          </cell>
          <cell r="EJ37">
            <v>0.62738069480454539</v>
          </cell>
          <cell r="EK37">
            <v>0.55869906106607869</v>
          </cell>
          <cell r="EL37">
            <v>0.51350257149784695</v>
          </cell>
          <cell r="EM37">
            <v>0.48076700072129247</v>
          </cell>
          <cell r="EN37">
            <v>0.44999951377301689</v>
          </cell>
          <cell r="EO37">
            <v>0.42116070001994471</v>
          </cell>
          <cell r="EP37">
            <v>0.39552074195378822</v>
          </cell>
          <cell r="EQ37">
            <v>0.37199840751836899</v>
          </cell>
          <cell r="ER37">
            <v>0.34991484031711512</v>
          </cell>
        </row>
        <row r="38">
          <cell r="A38" t="str">
            <v>% growth y-o-y</v>
          </cell>
          <cell r="AU38" t="str">
            <v>NA</v>
          </cell>
          <cell r="AV38" t="str">
            <v>NA</v>
          </cell>
          <cell r="AW38" t="str">
            <v>NA</v>
          </cell>
          <cell r="AX38" t="str">
            <v>NA</v>
          </cell>
          <cell r="AY38" t="str">
            <v>NA</v>
          </cell>
          <cell r="AZ38" t="str">
            <v>NA</v>
          </cell>
          <cell r="BA38">
            <v>0.67004468768042869</v>
          </cell>
          <cell r="BB38">
            <v>0.6880618837862893</v>
          </cell>
          <cell r="BC38">
            <v>1.0648724856319869</v>
          </cell>
          <cell r="BD38">
            <v>1.0170511395703552</v>
          </cell>
          <cell r="BE38">
            <v>1.2887792359004249</v>
          </cell>
          <cell r="BF38">
            <v>1.0702542811604787</v>
          </cell>
          <cell r="BG38">
            <v>0.92941649729621334</v>
          </cell>
          <cell r="BH38">
            <v>0.95257084100225975</v>
          </cell>
          <cell r="BI38">
            <v>0.88955146914416927</v>
          </cell>
          <cell r="BJ38">
            <v>0.88862730018681524</v>
          </cell>
          <cell r="BK38">
            <v>0.81894784535738596</v>
          </cell>
          <cell r="BL38">
            <v>0.6955958238388058</v>
          </cell>
          <cell r="BM38">
            <v>0.64504562169049362</v>
          </cell>
          <cell r="BN38">
            <v>0.61043888467212959</v>
          </cell>
          <cell r="BO38">
            <v>0.54851799854297911</v>
          </cell>
          <cell r="BP38">
            <v>0.56112516908041932</v>
          </cell>
          <cell r="BQ38">
            <v>0.54439540686325016</v>
          </cell>
          <cell r="BR38">
            <v>0.52486600456465804</v>
          </cell>
          <cell r="BS38">
            <v>0.46645805543533858</v>
          </cell>
          <cell r="BT38">
            <v>0.45643367266712787</v>
          </cell>
          <cell r="BU38">
            <v>0.43564553905406966</v>
          </cell>
          <cell r="BV38">
            <v>0.42417562415818777</v>
          </cell>
          <cell r="BW38">
            <v>0.42667722248314544</v>
          </cell>
          <cell r="BX38">
            <v>0.37710318796829134</v>
          </cell>
          <cell r="BY38">
            <v>0.34796910405150605</v>
          </cell>
          <cell r="BZ38">
            <v>0.30174133203553133</v>
          </cell>
          <cell r="CA38">
            <v>0.27307485226522954</v>
          </cell>
          <cell r="CB38">
            <v>0.26883978318560664</v>
          </cell>
          <cell r="CC38">
            <v>0.26228303750350301</v>
          </cell>
          <cell r="CD38">
            <v>0.2954753916696593</v>
          </cell>
          <cell r="CE38">
            <v>0.24434120843722074</v>
          </cell>
          <cell r="CF38">
            <v>0.28228540497605148</v>
          </cell>
          <cell r="CG38">
            <v>0.24063246920725745</v>
          </cell>
          <cell r="CH38">
            <v>0.18077005961753856</v>
          </cell>
          <cell r="CI38">
            <v>0.21971977428367317</v>
          </cell>
          <cell r="CJ38">
            <v>0.18232068456094175</v>
          </cell>
          <cell r="CK38">
            <v>0.1831081751793171</v>
          </cell>
          <cell r="CL38">
            <v>0.20556548598672908</v>
          </cell>
          <cell r="CM38">
            <v>0.22281186162715327</v>
          </cell>
          <cell r="CN38">
            <v>0.18656511982571566</v>
          </cell>
          <cell r="CO38">
            <v>0.20582571825959417</v>
          </cell>
          <cell r="CP38">
            <v>0.22506008588985149</v>
          </cell>
          <cell r="CQ38">
            <v>0.19786436643255079</v>
          </cell>
          <cell r="CR38">
            <v>0.2485921337818684</v>
          </cell>
          <cell r="CS38">
            <v>0.19659976394125267</v>
          </cell>
          <cell r="CT38">
            <v>0.16540066914753027</v>
          </cell>
          <cell r="CU38">
            <v>0.14754518017331519</v>
          </cell>
          <cell r="CV38">
            <v>0.14915536455912082</v>
          </cell>
          <cell r="CW38">
            <v>0.19189517053379102</v>
          </cell>
          <cell r="CX38">
            <v>0.20776030812362389</v>
          </cell>
          <cell r="CY38">
            <v>0.20964107851380698</v>
          </cell>
          <cell r="CZ38">
            <v>0.20922201448698785</v>
          </cell>
          <cell r="DA38">
            <v>0.21263007050073313</v>
          </cell>
          <cell r="DB38">
            <v>0.20687588845878913</v>
          </cell>
          <cell r="DC38">
            <v>0.19882995231854328</v>
          </cell>
          <cell r="DD38">
            <v>0.19780062609614557</v>
          </cell>
          <cell r="DE38">
            <v>0.2001531415254405</v>
          </cell>
          <cell r="DF38">
            <v>0.19569722273735812</v>
          </cell>
          <cell r="DG38">
            <v>0.18904017413429131</v>
          </cell>
          <cell r="DH38">
            <v>0.18762497214981355</v>
          </cell>
          <cell r="DI38">
            <v>0.18922384269373538</v>
          </cell>
          <cell r="DJ38">
            <v>0.18567414187128506</v>
          </cell>
          <cell r="DK38">
            <v>0.17995235052016123</v>
          </cell>
          <cell r="DL38">
            <v>0.17825119899752173</v>
          </cell>
          <cell r="DM38">
            <v>0.1792718677819618</v>
          </cell>
          <cell r="DN38">
            <v>0.17636469062600746</v>
          </cell>
          <cell r="DQ38" t="str">
            <v>NA</v>
          </cell>
          <cell r="DR38" t="str">
            <v>NA</v>
          </cell>
          <cell r="DS38" t="str">
            <v>NA</v>
          </cell>
          <cell r="DT38" t="str">
            <v>NA</v>
          </cell>
          <cell r="DU38" t="str">
            <v>NA</v>
          </cell>
          <cell r="DV38" t="str">
            <v>NA</v>
          </cell>
          <cell r="DW38" t="str">
            <v>NA</v>
          </cell>
          <cell r="DX38" t="str">
            <v>NA</v>
          </cell>
          <cell r="DY38" t="str">
            <v>NA</v>
          </cell>
          <cell r="DZ38" t="str">
            <v>NA</v>
          </cell>
          <cell r="EA38" t="str">
            <v>NA</v>
          </cell>
          <cell r="EB38">
            <v>1.9719566016109726</v>
          </cell>
          <cell r="EC38">
            <v>1.1114609076156463</v>
          </cell>
          <cell r="ED38">
            <v>0.91124494817931456</v>
          </cell>
          <cell r="EE38">
            <v>0.68013504112580181</v>
          </cell>
          <cell r="EF38">
            <v>0.54347592631182762</v>
          </cell>
          <cell r="EG38">
            <v>0.44377884099183507</v>
          </cell>
          <cell r="EH38">
            <v>0.35870779474578995</v>
          </cell>
          <cell r="EI38">
            <v>0.27534597789049475</v>
          </cell>
          <cell r="EJ38">
            <v>0.23491486927855032</v>
          </cell>
          <cell r="EK38">
            <v>0.19717431371647254</v>
          </cell>
          <cell r="EL38">
            <v>0.21013757071078976</v>
          </cell>
          <cell r="EM38">
            <v>0.20104300229041949</v>
          </cell>
          <cell r="EN38">
            <v>0.17496162997790976</v>
          </cell>
          <cell r="EO38">
            <v>0.20956381881280572</v>
          </cell>
          <cell r="EP38">
            <v>0.19807789505070783</v>
          </cell>
          <cell r="EQ38">
            <v>0.18783860208422243</v>
          </cell>
          <cell r="ER38">
            <v>0.17839941732757492</v>
          </cell>
        </row>
        <row r="39">
          <cell r="A39" t="str">
            <v>% growth seq</v>
          </cell>
          <cell r="AU39" t="str">
            <v>NA</v>
          </cell>
          <cell r="AV39" t="str">
            <v>NA</v>
          </cell>
          <cell r="AW39" t="str">
            <v>NA</v>
          </cell>
          <cell r="AX39">
            <v>0.23733371072742715</v>
          </cell>
          <cell r="AY39">
            <v>6.1867524662111428E-2</v>
          </cell>
          <cell r="AZ39">
            <v>0.19997888948314468</v>
          </cell>
          <cell r="BA39">
            <v>5.9247145501397425E-2</v>
          </cell>
          <cell r="BB39">
            <v>0.25068262544750697</v>
          </cell>
          <cell r="BC39">
            <v>0.29889849188640727</v>
          </cell>
          <cell r="BD39">
            <v>0.17218801806618056</v>
          </cell>
          <cell r="BE39">
            <v>0.20194417719463664</v>
          </cell>
          <cell r="BF39">
            <v>0.13127164869926977</v>
          </cell>
          <cell r="BG39">
            <v>0.21053544067736718</v>
          </cell>
          <cell r="BH39">
            <v>0.18625509186618583</v>
          </cell>
          <cell r="BI39">
            <v>0.16315133779301205</v>
          </cell>
          <cell r="BJ39">
            <v>0.13071835012173172</v>
          </cell>
          <cell r="BK39">
            <v>0.16587366460870689</v>
          </cell>
          <cell r="BL39">
            <v>0.10580915495167642</v>
          </cell>
          <cell r="BM39">
            <v>0.12847471590714332</v>
          </cell>
          <cell r="BN39">
            <v>0.10693148848789469</v>
          </cell>
          <cell r="BO39">
            <v>0.12104617620519109</v>
          </cell>
          <cell r="BP39">
            <v>0.11481203681127128</v>
          </cell>
          <cell r="BQ39">
            <v>0.11638144238934145</v>
          </cell>
          <cell r="BR39">
            <v>9.293396540566401E-2</v>
          </cell>
          <cell r="BS39">
            <v>7.8106004520988037E-2</v>
          </cell>
          <cell r="BT39">
            <v>0.10719142841392615</v>
          </cell>
          <cell r="BU39">
            <v>0.10044698068122315</v>
          </cell>
          <cell r="BV39">
            <v>8.4202102819108449E-2</v>
          </cell>
          <cell r="BW39">
            <v>7.9999723335779871E-2</v>
          </cell>
          <cell r="BX39">
            <v>6.8718853663479518E-2</v>
          </cell>
          <cell r="BY39">
            <v>7.7165853339967061E-2</v>
          </cell>
          <cell r="BZ39">
            <v>4.7020058009832777E-2</v>
          </cell>
          <cell r="CA39">
            <v>5.6216357578679377E-2</v>
          </cell>
          <cell r="CB39">
            <v>6.516360460337367E-2</v>
          </cell>
          <cell r="CC39">
            <v>7.1599585122821052E-2</v>
          </cell>
          <cell r="CD39">
            <v>7.455196610967163E-2</v>
          </cell>
          <cell r="CE39">
            <v>1.4526055231894874E-2</v>
          </cell>
          <cell r="CF39">
            <v>9.764406646145174E-2</v>
          </cell>
          <cell r="CG39">
            <v>3.6790432249540928E-2</v>
          </cell>
          <cell r="CH39">
            <v>2.2703194199165777E-2</v>
          </cell>
          <cell r="CI39">
            <v>4.7991927821381841E-2</v>
          </cell>
          <cell r="CJ39">
            <v>6.3988066295901813E-2</v>
          </cell>
          <cell r="CK39">
            <v>3.7480991713888745E-2</v>
          </cell>
          <cell r="CL39">
            <v>4.2115758474940979E-2</v>
          </cell>
          <cell r="CM39">
            <v>6.2984114198173069E-2</v>
          </cell>
          <cell r="CN39">
            <v>3.2449199255865091E-2</v>
          </cell>
          <cell r="CO39">
            <v>5.4321622228224564E-2</v>
          </cell>
          <cell r="CP39">
            <v>5.8738755735873838E-2</v>
          </cell>
          <cell r="CQ39">
            <v>3.9386400020502865E-2</v>
          </cell>
          <cell r="CR39">
            <v>7.6171881261858365E-2</v>
          </cell>
          <cell r="CS39">
            <v>1.0418831051883126E-2</v>
          </cell>
          <cell r="CT39">
            <v>3.1134128192580324E-2</v>
          </cell>
          <cell r="CU39">
            <v>2.3461617328305984E-2</v>
          </cell>
          <cell r="CV39">
            <v>7.7681917807338241E-2</v>
          </cell>
          <cell r="CW39">
            <v>4.79986972076476E-2</v>
          </cell>
          <cell r="CX39">
            <v>4.4859399694453517E-2</v>
          </cell>
          <cell r="CY39">
            <v>2.5055390771937747E-2</v>
          </cell>
          <cell r="CZ39">
            <v>7.7308569272695582E-2</v>
          </cell>
          <cell r="DA39">
            <v>5.0952363465478046E-2</v>
          </cell>
          <cell r="DB39">
            <v>3.9901324399820748E-2</v>
          </cell>
          <cell r="DC39">
            <v>1.8221605878862901E-2</v>
          </cell>
          <cell r="DD39">
            <v>7.6383582407109296E-2</v>
          </cell>
          <cell r="DE39">
            <v>5.3016464616071346E-2</v>
          </cell>
          <cell r="DF39">
            <v>3.6040387250370731E-2</v>
          </cell>
          <cell r="DG39">
            <v>1.2552653413195891E-2</v>
          </cell>
          <cell r="DH39">
            <v>7.5102464901562582E-2</v>
          </cell>
          <cell r="DI39">
            <v>5.4434115008258566E-2</v>
          </cell>
          <cell r="DJ39">
            <v>3.2947921994725959E-2</v>
          </cell>
          <cell r="DK39">
            <v>7.6663066419713211E-3</v>
          </cell>
          <cell r="DL39">
            <v>7.3552476722502202E-2</v>
          </cell>
          <cell r="DM39">
            <v>5.5347526331203323E-2</v>
          </cell>
          <cell r="DN39">
            <v>3.0401467115104497E-2</v>
          </cell>
        </row>
        <row r="41">
          <cell r="A41" t="str">
            <v>ITSM Pro</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row>
        <row r="42">
          <cell r="A42" t="str">
            <v>ITSM Pro Penetration</v>
          </cell>
          <cell r="CL42">
            <v>0.1</v>
          </cell>
          <cell r="CO42">
            <v>0.15</v>
          </cell>
          <cell r="CP42">
            <v>0.2</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0.1</v>
          </cell>
          <cell r="EL42">
            <v>0.35</v>
          </cell>
          <cell r="EM42">
            <v>0</v>
          </cell>
          <cell r="EN42">
            <v>0</v>
          </cell>
          <cell r="EO42">
            <v>0</v>
          </cell>
          <cell r="EP42">
            <v>0</v>
          </cell>
          <cell r="EQ42">
            <v>0</v>
          </cell>
          <cell r="ER42">
            <v>0</v>
          </cell>
        </row>
        <row r="43">
          <cell r="A43" t="str">
            <v>% growth y-o-y</v>
          </cell>
          <cell r="AU43" t="str">
            <v>NA</v>
          </cell>
          <cell r="AV43" t="str">
            <v>NA</v>
          </cell>
          <cell r="AW43" t="str">
            <v>NA</v>
          </cell>
          <cell r="AX43" t="str">
            <v>NA</v>
          </cell>
          <cell r="AY43" t="str">
            <v>NA</v>
          </cell>
          <cell r="AZ43" t="str">
            <v>NA</v>
          </cell>
          <cell r="BA43" t="str">
            <v>NA</v>
          </cell>
          <cell r="BB43" t="str">
            <v>NA</v>
          </cell>
          <cell r="BC43" t="str">
            <v>NA</v>
          </cell>
          <cell r="BD43" t="str">
            <v>NA</v>
          </cell>
          <cell r="BE43" t="str">
            <v>NA</v>
          </cell>
          <cell r="BF43" t="str">
            <v>NA</v>
          </cell>
          <cell r="BG43" t="str">
            <v>NA</v>
          </cell>
          <cell r="BH43" t="str">
            <v>NA</v>
          </cell>
          <cell r="BI43" t="str">
            <v>NA</v>
          </cell>
          <cell r="BJ43" t="str">
            <v>NA</v>
          </cell>
          <cell r="BK43" t="str">
            <v>NA</v>
          </cell>
          <cell r="BL43" t="str">
            <v>NA</v>
          </cell>
          <cell r="BM43" t="str">
            <v>NA</v>
          </cell>
          <cell r="BN43" t="str">
            <v>NA</v>
          </cell>
          <cell r="BO43" t="str">
            <v>NA</v>
          </cell>
          <cell r="BP43" t="str">
            <v>NA</v>
          </cell>
          <cell r="BQ43" t="str">
            <v>NA</v>
          </cell>
          <cell r="BR43" t="str">
            <v>NA</v>
          </cell>
          <cell r="BS43" t="str">
            <v>NA</v>
          </cell>
          <cell r="BT43" t="str">
            <v>NA</v>
          </cell>
          <cell r="BU43" t="str">
            <v>NA</v>
          </cell>
          <cell r="BV43" t="str">
            <v>NA</v>
          </cell>
          <cell r="BW43" t="str">
            <v>NA</v>
          </cell>
          <cell r="BX43" t="str">
            <v>NA</v>
          </cell>
          <cell r="BY43" t="str">
            <v>NA</v>
          </cell>
          <cell r="BZ43" t="str">
            <v>NA</v>
          </cell>
          <cell r="CA43" t="str">
            <v>NA</v>
          </cell>
          <cell r="CB43" t="str">
            <v>NA</v>
          </cell>
          <cell r="CC43" t="str">
            <v>NA</v>
          </cell>
          <cell r="CD43" t="str">
            <v>NA</v>
          </cell>
          <cell r="CE43" t="str">
            <v>NA</v>
          </cell>
          <cell r="CF43" t="str">
            <v>NA</v>
          </cell>
          <cell r="CG43" t="str">
            <v>NA</v>
          </cell>
          <cell r="CH43" t="str">
            <v>NA</v>
          </cell>
          <cell r="CI43" t="str">
            <v>NA</v>
          </cell>
          <cell r="CJ43" t="str">
            <v>NA</v>
          </cell>
          <cell r="CK43" t="str">
            <v>NA</v>
          </cell>
          <cell r="CL43" t="str">
            <v>NA</v>
          </cell>
          <cell r="CM43" t="str">
            <v>NA</v>
          </cell>
          <cell r="CN43" t="str">
            <v>NA</v>
          </cell>
          <cell r="CO43" t="str">
            <v>NA</v>
          </cell>
          <cell r="CP43" t="str">
            <v>NA</v>
          </cell>
          <cell r="CQ43" t="str">
            <v>NA</v>
          </cell>
          <cell r="CR43" t="str">
            <v>NA</v>
          </cell>
          <cell r="CS43" t="str">
            <v>NA</v>
          </cell>
          <cell r="CT43" t="str">
            <v>NA</v>
          </cell>
          <cell r="CU43" t="str">
            <v>NA</v>
          </cell>
          <cell r="CV43" t="str">
            <v>NA</v>
          </cell>
          <cell r="CW43" t="str">
            <v>NA</v>
          </cell>
          <cell r="CX43" t="str">
            <v>NA</v>
          </cell>
          <cell r="CY43" t="str">
            <v>NA</v>
          </cell>
          <cell r="CZ43" t="str">
            <v>NA</v>
          </cell>
          <cell r="DA43" t="str">
            <v>NA</v>
          </cell>
          <cell r="DB43" t="str">
            <v>NA</v>
          </cell>
          <cell r="DC43" t="str">
            <v>NA</v>
          </cell>
          <cell r="DD43" t="str">
            <v>NA</v>
          </cell>
          <cell r="DE43" t="str">
            <v>NA</v>
          </cell>
          <cell r="DF43" t="str">
            <v>NA</v>
          </cell>
          <cell r="DG43" t="str">
            <v>NA</v>
          </cell>
          <cell r="DH43" t="str">
            <v>NA</v>
          </cell>
          <cell r="DI43" t="str">
            <v>NA</v>
          </cell>
          <cell r="DJ43" t="str">
            <v>NA</v>
          </cell>
          <cell r="DK43" t="str">
            <v>NA</v>
          </cell>
          <cell r="DL43" t="str">
            <v>NA</v>
          </cell>
          <cell r="DM43" t="str">
            <v>NA</v>
          </cell>
          <cell r="DN43" t="str">
            <v>NA</v>
          </cell>
          <cell r="DQ43" t="str">
            <v>NA</v>
          </cell>
          <cell r="DR43" t="str">
            <v>NA</v>
          </cell>
          <cell r="DS43" t="str">
            <v>NA</v>
          </cell>
          <cell r="DT43" t="str">
            <v>NA</v>
          </cell>
          <cell r="DU43" t="str">
            <v>NA</v>
          </cell>
          <cell r="DV43" t="str">
            <v>NA</v>
          </cell>
          <cell r="DW43" t="str">
            <v>NA</v>
          </cell>
          <cell r="DX43" t="str">
            <v>NA</v>
          </cell>
          <cell r="DY43" t="str">
            <v>NA</v>
          </cell>
          <cell r="DZ43" t="str">
            <v>NA</v>
          </cell>
          <cell r="EA43" t="str">
            <v>NA</v>
          </cell>
          <cell r="EB43" t="str">
            <v>NA</v>
          </cell>
          <cell r="EC43" t="str">
            <v>NA</v>
          </cell>
          <cell r="ED43" t="str">
            <v>NA</v>
          </cell>
          <cell r="EE43" t="str">
            <v>NA</v>
          </cell>
          <cell r="EF43" t="str">
            <v>NA</v>
          </cell>
          <cell r="EG43" t="str">
            <v>NA</v>
          </cell>
          <cell r="EH43" t="str">
            <v>NA</v>
          </cell>
          <cell r="EI43" t="str">
            <v>NA</v>
          </cell>
          <cell r="EJ43" t="str">
            <v>NA</v>
          </cell>
          <cell r="EK43" t="str">
            <v>NA</v>
          </cell>
          <cell r="EL43" t="str">
            <v>NA</v>
          </cell>
          <cell r="EM43" t="str">
            <v>NA</v>
          </cell>
          <cell r="EN43" t="str">
            <v>NA</v>
          </cell>
          <cell r="EO43" t="str">
            <v>NA</v>
          </cell>
          <cell r="EP43" t="str">
            <v>NA</v>
          </cell>
          <cell r="EQ43" t="str">
            <v>NA</v>
          </cell>
          <cell r="ER43" t="str">
            <v>NA</v>
          </cell>
        </row>
        <row r="44">
          <cell r="A44" t="str">
            <v>% growth seq</v>
          </cell>
          <cell r="AU44" t="str">
            <v>NA</v>
          </cell>
          <cell r="AV44" t="str">
            <v>NA</v>
          </cell>
          <cell r="AW44" t="str">
            <v>NA</v>
          </cell>
          <cell r="AX44" t="str">
            <v>NA</v>
          </cell>
          <cell r="AY44" t="str">
            <v>NA</v>
          </cell>
          <cell r="AZ44" t="str">
            <v>NA</v>
          </cell>
          <cell r="BA44" t="str">
            <v>NA</v>
          </cell>
          <cell r="BB44" t="str">
            <v>NA</v>
          </cell>
          <cell r="BC44" t="str">
            <v>NA</v>
          </cell>
          <cell r="BD44" t="str">
            <v>NA</v>
          </cell>
          <cell r="BE44" t="str">
            <v>NA</v>
          </cell>
          <cell r="BF44" t="str">
            <v>NA</v>
          </cell>
          <cell r="BG44" t="str">
            <v>NA</v>
          </cell>
          <cell r="BH44" t="str">
            <v>NA</v>
          </cell>
          <cell r="BI44" t="str">
            <v>NA</v>
          </cell>
          <cell r="BJ44" t="str">
            <v>NA</v>
          </cell>
          <cell r="BK44" t="str">
            <v>NA</v>
          </cell>
          <cell r="BL44" t="str">
            <v>NA</v>
          </cell>
          <cell r="BM44" t="str">
            <v>NA</v>
          </cell>
          <cell r="BN44" t="str">
            <v>NA</v>
          </cell>
          <cell r="BO44" t="str">
            <v>NA</v>
          </cell>
          <cell r="BP44" t="str">
            <v>NA</v>
          </cell>
          <cell r="BQ44" t="str">
            <v>NA</v>
          </cell>
          <cell r="BR44" t="str">
            <v>NA</v>
          </cell>
          <cell r="BS44" t="str">
            <v>NA</v>
          </cell>
          <cell r="BT44" t="str">
            <v>NA</v>
          </cell>
          <cell r="BU44" t="str">
            <v>NA</v>
          </cell>
          <cell r="BV44" t="str">
            <v>NA</v>
          </cell>
          <cell r="BW44" t="str">
            <v>NA</v>
          </cell>
          <cell r="BX44" t="str">
            <v>NA</v>
          </cell>
          <cell r="BY44" t="str">
            <v>NA</v>
          </cell>
          <cell r="BZ44" t="str">
            <v>NA</v>
          </cell>
          <cell r="CA44" t="str">
            <v>NA</v>
          </cell>
          <cell r="CB44" t="str">
            <v>NA</v>
          </cell>
          <cell r="CC44" t="str">
            <v>NA</v>
          </cell>
          <cell r="CD44" t="str">
            <v>NA</v>
          </cell>
          <cell r="CE44" t="str">
            <v>NA</v>
          </cell>
          <cell r="CF44" t="str">
            <v>NA</v>
          </cell>
          <cell r="CG44" t="str">
            <v>NA</v>
          </cell>
          <cell r="CH44" t="str">
            <v>NA</v>
          </cell>
          <cell r="CI44" t="str">
            <v>NA</v>
          </cell>
          <cell r="CJ44" t="str">
            <v>NA</v>
          </cell>
          <cell r="CK44" t="str">
            <v>NA</v>
          </cell>
          <cell r="CL44" t="str">
            <v>NA</v>
          </cell>
          <cell r="CM44" t="str">
            <v>NA</v>
          </cell>
          <cell r="CN44" t="str">
            <v>NA</v>
          </cell>
          <cell r="CO44" t="str">
            <v>NA</v>
          </cell>
          <cell r="CP44" t="str">
            <v>NA</v>
          </cell>
          <cell r="CQ44" t="str">
            <v>NA</v>
          </cell>
          <cell r="CR44" t="str">
            <v>NA</v>
          </cell>
          <cell r="CS44" t="str">
            <v>NA</v>
          </cell>
          <cell r="CT44" t="str">
            <v>NA</v>
          </cell>
          <cell r="CU44" t="str">
            <v>NA</v>
          </cell>
          <cell r="CV44" t="str">
            <v>NA</v>
          </cell>
          <cell r="CW44" t="str">
            <v>NA</v>
          </cell>
          <cell r="CX44" t="str">
            <v>NA</v>
          </cell>
          <cell r="CY44" t="str">
            <v>NA</v>
          </cell>
          <cell r="CZ44" t="str">
            <v>NA</v>
          </cell>
          <cell r="DA44" t="str">
            <v>NA</v>
          </cell>
          <cell r="DB44" t="str">
            <v>NA</v>
          </cell>
          <cell r="DC44" t="str">
            <v>NA</v>
          </cell>
          <cell r="DD44" t="str">
            <v>NA</v>
          </cell>
          <cell r="DE44" t="str">
            <v>NA</v>
          </cell>
          <cell r="DF44" t="str">
            <v>NA</v>
          </cell>
          <cell r="DG44" t="str">
            <v>NA</v>
          </cell>
          <cell r="DH44" t="str">
            <v>NA</v>
          </cell>
          <cell r="DI44" t="str">
            <v>NA</v>
          </cell>
          <cell r="DJ44" t="str">
            <v>NA</v>
          </cell>
          <cell r="DK44" t="str">
            <v>NA</v>
          </cell>
          <cell r="DL44" t="str">
            <v>NA</v>
          </cell>
          <cell r="DM44" t="str">
            <v>NA</v>
          </cell>
          <cell r="DN44" t="str">
            <v>NA</v>
          </cell>
        </row>
        <row r="46">
          <cell r="A46" t="str">
            <v>Other Service Management</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0.24658822551745629</v>
          </cell>
          <cell r="BL46">
            <v>1.1353473525599043</v>
          </cell>
          <cell r="BM46">
            <v>2.6504741032119057</v>
          </cell>
          <cell r="BN46">
            <v>4.3492132526321114</v>
          </cell>
          <cell r="BO46">
            <v>6.2447798639472865</v>
          </cell>
          <cell r="BP46">
            <v>8.3518283452485917</v>
          </cell>
          <cell r="BQ46">
            <v>10.496207047281928</v>
          </cell>
          <cell r="BR46">
            <v>12.808662241220759</v>
          </cell>
          <cell r="BS46">
            <v>14.427628189362821</v>
          </cell>
          <cell r="BT46">
            <v>16.929310667083513</v>
          </cell>
          <cell r="BU46">
            <v>19.65143374948309</v>
          </cell>
          <cell r="BV46">
            <v>22.704754044941495</v>
          </cell>
          <cell r="BW46">
            <v>26.643430204147819</v>
          </cell>
          <cell r="BX46">
            <v>31.726292266230701</v>
          </cell>
          <cell r="BY46">
            <v>39.089223776338571</v>
          </cell>
          <cell r="BZ46">
            <v>46.854149422719786</v>
          </cell>
          <cell r="CA46">
            <v>56.153333657795713</v>
          </cell>
          <cell r="CB46">
            <v>68.18156290398241</v>
          </cell>
          <cell r="CC46">
            <v>81.133158791653898</v>
          </cell>
          <cell r="CD46">
            <v>98.936200592862122</v>
          </cell>
          <cell r="CE46">
            <v>115.37048220668908</v>
          </cell>
          <cell r="CF46">
            <v>138.93816680067943</v>
          </cell>
          <cell r="CG46">
            <v>154.17109530639863</v>
          </cell>
          <cell r="CH46">
            <v>173.37134991616216</v>
          </cell>
          <cell r="CI46">
            <v>204.48876377827804</v>
          </cell>
          <cell r="CJ46">
            <v>230.20454241581615</v>
          </cell>
          <cell r="CK46">
            <v>252.27952286365365</v>
          </cell>
          <cell r="CL46">
            <v>282.47412037586855</v>
          </cell>
          <cell r="CM46">
            <v>320.57415954021633</v>
          </cell>
          <cell r="CN46">
            <v>333.95471965545244</v>
          </cell>
          <cell r="CO46">
            <v>359.68742894295247</v>
          </cell>
          <cell r="CP46">
            <v>397.09129020985722</v>
          </cell>
          <cell r="CQ46">
            <v>432.79506040845524</v>
          </cell>
          <cell r="CR46">
            <v>471.67664062182428</v>
          </cell>
          <cell r="CS46">
            <v>483.05931932869419</v>
          </cell>
          <cell r="CT46">
            <v>512.83006706011963</v>
          </cell>
          <cell r="CU46">
            <v>548.17176080527827</v>
          </cell>
          <cell r="CV46">
            <v>598.72217509216159</v>
          </cell>
          <cell r="CW46">
            <v>639.20143536708258</v>
          </cell>
          <cell r="CX46">
            <v>687.52176489658996</v>
          </cell>
          <cell r="CY46">
            <v>734.34928859814602</v>
          </cell>
          <cell r="CZ46">
            <v>800.52995565581818</v>
          </cell>
          <cell r="DA46">
            <v>855.51010855835193</v>
          </cell>
          <cell r="DB46">
            <v>910.71415635596918</v>
          </cell>
          <cell r="DC46">
            <v>961.37469380305993</v>
          </cell>
          <cell r="DD46">
            <v>1046.3692781740408</v>
          </cell>
          <cell r="DE46">
            <v>1119.1439316732294</v>
          </cell>
          <cell r="DF46">
            <v>1182.7910115609907</v>
          </cell>
          <cell r="DG46">
            <v>1237.6617615422006</v>
          </cell>
          <cell r="DH46">
            <v>1345.2961146722271</v>
          </cell>
          <cell r="DI46">
            <v>1439.8810319824195</v>
          </cell>
          <cell r="DJ46">
            <v>1513.8395801304491</v>
          </cell>
          <cell r="DK46">
            <v>1573.2544317918823</v>
          </cell>
          <cell r="DL46">
            <v>1708.0389722604425</v>
          </cell>
          <cell r="DM46">
            <v>1829.2743323772074</v>
          </cell>
          <cell r="DN46">
            <v>1915.7910511126311</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8.3816229339213777</v>
          </cell>
          <cell r="EF46">
            <v>37.901477497698565</v>
          </cell>
          <cell r="EG46">
            <v>73.713126650870919</v>
          </cell>
          <cell r="EH46">
            <v>144.31309566943688</v>
          </cell>
          <cell r="EI46">
            <v>304.40425594629414</v>
          </cell>
          <cell r="EJ46">
            <v>581.85109422992923</v>
          </cell>
          <cell r="EK46">
            <v>969.4469494336164</v>
          </cell>
          <cell r="EL46">
            <v>1411.3075983484785</v>
          </cell>
          <cell r="EM46">
            <v>1900.3610874190936</v>
          </cell>
          <cell r="EN46">
            <v>2473.6171361611123</v>
          </cell>
          <cell r="EO46">
            <v>3301.1035091682852</v>
          </cell>
          <cell r="EP46">
            <v>4309.6789152113215</v>
          </cell>
          <cell r="EQ46">
            <v>5536.6784883272958</v>
          </cell>
          <cell r="ER46">
            <v>7026.3587875421636</v>
          </cell>
        </row>
        <row r="47">
          <cell r="A47" t="str">
            <v>% of revenues</v>
          </cell>
          <cell r="AU47" t="str">
            <v>NA</v>
          </cell>
          <cell r="AV47" t="str">
            <v>NA</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2.8693401775382104E-3</v>
          </cell>
          <cell r="BL47">
            <v>1.1106683028701299E-2</v>
          </cell>
          <cell r="BM47">
            <v>2.3822559102741402E-2</v>
          </cell>
          <cell r="BN47">
            <v>3.4729803183199806E-2</v>
          </cell>
          <cell r="BO47">
            <v>4.489740358003657E-2</v>
          </cell>
          <cell r="BP47">
            <v>5.0083824638537465E-2</v>
          </cell>
          <cell r="BQ47">
            <v>5.873252522092489E-2</v>
          </cell>
          <cell r="BR47">
            <v>6.4688906492902959E-2</v>
          </cell>
          <cell r="BS47">
            <v>6.8066408396533468E-2</v>
          </cell>
          <cell r="BT47">
            <v>6.8618616818866676E-2</v>
          </cell>
          <cell r="BU47">
            <v>7.524960271676466E-2</v>
          </cell>
          <cell r="BV47">
            <v>7.9484523175009619E-2</v>
          </cell>
          <cell r="BW47">
            <v>8.7104476620323126E-2</v>
          </cell>
          <cell r="BX47">
            <v>9.2953931494441172E-2</v>
          </cell>
          <cell r="BY47">
            <v>0.10929279468634266</v>
          </cell>
          <cell r="BZ47">
            <v>0.12148892933968715</v>
          </cell>
          <cell r="CA47">
            <v>0.13096345988370414</v>
          </cell>
          <cell r="CB47">
            <v>0.15210339336717338</v>
          </cell>
          <cell r="CC47">
            <v>0.16478020438134969</v>
          </cell>
          <cell r="CD47">
            <v>0.18018113615154832</v>
          </cell>
          <cell r="CE47">
            <v>0.19580138251234519</v>
          </cell>
          <cell r="CF47">
            <v>0.22016772964789086</v>
          </cell>
          <cell r="CG47">
            <v>0.22904736658520039</v>
          </cell>
          <cell r="CH47">
            <v>0.2423279486584668</v>
          </cell>
          <cell r="CI47">
            <v>0.25919891571361325</v>
          </cell>
          <cell r="CJ47">
            <v>0.27605640747114313</v>
          </cell>
          <cell r="CK47">
            <v>0.28479354783989042</v>
          </cell>
          <cell r="CL47">
            <v>0.29678696872983351</v>
          </cell>
          <cell r="CM47">
            <v>0.30637666488924858</v>
          </cell>
          <cell r="CN47">
            <v>0.31186180562160654</v>
          </cell>
          <cell r="CO47">
            <v>0.31223626003318872</v>
          </cell>
          <cell r="CP47">
            <v>0.31758918862208957</v>
          </cell>
          <cell r="CQ47">
            <v>0.32260942865606917</v>
          </cell>
          <cell r="CR47">
            <v>0.33162632437077733</v>
          </cell>
          <cell r="CS47">
            <v>0.33087884159601705</v>
          </cell>
          <cell r="CT47">
            <v>0.3340490441334294</v>
          </cell>
          <cell r="CU47">
            <v>0.33561177657936453</v>
          </cell>
          <cell r="CV47">
            <v>0.34348264004666257</v>
          </cell>
          <cell r="CW47">
            <v>0.34561657377119887</v>
          </cell>
          <cell r="CX47">
            <v>0.34904862808964693</v>
          </cell>
          <cell r="CY47">
            <v>0.35007041613224915</v>
          </cell>
          <cell r="CZ47">
            <v>0.35649315763004774</v>
          </cell>
          <cell r="DA47">
            <v>0.35839558862192833</v>
          </cell>
          <cell r="DB47">
            <v>0.36075906529039525</v>
          </cell>
          <cell r="DC47">
            <v>0.36084307987977216</v>
          </cell>
          <cell r="DD47">
            <v>0.36622519199434422</v>
          </cell>
          <cell r="DE47">
            <v>0.36801704997808254</v>
          </cell>
          <cell r="DF47">
            <v>0.36971566687711249</v>
          </cell>
          <cell r="DG47">
            <v>0.36914031469956721</v>
          </cell>
          <cell r="DH47">
            <v>0.37374708994831207</v>
          </cell>
          <cell r="DI47">
            <v>0.37548584279398495</v>
          </cell>
          <cell r="DJ47">
            <v>0.37674529005951052</v>
          </cell>
          <cell r="DK47">
            <v>0.37565267110128348</v>
          </cell>
          <cell r="DL47">
            <v>0.37966252228917124</v>
          </cell>
          <cell r="DM47">
            <v>0.38137640729536915</v>
          </cell>
          <cell r="DN47">
            <v>0.38232887828143736</v>
          </cell>
          <cell r="DP47" t="str">
            <v>NA</v>
          </cell>
          <cell r="DQ47" t="str">
            <v>NA</v>
          </cell>
          <cell r="DR47" t="str">
            <v>NA</v>
          </cell>
          <cell r="DS47" t="str">
            <v>NA</v>
          </cell>
          <cell r="DT47" t="str">
            <v>NA</v>
          </cell>
          <cell r="DU47" t="str">
            <v>NA</v>
          </cell>
          <cell r="DV47" t="str">
            <v>NA</v>
          </cell>
          <cell r="DW47" t="str">
            <v>NA</v>
          </cell>
          <cell r="DX47" t="str">
            <v>NA</v>
          </cell>
          <cell r="DY47" t="str">
            <v>NA</v>
          </cell>
          <cell r="DZ47">
            <v>0</v>
          </cell>
          <cell r="EA47">
            <v>0</v>
          </cell>
          <cell r="EB47">
            <v>0</v>
          </cell>
          <cell r="EC47">
            <v>0</v>
          </cell>
          <cell r="ED47">
            <v>0</v>
          </cell>
          <cell r="EE47">
            <v>1.9737720320078599E-2</v>
          </cell>
          <cell r="EF47">
            <v>5.5528174685265046E-2</v>
          </cell>
          <cell r="EG47">
            <v>7.3311380286898722E-2</v>
          </cell>
          <cell r="EH47">
            <v>0.10378406794430321</v>
          </cell>
          <cell r="EI47">
            <v>0.15866833878359493</v>
          </cell>
          <cell r="EJ47">
            <v>0.2230326302161322</v>
          </cell>
          <cell r="EK47">
            <v>0.28015159629654185</v>
          </cell>
          <cell r="EL47">
            <v>0.31227184305741068</v>
          </cell>
          <cell r="EM47">
            <v>0.32998219701539372</v>
          </cell>
          <cell r="EN47">
            <v>0.34376810144251019</v>
          </cell>
          <cell r="EO47">
            <v>0.35669166313094652</v>
          </cell>
          <cell r="EP47">
            <v>0.3664187439928423</v>
          </cell>
          <cell r="EQ47">
            <v>0.37396791095932991</v>
          </cell>
          <cell r="ER47">
            <v>0.37992140704073785</v>
          </cell>
        </row>
        <row r="48">
          <cell r="A48" t="str">
            <v>% of subscription revenues</v>
          </cell>
          <cell r="AU48" t="str">
            <v>NA</v>
          </cell>
          <cell r="AV48" t="str">
            <v>NA</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3.4459910215134055E-3</v>
          </cell>
          <cell r="BL48">
            <v>1.4125452281276802E-2</v>
          </cell>
          <cell r="BM48">
            <v>2.8502173339770148E-2</v>
          </cell>
          <cell r="BN48">
            <v>4.1469261929404748E-2</v>
          </cell>
          <cell r="BO48">
            <v>5.3203662312649939E-2</v>
          </cell>
          <cell r="BP48">
            <v>6.2926285715082367E-2</v>
          </cell>
          <cell r="BQ48">
            <v>6.98039267078676E-2</v>
          </cell>
          <cell r="BR48">
            <v>7.6813106015680616E-2</v>
          </cell>
          <cell r="BS48">
            <v>8.0194923984963459E-2</v>
          </cell>
          <cell r="BT48">
            <v>8.4451891724991457E-2</v>
          </cell>
          <cell r="BU48">
            <v>8.8040902429496651E-2</v>
          </cell>
          <cell r="BV48">
            <v>9.2785322739256298E-2</v>
          </cell>
          <cell r="BW48">
            <v>9.9630659422739409E-2</v>
          </cell>
          <cell r="BX48">
            <v>0.10914545689998488</v>
          </cell>
          <cell r="BY48">
            <v>0.12256210932775612</v>
          </cell>
          <cell r="BZ48">
            <v>0.13596519315713046</v>
          </cell>
          <cell r="CA48">
            <v>0.14488042245757232</v>
          </cell>
          <cell r="CB48">
            <v>0.16932283075054239</v>
          </cell>
          <cell r="CC48">
            <v>0.18049405078386918</v>
          </cell>
          <cell r="CD48">
            <v>0.19797614068344238</v>
          </cell>
          <cell r="CE48">
            <v>0.21234156758236611</v>
          </cell>
          <cell r="CF48">
            <v>0.23738670726364286</v>
          </cell>
          <cell r="CG48">
            <v>0.24605683878403845</v>
          </cell>
          <cell r="CH48">
            <v>0.26026302305699284</v>
          </cell>
          <cell r="CI48">
            <v>0.27634139534839586</v>
          </cell>
          <cell r="CJ48">
            <v>0.29476028780919594</v>
          </cell>
          <cell r="CK48">
            <v>0.30216373365231419</v>
          </cell>
          <cell r="CL48">
            <v>0.31414146488507327</v>
          </cell>
          <cell r="CM48">
            <v>0.32228160749673401</v>
          </cell>
          <cell r="CN48">
            <v>0.32884836228587733</v>
          </cell>
          <cell r="CO48">
            <v>0.32956939977510474</v>
          </cell>
          <cell r="CP48">
            <v>0.3353298948470354</v>
          </cell>
          <cell r="CQ48">
            <v>0.33832808094304317</v>
          </cell>
          <cell r="CR48">
            <v>0.34730595994422475</v>
          </cell>
          <cell r="CS48">
            <v>0.34660735455070002</v>
          </cell>
          <cell r="CT48">
            <v>0.34959665710846766</v>
          </cell>
          <cell r="CU48">
            <v>0.35071797144780009</v>
          </cell>
          <cell r="CV48">
            <v>0.35832621048375762</v>
          </cell>
          <cell r="CW48">
            <v>0.36011663560962148</v>
          </cell>
          <cell r="CX48">
            <v>0.36325963503745728</v>
          </cell>
          <cell r="CY48">
            <v>0.36392002855872918</v>
          </cell>
          <cell r="CZ48">
            <v>0.37005377768089504</v>
          </cell>
          <cell r="DA48">
            <v>0.37164568998291925</v>
          </cell>
          <cell r="DB48">
            <v>0.37380743538452593</v>
          </cell>
          <cell r="DC48">
            <v>0.37364090811827355</v>
          </cell>
          <cell r="DD48">
            <v>0.37868091425376321</v>
          </cell>
          <cell r="DE48">
            <v>0.38015232470970056</v>
          </cell>
          <cell r="DF48">
            <v>0.381693463081553</v>
          </cell>
          <cell r="DG48">
            <v>0.38093595111186135</v>
          </cell>
          <cell r="DH48">
            <v>0.38516757782877592</v>
          </cell>
          <cell r="DI48">
            <v>0.38657952589399575</v>
          </cell>
          <cell r="DJ48">
            <v>0.38771049548159081</v>
          </cell>
          <cell r="DK48">
            <v>0.3864882239752962</v>
          </cell>
          <cell r="DL48">
            <v>0.39012574499552766</v>
          </cell>
          <cell r="DM48">
            <v>0.39152510055988737</v>
          </cell>
          <cell r="DN48">
            <v>0.3923752946320489</v>
          </cell>
          <cell r="DP48" t="str">
            <v>NA</v>
          </cell>
          <cell r="DQ48" t="str">
            <v>NA</v>
          </cell>
          <cell r="DR48" t="str">
            <v>NA</v>
          </cell>
          <cell r="DS48" t="str">
            <v>NA</v>
          </cell>
          <cell r="DT48" t="str">
            <v>NA</v>
          </cell>
          <cell r="DU48" t="str">
            <v>NA</v>
          </cell>
          <cell r="DV48" t="str">
            <v>NA</v>
          </cell>
          <cell r="DW48" t="str">
            <v>NA</v>
          </cell>
          <cell r="DX48" t="str">
            <v>NA</v>
          </cell>
          <cell r="DY48" t="str">
            <v>NA</v>
          </cell>
          <cell r="DZ48" t="str">
            <v>NA</v>
          </cell>
          <cell r="EA48">
            <v>0</v>
          </cell>
          <cell r="EB48">
            <v>0</v>
          </cell>
          <cell r="EC48">
            <v>0</v>
          </cell>
          <cell r="ED48">
            <v>0</v>
          </cell>
          <cell r="EE48">
            <v>2.3960912207754561E-2</v>
          </cell>
          <cell r="EF48">
            <v>6.6820066213986118E-2</v>
          </cell>
          <cell r="EG48">
            <v>8.689736931863247E-2</v>
          </cell>
          <cell r="EH48">
            <v>0.11813072083441742</v>
          </cell>
          <cell r="EI48">
            <v>0.17499526067622542</v>
          </cell>
          <cell r="EJ48">
            <v>0.24030395666728308</v>
          </cell>
          <cell r="EK48">
            <v>0.29782593584782935</v>
          </cell>
          <cell r="EL48">
            <v>0.32929875081542087</v>
          </cell>
          <cell r="EM48">
            <v>0.34565114757791532</v>
          </cell>
          <cell r="EN48">
            <v>0.35841655774554132</v>
          </cell>
          <cell r="EO48">
            <v>0.37010225633801153</v>
          </cell>
          <cell r="EP48">
            <v>0.37874235487669827</v>
          </cell>
          <cell r="EQ48">
            <v>0.3852677417399693</v>
          </cell>
          <cell r="ER48">
            <v>0.39027652260034751</v>
          </cell>
        </row>
        <row r="49">
          <cell r="A49" t="str">
            <v>% growth y-o-y</v>
          </cell>
          <cell r="AU49" t="str">
            <v>NA</v>
          </cell>
          <cell r="AV49" t="str">
            <v>NA</v>
          </cell>
          <cell r="AW49" t="str">
            <v>NA</v>
          </cell>
          <cell r="AX49" t="str">
            <v>NA</v>
          </cell>
          <cell r="AY49" t="str">
            <v>NA</v>
          </cell>
          <cell r="AZ49" t="str">
            <v>NA</v>
          </cell>
          <cell r="BA49" t="str">
            <v>NA</v>
          </cell>
          <cell r="BB49" t="str">
            <v>NA</v>
          </cell>
          <cell r="BC49" t="str">
            <v>NA</v>
          </cell>
          <cell r="BD49" t="str">
            <v>NA</v>
          </cell>
          <cell r="BE49" t="str">
            <v>NA</v>
          </cell>
          <cell r="BF49" t="str">
            <v>NA</v>
          </cell>
          <cell r="BG49" t="str">
            <v>NA</v>
          </cell>
          <cell r="BH49" t="str">
            <v>NA</v>
          </cell>
          <cell r="BI49" t="str">
            <v>NA</v>
          </cell>
          <cell r="BJ49" t="str">
            <v>NA</v>
          </cell>
          <cell r="BK49" t="str">
            <v>NA</v>
          </cell>
          <cell r="BL49" t="str">
            <v>NA</v>
          </cell>
          <cell r="BM49" t="str">
            <v>NA</v>
          </cell>
          <cell r="BN49" t="str">
            <v>NA</v>
          </cell>
          <cell r="BO49">
            <v>24.324728505762376</v>
          </cell>
          <cell r="BP49">
            <v>6.3561878013961586</v>
          </cell>
          <cell r="BQ49">
            <v>2.960124354568257</v>
          </cell>
          <cell r="BR49">
            <v>1.9450527019959418</v>
          </cell>
          <cell r="BS49">
            <v>1.3103501650486056</v>
          </cell>
          <cell r="BT49">
            <v>1.0270185122656055</v>
          </cell>
          <cell r="BU49">
            <v>0.87224143549759492</v>
          </cell>
          <cell r="BV49">
            <v>0.77260931839339109</v>
          </cell>
          <cell r="BW49">
            <v>0.84669509460962167</v>
          </cell>
          <cell r="BX49">
            <v>0.87404513332711664</v>
          </cell>
          <cell r="BY49">
            <v>0.98912833916592846</v>
          </cell>
          <cell r="BZ49">
            <v>1.0636272619371825</v>
          </cell>
          <cell r="CA49">
            <v>1.1075864942140154</v>
          </cell>
          <cell r="CB49">
            <v>1.1490555004611904</v>
          </cell>
          <cell r="CC49">
            <v>1.0755888951871513</v>
          </cell>
          <cell r="CD49">
            <v>1.1115782019700378</v>
          </cell>
          <cell r="CE49">
            <v>1.0545615850657923</v>
          </cell>
          <cell r="CF49">
            <v>1.0377674092971576</v>
          </cell>
          <cell r="CG49">
            <v>0.90022301118957637</v>
          </cell>
          <cell r="CH49">
            <v>0.75235504170624323</v>
          </cell>
          <cell r="CI49">
            <v>0.77245305616328586</v>
          </cell>
          <cell r="CJ49">
            <v>0.65688484105355571</v>
          </cell>
          <cell r="CK49">
            <v>0.63636070926443744</v>
          </cell>
          <cell r="CL49">
            <v>0.62930103798848913</v>
          </cell>
          <cell r="CM49">
            <v>0.56768593842059079</v>
          </cell>
          <cell r="CN49">
            <v>0.45068692455352766</v>
          </cell>
          <cell r="CO49">
            <v>0.42574960052286226</v>
          </cell>
          <cell r="CP49">
            <v>0.40576166652532852</v>
          </cell>
          <cell r="CQ49">
            <v>0.35006221658411829</v>
          </cell>
          <cell r="CR49">
            <v>0.41239698935371294</v>
          </cell>
          <cell r="CS49">
            <v>0.34299750410601337</v>
          </cell>
          <cell r="CT49">
            <v>0.29146642020049374</v>
          </cell>
          <cell r="CU49">
            <v>0.26658506750963129</v>
          </cell>
          <cell r="CV49">
            <v>0.26934879434107595</v>
          </cell>
          <cell r="CW49">
            <v>0.32323590455801265</v>
          </cell>
          <cell r="CX49">
            <v>0.34064246435065404</v>
          </cell>
          <cell r="CY49">
            <v>0.33963356215097296</v>
          </cell>
          <cell r="CZ49">
            <v>0.33706414921510497</v>
          </cell>
          <cell r="DA49">
            <v>0.33840454858654523</v>
          </cell>
          <cell r="DB49">
            <v>0.32463320123829043</v>
          </cell>
          <cell r="DC49">
            <v>0.30915180109767593</v>
          </cell>
          <cell r="DD49">
            <v>0.30709571925615653</v>
          </cell>
          <cell r="DE49">
            <v>0.30815979902228796</v>
          </cell>
          <cell r="DF49">
            <v>0.29875109913046671</v>
          </cell>
          <cell r="DG49">
            <v>0.28738749784039852</v>
          </cell>
          <cell r="DH49">
            <v>0.28568005840139565</v>
          </cell>
          <cell r="DI49">
            <v>0.28659146623764187</v>
          </cell>
          <cell r="DJ49">
            <v>0.27988762624477204</v>
          </cell>
          <cell r="DK49">
            <v>0.27115055233791274</v>
          </cell>
          <cell r="DL49">
            <v>0.26963792850661394</v>
          </cell>
          <cell r="DM49">
            <v>0.27043435655143933</v>
          </cell>
          <cell r="DN49">
            <v>0.26551787670100779</v>
          </cell>
          <cell r="DQ49" t="str">
            <v>NA</v>
          </cell>
          <cell r="DR49" t="str">
            <v>NA</v>
          </cell>
          <cell r="DS49" t="str">
            <v>NA</v>
          </cell>
          <cell r="DT49" t="str">
            <v>NA</v>
          </cell>
          <cell r="DU49" t="str">
            <v>NA</v>
          </cell>
          <cell r="DV49" t="str">
            <v>NA</v>
          </cell>
          <cell r="DW49" t="str">
            <v>NA</v>
          </cell>
          <cell r="DX49" t="str">
            <v>NA</v>
          </cell>
          <cell r="DY49" t="str">
            <v>NA</v>
          </cell>
          <cell r="DZ49" t="str">
            <v>NA</v>
          </cell>
          <cell r="EA49" t="str">
            <v>NA</v>
          </cell>
          <cell r="EB49" t="str">
            <v>NA</v>
          </cell>
          <cell r="EC49" t="str">
            <v>NA</v>
          </cell>
          <cell r="ED49" t="str">
            <v>NA</v>
          </cell>
          <cell r="EE49" t="str">
            <v>NA</v>
          </cell>
          <cell r="EF49">
            <v>3.521973583935277</v>
          </cell>
          <cell r="EG49">
            <v>0.94486155995757404</v>
          </cell>
          <cell r="EH49">
            <v>0.95776657735534831</v>
          </cell>
          <cell r="EI49">
            <v>1.1093321748399161</v>
          </cell>
          <cell r="EJ49">
            <v>0.91144204742191537</v>
          </cell>
          <cell r="EK49">
            <v>0.66614269363309209</v>
          </cell>
          <cell r="EL49">
            <v>0.4557863111261653</v>
          </cell>
          <cell r="EM49">
            <v>0.34652508754498923</v>
          </cell>
          <cell r="EN49">
            <v>0.30165638127255368</v>
          </cell>
          <cell r="EO49">
            <v>0.33452483850891168</v>
          </cell>
          <cell r="EP49">
            <v>0.30552674378185363</v>
          </cell>
          <cell r="EQ49">
            <v>0.28470788595994723</v>
          </cell>
          <cell r="ER49">
            <v>0.2690566740249567</v>
          </cell>
        </row>
        <row r="50">
          <cell r="A50" t="str">
            <v>% growth seq</v>
          </cell>
          <cell r="AU50" t="str">
            <v>NA</v>
          </cell>
          <cell r="AV50" t="str">
            <v>NA</v>
          </cell>
          <cell r="AW50" t="str">
            <v>NA</v>
          </cell>
          <cell r="AX50" t="str">
            <v>NA</v>
          </cell>
          <cell r="AY50" t="str">
            <v>NA</v>
          </cell>
          <cell r="AZ50" t="str">
            <v>NA</v>
          </cell>
          <cell r="BA50" t="str">
            <v>NA</v>
          </cell>
          <cell r="BB50" t="str">
            <v>NA</v>
          </cell>
          <cell r="BC50" t="str">
            <v>NA</v>
          </cell>
          <cell r="BD50" t="str">
            <v>NA</v>
          </cell>
          <cell r="BE50" t="str">
            <v>NA</v>
          </cell>
          <cell r="BF50" t="str">
            <v>NA</v>
          </cell>
          <cell r="BG50" t="str">
            <v>NA</v>
          </cell>
          <cell r="BH50" t="str">
            <v>NA</v>
          </cell>
          <cell r="BI50" t="str">
            <v>NA</v>
          </cell>
          <cell r="BJ50" t="str">
            <v>NA</v>
          </cell>
          <cell r="BK50" t="str">
            <v>NA</v>
          </cell>
          <cell r="BL50">
            <v>3.60422370199315</v>
          </cell>
          <cell r="BM50">
            <v>1.3345050281183077</v>
          </cell>
          <cell r="BN50">
            <v>0.64091897648108853</v>
          </cell>
          <cell r="BO50">
            <v>0.43584126627223729</v>
          </cell>
          <cell r="BP50">
            <v>0.33740956882496942</v>
          </cell>
          <cell r="BQ50">
            <v>0.25675560049713986</v>
          </cell>
          <cell r="BR50">
            <v>0.22031341259961712</v>
          </cell>
          <cell r="BS50">
            <v>0.12639617765326938</v>
          </cell>
          <cell r="BT50">
            <v>0.17339526947091199</v>
          </cell>
          <cell r="BU50">
            <v>0.16079349808922427</v>
          </cell>
          <cell r="BV50">
            <v>0.15537392000920636</v>
          </cell>
          <cell r="BW50">
            <v>0.17347363250049574</v>
          </cell>
          <cell r="BX50">
            <v>0.19077356117950561</v>
          </cell>
          <cell r="BY50">
            <v>0.2320766463449917</v>
          </cell>
          <cell r="BZ50">
            <v>0.19864619698796537</v>
          </cell>
          <cell r="CA50">
            <v>0.19847087930629925</v>
          </cell>
          <cell r="CB50">
            <v>0.2142032976971231</v>
          </cell>
          <cell r="CC50">
            <v>0.18995745090077709</v>
          </cell>
          <cell r="CD50">
            <v>0.21942991085710828</v>
          </cell>
          <cell r="CE50">
            <v>0.16610989218654737</v>
          </cell>
          <cell r="CF50">
            <v>0.20427828802663983</v>
          </cell>
          <cell r="CG50">
            <v>0.1096381855071713</v>
          </cell>
          <cell r="CH50">
            <v>0.12453861452826209</v>
          </cell>
          <cell r="CI50">
            <v>0.17948417588698162</v>
          </cell>
          <cell r="CJ50">
            <v>0.12575643845850171</v>
          </cell>
          <cell r="CK50">
            <v>9.5892896882823875E-2</v>
          </cell>
          <cell r="CL50">
            <v>0.11968707237699117</v>
          </cell>
          <cell r="CM50">
            <v>0.13487975151015852</v>
          </cell>
          <cell r="CN50">
            <v>4.1739359574169077E-2</v>
          </cell>
          <cell r="CO50">
            <v>7.7054486051429283E-2</v>
          </cell>
          <cell r="CP50">
            <v>0.10398990416992615</v>
          </cell>
          <cell r="CQ50">
            <v>8.9913254404872633E-2</v>
          </cell>
          <cell r="CR50">
            <v>8.9838317878845775E-2</v>
          </cell>
          <cell r="CS50">
            <v>2.413237740979457E-2</v>
          </cell>
          <cell r="CT50">
            <v>6.1629589866515344E-2</v>
          </cell>
          <cell r="CU50">
            <v>6.8915018863384025E-2</v>
          </cell>
          <cell r="CV50">
            <v>9.2216377969969621E-2</v>
          </cell>
          <cell r="CW50">
            <v>6.7609422130874064E-2</v>
          </cell>
          <cell r="CX50">
            <v>7.5594838897315331E-2</v>
          </cell>
          <cell r="CY50">
            <v>6.8110605500030008E-2</v>
          </cell>
          <cell r="CZ50">
            <v>9.0121510410950956E-2</v>
          </cell>
          <cell r="DA50">
            <v>6.867969463740109E-2</v>
          </cell>
          <cell r="DB50">
            <v>6.4527639411115167E-2</v>
          </cell>
          <cell r="DC50">
            <v>5.5627264705973456E-2</v>
          </cell>
          <cell r="DD50">
            <v>8.840942550167874E-2</v>
          </cell>
          <cell r="DE50">
            <v>6.954968481699253E-2</v>
          </cell>
          <cell r="DF50">
            <v>5.6871219229686298E-2</v>
          </cell>
          <cell r="DG50">
            <v>4.6390908829104127E-2</v>
          </cell>
          <cell r="DH50">
            <v>8.696588718706777E-2</v>
          </cell>
          <cell r="DI50">
            <v>7.0307879639745607E-2</v>
          </cell>
          <cell r="DJ50">
            <v>5.1364346432291041E-2</v>
          </cell>
          <cell r="DK50">
            <v>3.9247785856090012E-2</v>
          </cell>
          <cell r="DL50">
            <v>8.5672436539743435E-2</v>
          </cell>
          <cell r="DM50">
            <v>7.097927042983132E-2</v>
          </cell>
          <cell r="DN50">
            <v>4.7295650086005558E-2</v>
          </cell>
        </row>
        <row r="52">
          <cell r="A52" t="str">
            <v>ITOM</v>
          </cell>
          <cell r="AW52">
            <v>0</v>
          </cell>
          <cell r="AX52">
            <v>0</v>
          </cell>
          <cell r="AY52">
            <v>1.8140922318791604</v>
          </cell>
          <cell r="AZ52">
            <v>2.0295066663464114</v>
          </cell>
          <cell r="BA52">
            <v>3.0154642368500912</v>
          </cell>
          <cell r="BB52">
            <v>3.6162749500564706</v>
          </cell>
          <cell r="BC52">
            <v>2.0539142904622105</v>
          </cell>
          <cell r="BD52">
            <v>2.3050782259780855</v>
          </cell>
          <cell r="BE52">
            <v>3.3221787728021113</v>
          </cell>
          <cell r="BF52">
            <v>4.0006862808840111</v>
          </cell>
          <cell r="BG52">
            <v>2.5539203774353947</v>
          </cell>
          <cell r="BH52">
            <v>2.9438884644726997</v>
          </cell>
          <cell r="BI52">
            <v>4.2444421702960113</v>
          </cell>
          <cell r="BJ52">
            <v>5.1802889716050053</v>
          </cell>
          <cell r="BK52">
            <v>4.0338429889565948</v>
          </cell>
          <cell r="BL52">
            <v>4.8445011615143629</v>
          </cell>
          <cell r="BM52">
            <v>6.3873499841232437</v>
          </cell>
          <cell r="BN52">
            <v>7.5972658395872328</v>
          </cell>
          <cell r="BO52">
            <v>6.9496939734524554</v>
          </cell>
          <cell r="BP52">
            <v>8.2304670873530696</v>
          </cell>
          <cell r="BQ52">
            <v>10.212349286209173</v>
          </cell>
          <cell r="BR52">
            <v>12.234220774014783</v>
          </cell>
          <cell r="BS52">
            <v>12.703000000000003</v>
          </cell>
          <cell r="BT52">
            <v>14.379000000000019</v>
          </cell>
          <cell r="BU52">
            <v>17.413000000000011</v>
          </cell>
          <cell r="BV52">
            <v>20.180000000000064</v>
          </cell>
          <cell r="BW52">
            <v>22.816000000000031</v>
          </cell>
          <cell r="BX52">
            <v>26.012</v>
          </cell>
          <cell r="BY52">
            <v>28.92900000000003</v>
          </cell>
          <cell r="BZ52">
            <v>35.036000000000001</v>
          </cell>
          <cell r="CA52">
            <v>53.947999999999979</v>
          </cell>
          <cell r="CB52">
            <v>38.926000000000045</v>
          </cell>
          <cell r="CC52">
            <v>51.646113039193509</v>
          </cell>
          <cell r="CD52">
            <v>60.46247093349146</v>
          </cell>
          <cell r="CE52">
            <v>82.671401436670365</v>
          </cell>
          <cell r="CF52">
            <v>67.345869281135037</v>
          </cell>
          <cell r="CG52">
            <v>79.454441861169826</v>
          </cell>
          <cell r="CH52">
            <v>90.905160911817333</v>
          </cell>
          <cell r="CI52">
            <v>114.34859147523694</v>
          </cell>
          <cell r="CJ52">
            <v>102.68732543723164</v>
          </cell>
          <cell r="CK52">
            <v>117.73822009237672</v>
          </cell>
          <cell r="CL52">
            <v>132.24833256562778</v>
          </cell>
          <cell r="CM52">
            <v>159.14228215558168</v>
          </cell>
          <cell r="CN52">
            <v>149.87685304503967</v>
          </cell>
          <cell r="CO52">
            <v>171.11953129367905</v>
          </cell>
          <cell r="CP52">
            <v>193.58295473946319</v>
          </cell>
          <cell r="CQ52">
            <v>229.53917191147448</v>
          </cell>
          <cell r="CR52">
            <v>222.55258169705866</v>
          </cell>
          <cell r="CS52">
            <v>239.83072642441863</v>
          </cell>
          <cell r="CT52">
            <v>262.4160163551727</v>
          </cell>
          <cell r="CU52">
            <v>306.92607652422953</v>
          </cell>
          <cell r="CV52">
            <v>309.27157657065766</v>
          </cell>
          <cell r="CW52">
            <v>336.27316641594712</v>
          </cell>
          <cell r="CX52">
            <v>369.74847606425919</v>
          </cell>
          <cell r="CY52">
            <v>427.23108776353848</v>
          </cell>
          <cell r="CZ52">
            <v>440.2442434264658</v>
          </cell>
          <cell r="DA52">
            <v>476.93102521006574</v>
          </cell>
          <cell r="DB52">
            <v>517.41041304660962</v>
          </cell>
          <cell r="DC52">
            <v>585.05095620370446</v>
          </cell>
          <cell r="DD52">
            <v>611.84781591143769</v>
          </cell>
          <cell r="DE52">
            <v>661.23146748869385</v>
          </cell>
          <cell r="DF52">
            <v>710.51189784992368</v>
          </cell>
          <cell r="DG52">
            <v>790.71304408981678</v>
          </cell>
          <cell r="DH52">
            <v>835.15965429038386</v>
          </cell>
          <cell r="DI52">
            <v>901.05519189758388</v>
          </cell>
          <cell r="DJ52">
            <v>961.39761478689627</v>
          </cell>
          <cell r="DK52">
            <v>1057.1033684158674</v>
          </cell>
          <cell r="DL52">
            <v>1123.917967048128</v>
          </cell>
          <cell r="DM52">
            <v>1211.1041454385595</v>
          </cell>
          <cell r="DN52">
            <v>1285.3495772464198</v>
          </cell>
          <cell r="DP52">
            <v>0</v>
          </cell>
          <cell r="DQ52">
            <v>0</v>
          </cell>
          <cell r="DR52">
            <v>0</v>
          </cell>
          <cell r="DS52">
            <v>0</v>
          </cell>
          <cell r="DT52">
            <v>0</v>
          </cell>
          <cell r="DU52">
            <v>0</v>
          </cell>
          <cell r="DV52">
            <v>0</v>
          </cell>
          <cell r="DW52">
            <v>0</v>
          </cell>
          <cell r="DX52">
            <v>0</v>
          </cell>
          <cell r="DY52">
            <v>0</v>
          </cell>
          <cell r="DZ52">
            <v>0</v>
          </cell>
          <cell r="EA52">
            <v>0</v>
          </cell>
          <cell r="EB52">
            <v>10.475338085132133</v>
          </cell>
          <cell r="EC52">
            <v>11.681857570126418</v>
          </cell>
          <cell r="ED52">
            <v>14.922539983809111</v>
          </cell>
          <cell r="EE52">
            <v>22.862959974181436</v>
          </cell>
          <cell r="EF52">
            <v>37.626731121029479</v>
          </cell>
          <cell r="EG52">
            <v>64.675000000000097</v>
          </cell>
          <cell r="EH52">
            <v>112.79300000000006</v>
          </cell>
          <cell r="EI52">
            <v>204.98258397268498</v>
          </cell>
          <cell r="EJ52">
            <v>320.37687349079255</v>
          </cell>
          <cell r="EK52">
            <v>467.02246957047305</v>
          </cell>
          <cell r="EL52">
            <v>673.72162123376359</v>
          </cell>
          <cell r="EM52">
            <v>954.33849638812455</v>
          </cell>
          <cell r="EN52">
            <v>1322.2192955750934</v>
          </cell>
          <cell r="EO52">
            <v>1861.8167694466795</v>
          </cell>
          <cell r="EP52">
            <v>2568.6421374537595</v>
          </cell>
          <cell r="EQ52">
            <v>3488.3255050646808</v>
          </cell>
          <cell r="ER52">
            <v>4677.4750581489752</v>
          </cell>
        </row>
        <row r="53">
          <cell r="A53" t="str">
            <v>% of revenues</v>
          </cell>
          <cell r="AU53" t="str">
            <v>NA</v>
          </cell>
          <cell r="AV53" t="str">
            <v>NA</v>
          </cell>
          <cell r="AW53">
            <v>0</v>
          </cell>
          <cell r="AX53">
            <v>0</v>
          </cell>
          <cell r="AY53">
            <v>0.15317843721009544</v>
          </cell>
          <cell r="AZ53">
            <v>0.13950417008155153</v>
          </cell>
          <cell r="BA53">
            <v>0.18176396846594883</v>
          </cell>
          <cell r="BB53">
            <v>0.16934090143088132</v>
          </cell>
          <cell r="BC53">
            <v>8.1465742125266166E-2</v>
          </cell>
          <cell r="BD53">
            <v>7.8178418054826393E-2</v>
          </cell>
          <cell r="BE53">
            <v>9.7148251975381197E-2</v>
          </cell>
          <cell r="BF53">
            <v>0.10211563328613026</v>
          </cell>
          <cell r="BG53">
            <v>5.3844961679816887E-2</v>
          </cell>
          <cell r="BH53">
            <v>5.1852757679090776E-2</v>
          </cell>
          <cell r="BI53">
            <v>6.5963822679244874E-2</v>
          </cell>
          <cell r="BJ53">
            <v>6.8921648859862766E-2</v>
          </cell>
          <cell r="BK53">
            <v>4.6938444582280393E-2</v>
          </cell>
          <cell r="BL53">
            <v>4.7391962214732276E-2</v>
          </cell>
          <cell r="BM53">
            <v>5.7409737496501349E-2</v>
          </cell>
          <cell r="BN53">
            <v>6.0666500356042742E-2</v>
          </cell>
          <cell r="BO53">
            <v>4.9965446642119889E-2</v>
          </cell>
          <cell r="BP53">
            <v>4.9356051544181469E-2</v>
          </cell>
          <cell r="BQ53">
            <v>5.7144172110486002E-2</v>
          </cell>
          <cell r="BR53">
            <v>6.1787745570871209E-2</v>
          </cell>
          <cell r="BS53">
            <v>5.9929988111188708E-2</v>
          </cell>
          <cell r="BT53">
            <v>5.828158692585815E-2</v>
          </cell>
          <cell r="BU53">
            <v>6.6678154317442132E-2</v>
          </cell>
          <cell r="BV53">
            <v>7.0645895326448674E-2</v>
          </cell>
          <cell r="BW53">
            <v>7.4591586869317703E-2</v>
          </cell>
          <cell r="BX53">
            <v>7.6211794487155454E-2</v>
          </cell>
          <cell r="BY53">
            <v>8.088498445433609E-2</v>
          </cell>
          <cell r="BZ53">
            <v>9.0845446578127195E-2</v>
          </cell>
          <cell r="CA53">
            <v>0.12582007645106591</v>
          </cell>
          <cell r="CB53">
            <v>8.6838383252501997E-2</v>
          </cell>
          <cell r="CC53">
            <v>0.10489246553255163</v>
          </cell>
          <cell r="CD53">
            <v>0.11011335226180531</v>
          </cell>
          <cell r="CE53">
            <v>0.1403060331024136</v>
          </cell>
          <cell r="CF53">
            <v>0.10671932329481858</v>
          </cell>
          <cell r="CG53">
            <v>0.11804307828020305</v>
          </cell>
          <cell r="CH53">
            <v>0.1270617156576396</v>
          </cell>
          <cell r="CI53">
            <v>0.14494210036839572</v>
          </cell>
          <cell r="CJ53">
            <v>0.1231404639349753</v>
          </cell>
          <cell r="CK53">
            <v>0.13291243393774754</v>
          </cell>
          <cell r="CL53">
            <v>0.13894930158380853</v>
          </cell>
          <cell r="CM53">
            <v>0.15209423529214375</v>
          </cell>
          <cell r="CN53">
            <v>0.13996168720038965</v>
          </cell>
          <cell r="CO53">
            <v>0.14854487026913765</v>
          </cell>
          <cell r="CP53">
            <v>0.15482548986224692</v>
          </cell>
          <cell r="CQ53">
            <v>0.17110061523036119</v>
          </cell>
          <cell r="CR53">
            <v>0.15647222756277365</v>
          </cell>
          <cell r="CS53">
            <v>0.16427571058710172</v>
          </cell>
          <cell r="CT53">
            <v>0.1709334632644918</v>
          </cell>
          <cell r="CU53">
            <v>0.18791191591027834</v>
          </cell>
          <cell r="CV53">
            <v>0.17742689686669963</v>
          </cell>
          <cell r="CW53">
            <v>0.18182308924435961</v>
          </cell>
          <cell r="CX53">
            <v>0.18771798203054599</v>
          </cell>
          <cell r="CY53">
            <v>0.20366461437379946</v>
          </cell>
          <cell r="CZ53">
            <v>0.19605020319193289</v>
          </cell>
          <cell r="DA53">
            <v>0.19979889635700618</v>
          </cell>
          <cell r="DB53">
            <v>0.20496057481866195</v>
          </cell>
          <cell r="DC53">
            <v>0.21959345329553387</v>
          </cell>
          <cell r="DD53">
            <v>0.2141443642578128</v>
          </cell>
          <cell r="DE53">
            <v>0.21743803199115222</v>
          </cell>
          <cell r="DF53">
            <v>0.22209111970763559</v>
          </cell>
          <cell r="DG53">
            <v>0.23583508111995213</v>
          </cell>
          <cell r="DH53">
            <v>0.23202214518349359</v>
          </cell>
          <cell r="DI53">
            <v>0.23497321002120897</v>
          </cell>
          <cell r="DJ53">
            <v>0.23926050553797745</v>
          </cell>
          <cell r="DK53">
            <v>0.25240908015323199</v>
          </cell>
          <cell r="DL53">
            <v>0.2498242353632579</v>
          </cell>
          <cell r="DM53">
            <v>0.25249714582046751</v>
          </cell>
          <cell r="DN53">
            <v>0.25651349701353837</v>
          </cell>
          <cell r="DP53" t="str">
            <v>NA</v>
          </cell>
          <cell r="DQ53" t="str">
            <v>NA</v>
          </cell>
          <cell r="DR53" t="str">
            <v>NA</v>
          </cell>
          <cell r="DS53" t="str">
            <v>NA</v>
          </cell>
          <cell r="DT53" t="str">
            <v>NA</v>
          </cell>
          <cell r="DU53" t="str">
            <v>NA</v>
          </cell>
          <cell r="DV53" t="str">
            <v>NA</v>
          </cell>
          <cell r="DW53" t="str">
            <v>NA</v>
          </cell>
          <cell r="DX53" t="str">
            <v>NA</v>
          </cell>
          <cell r="DY53" t="str">
            <v>NA</v>
          </cell>
          <cell r="DZ53">
            <v>0</v>
          </cell>
          <cell r="EA53">
            <v>0</v>
          </cell>
          <cell r="EB53">
            <v>0.16282234029364792</v>
          </cell>
          <cell r="EC53">
            <v>9.1213318079236619E-2</v>
          </cell>
          <cell r="ED53">
            <v>6.1230222491338589E-2</v>
          </cell>
          <cell r="EE53">
            <v>5.3839538382624362E-2</v>
          </cell>
          <cell r="EF53">
            <v>5.5125653047454197E-2</v>
          </cell>
          <cell r="EG53">
            <v>6.432251263078341E-2</v>
          </cell>
          <cell r="EH53">
            <v>8.1116106070205793E-2</v>
          </cell>
          <cell r="EI53">
            <v>0.1068455694793338</v>
          </cell>
          <cell r="EJ53">
            <v>0.12280546941248156</v>
          </cell>
          <cell r="EK53">
            <v>0.13496054676633992</v>
          </cell>
          <cell r="EL53">
            <v>0.14907047380492192</v>
          </cell>
          <cell r="EM53">
            <v>0.16571309306391382</v>
          </cell>
          <cell r="EN53">
            <v>0.18375390851144963</v>
          </cell>
          <cell r="EO53">
            <v>0.20117349186252603</v>
          </cell>
          <cell r="EP53">
            <v>0.21839182089664919</v>
          </cell>
          <cell r="EQ53">
            <v>0.23561451231554198</v>
          </cell>
          <cell r="ER53">
            <v>0.25291519536985385</v>
          </cell>
        </row>
        <row r="54">
          <cell r="A54" t="str">
            <v>% of subscription revenues</v>
          </cell>
          <cell r="AU54" t="str">
            <v>NA</v>
          </cell>
          <cell r="AV54" t="str">
            <v>NA</v>
          </cell>
          <cell r="AW54">
            <v>0</v>
          </cell>
          <cell r="AX54">
            <v>0</v>
          </cell>
          <cell r="AY54">
            <v>0.16346118506750407</v>
          </cell>
          <cell r="AZ54">
            <v>0.15410073396707755</v>
          </cell>
          <cell r="BA54">
            <v>0.20352755378307849</v>
          </cell>
          <cell r="BB54">
            <v>0.19680407891463786</v>
          </cell>
          <cell r="BC54">
            <v>9.6773194989738534E-2</v>
          </cell>
          <cell r="BD54">
            <v>9.3036651845943383E-2</v>
          </cell>
          <cell r="BE54">
            <v>0.10953080257169599</v>
          </cell>
          <cell r="BF54">
            <v>0.11577734860031866</v>
          </cell>
          <cell r="BG54">
            <v>6.4589170163511164E-2</v>
          </cell>
          <cell r="BH54">
            <v>6.287672927109568E-2</v>
          </cell>
          <cell r="BI54">
            <v>7.678218076115724E-2</v>
          </cell>
          <cell r="BJ54">
            <v>8.2375870171500887E-2</v>
          </cell>
          <cell r="BK54">
            <v>5.6371656403988293E-2</v>
          </cell>
          <cell r="BL54">
            <v>6.027298150585203E-2</v>
          </cell>
          <cell r="BM54">
            <v>6.8687091191965366E-2</v>
          </cell>
          <cell r="BN54">
            <v>7.2439080070055048E-2</v>
          </cell>
          <cell r="BO54">
            <v>5.9209320327603454E-2</v>
          </cell>
          <cell r="BP54">
            <v>6.2011897526845709E-2</v>
          </cell>
          <cell r="BQ54">
            <v>6.7916160369024953E-2</v>
          </cell>
          <cell r="BR54">
            <v>7.336820033471933E-2</v>
          </cell>
          <cell r="BS54">
            <v>7.0608703385638141E-2</v>
          </cell>
          <cell r="BT54">
            <v>7.1729663126493523E-2</v>
          </cell>
          <cell r="BU54">
            <v>7.8012436830221188E-2</v>
          </cell>
          <cell r="BV54">
            <v>8.2467654534903942E-2</v>
          </cell>
          <cell r="BW54">
            <v>8.5318335813807503E-2</v>
          </cell>
          <cell r="BX54">
            <v>8.9487028646720271E-2</v>
          </cell>
          <cell r="BY54">
            <v>9.0705286987276451E-2</v>
          </cell>
          <cell r="BZ54">
            <v>0.1016703230374575</v>
          </cell>
          <cell r="CA54">
            <v>0.13919047225891673</v>
          </cell>
          <cell r="CB54">
            <v>9.6669249413915151E-2</v>
          </cell>
          <cell r="CC54">
            <v>0.11489526956079232</v>
          </cell>
          <cell r="CD54">
            <v>0.12098833975701559</v>
          </cell>
          <cell r="CE54">
            <v>0.15215828728048655</v>
          </cell>
          <cell r="CF54">
            <v>0.1150656765134329</v>
          </cell>
          <cell r="CG54">
            <v>0.12680917102427966</v>
          </cell>
          <cell r="CH54">
            <v>0.13646575401202651</v>
          </cell>
          <cell r="CI54">
            <v>0.15452804711877921</v>
          </cell>
          <cell r="CJ54">
            <v>0.13148370263503281</v>
          </cell>
          <cell r="CK54">
            <v>0.14101905605679263</v>
          </cell>
          <cell r="CL54">
            <v>0.14707430495046428</v>
          </cell>
          <cell r="CM54">
            <v>0.159989908691831</v>
          </cell>
          <cell r="CN54">
            <v>0.1475851508230592</v>
          </cell>
          <cell r="CO54">
            <v>0.15679102654210247</v>
          </cell>
          <cell r="CP54">
            <v>0.1634741266237705</v>
          </cell>
          <cell r="CQ54">
            <v>0.17943723170216491</v>
          </cell>
          <cell r="CR54">
            <v>0.16387039630044825</v>
          </cell>
          <cell r="CS54">
            <v>0.17208464944111179</v>
          </cell>
          <cell r="CT54">
            <v>0.17888920323139829</v>
          </cell>
          <cell r="CU54">
            <v>0.19637000414774658</v>
          </cell>
          <cell r="CV54">
            <v>0.18509438376128703</v>
          </cell>
          <cell r="CW54">
            <v>0.18945132885372973</v>
          </cell>
          <cell r="CX54">
            <v>0.19536064649671281</v>
          </cell>
          <cell r="CY54">
            <v>0.2117220675148842</v>
          </cell>
          <cell r="CZ54">
            <v>0.20350774412778488</v>
          </cell>
          <cell r="DA54">
            <v>0.20718558222198524</v>
          </cell>
          <cell r="DB54">
            <v>0.21237383672182961</v>
          </cell>
          <cell r="DC54">
            <v>0.22738165668441962</v>
          </cell>
          <cell r="DD54">
            <v>0.22142765001456205</v>
          </cell>
          <cell r="DE54">
            <v>0.2246079994029124</v>
          </cell>
          <cell r="DF54">
            <v>0.22928627644292821</v>
          </cell>
          <cell r="DG54">
            <v>0.24337103630929224</v>
          </cell>
          <cell r="DH54">
            <v>0.23911198258512734</v>
          </cell>
          <cell r="DI54">
            <v>0.24191546464676555</v>
          </cell>
          <cell r="DJ54">
            <v>0.24622420398846184</v>
          </cell>
          <cell r="DK54">
            <v>0.25968972034105026</v>
          </cell>
          <cell r="DL54">
            <v>0.25670920940886582</v>
          </cell>
          <cell r="DM54">
            <v>0.25921627168688122</v>
          </cell>
          <cell r="DN54">
            <v>0.26325387561672714</v>
          </cell>
          <cell r="DP54" t="str">
            <v>NA</v>
          </cell>
          <cell r="DQ54" t="str">
            <v>NA</v>
          </cell>
          <cell r="DR54" t="str">
            <v>NA</v>
          </cell>
          <cell r="DS54" t="str">
            <v>NA</v>
          </cell>
          <cell r="DT54" t="str">
            <v>NA</v>
          </cell>
          <cell r="DU54" t="str">
            <v>NA</v>
          </cell>
          <cell r="DV54" t="str">
            <v>NA</v>
          </cell>
          <cell r="DW54" t="str">
            <v>NA</v>
          </cell>
          <cell r="DX54" t="str">
            <v>NA</v>
          </cell>
          <cell r="DY54" t="str">
            <v>NA</v>
          </cell>
          <cell r="DZ54" t="str">
            <v>NA</v>
          </cell>
          <cell r="EA54">
            <v>0</v>
          </cell>
          <cell r="EB54">
            <v>0.1823097875899708</v>
          </cell>
          <cell r="EC54">
            <v>0.10535013569858501</v>
          </cell>
          <cell r="ED54">
            <v>7.2961579377727584E-2</v>
          </cell>
          <cell r="EE54">
            <v>6.5359344016024501E-2</v>
          </cell>
          <cell r="EF54">
            <v>6.6335690081625695E-2</v>
          </cell>
          <cell r="EG54">
            <v>7.6242694022478588E-2</v>
          </cell>
          <cell r="EH54">
            <v>9.2329239652630651E-2</v>
          </cell>
          <cell r="EI54">
            <v>0.11783994479602469</v>
          </cell>
          <cell r="EJ54">
            <v>0.13231534852817151</v>
          </cell>
          <cell r="EK54">
            <v>0.14347500308609196</v>
          </cell>
          <cell r="EL54">
            <v>0.15719867768673212</v>
          </cell>
          <cell r="EM54">
            <v>0.17358185170079227</v>
          </cell>
          <cell r="EN54">
            <v>0.19158392848144182</v>
          </cell>
          <cell r="EO54">
            <v>0.20873704364204357</v>
          </cell>
          <cell r="EP54">
            <v>0.22573690316951359</v>
          </cell>
          <cell r="EQ54">
            <v>0.24273385074166179</v>
          </cell>
          <cell r="ER54">
            <v>0.25980863708253749</v>
          </cell>
        </row>
        <row r="55">
          <cell r="A55" t="str">
            <v>% growth y-o-y</v>
          </cell>
          <cell r="V55" t="str">
            <v>NA</v>
          </cell>
          <cell r="Z55" t="str">
            <v>NA</v>
          </cell>
          <cell r="AA55" t="str">
            <v>NA</v>
          </cell>
          <cell r="AB55" t="str">
            <v>NA</v>
          </cell>
          <cell r="AC55" t="str">
            <v>NA</v>
          </cell>
          <cell r="AD55" t="str">
            <v>NA</v>
          </cell>
          <cell r="AE55" t="str">
            <v>NA</v>
          </cell>
          <cell r="AF55" t="str">
            <v>NA</v>
          </cell>
          <cell r="AG55" t="str">
            <v>NA</v>
          </cell>
          <cell r="AH55" t="str">
            <v>NA</v>
          </cell>
          <cell r="AI55" t="str">
            <v>NA</v>
          </cell>
          <cell r="AJ55" t="str">
            <v>NA</v>
          </cell>
          <cell r="AK55" t="str">
            <v>NA</v>
          </cell>
          <cell r="AL55" t="str">
            <v>NA</v>
          </cell>
          <cell r="AM55" t="str">
            <v>NA</v>
          </cell>
          <cell r="AN55" t="str">
            <v>NA</v>
          </cell>
          <cell r="AO55" t="str">
            <v>NA</v>
          </cell>
          <cell r="AP55" t="str">
            <v>NA</v>
          </cell>
          <cell r="AQ55" t="str">
            <v>NA</v>
          </cell>
          <cell r="AR55" t="str">
            <v>NA</v>
          </cell>
          <cell r="AS55" t="str">
            <v>NA</v>
          </cell>
          <cell r="AT55" t="str">
            <v>NA</v>
          </cell>
          <cell r="AU55" t="str">
            <v>NA</v>
          </cell>
          <cell r="AV55" t="str">
            <v>NA</v>
          </cell>
          <cell r="AW55" t="str">
            <v>NA</v>
          </cell>
          <cell r="AX55" t="str">
            <v>NA</v>
          </cell>
          <cell r="AY55" t="str">
            <v>NA</v>
          </cell>
          <cell r="AZ55" t="str">
            <v>NA</v>
          </cell>
          <cell r="BA55" t="str">
            <v>NA</v>
          </cell>
          <cell r="BB55" t="str">
            <v>NA</v>
          </cell>
          <cell r="BC55">
            <v>0.13219948488210331</v>
          </cell>
          <cell r="BD55">
            <v>0.13578253484023661</v>
          </cell>
          <cell r="BE55">
            <v>0.10171386952756878</v>
          </cell>
          <cell r="BF55">
            <v>0.10630036049154334</v>
          </cell>
          <cell r="BG55">
            <v>0.24344058040545757</v>
          </cell>
          <cell r="BH55">
            <v>0.27713169613736466</v>
          </cell>
          <cell r="BI55">
            <v>0.27760799781283652</v>
          </cell>
          <cell r="BJ55">
            <v>0.29485008518597056</v>
          </cell>
          <cell r="BK55">
            <v>0.57947092814511092</v>
          </cell>
          <cell r="BL55">
            <v>0.64561301149094152</v>
          </cell>
          <cell r="BM55">
            <v>0.50487383921119222</v>
          </cell>
          <cell r="BN55">
            <v>0.4665718227748552</v>
          </cell>
          <cell r="BO55">
            <v>0.72284692103251214</v>
          </cell>
          <cell r="BP55">
            <v>0.69892973764511868</v>
          </cell>
          <cell r="BQ55">
            <v>0.59883978670239824</v>
          </cell>
          <cell r="BR55">
            <v>0.61034522581343298</v>
          </cell>
          <cell r="BS55">
            <v>0.8278502691665186</v>
          </cell>
          <cell r="BT55">
            <v>0.74704544072532419</v>
          </cell>
          <cell r="BU55">
            <v>0.70509248283493853</v>
          </cell>
          <cell r="BV55">
            <v>0.64947162330615615</v>
          </cell>
          <cell r="BW55">
            <v>0.79611115484531414</v>
          </cell>
          <cell r="BX55">
            <v>0.80902705334167657</v>
          </cell>
          <cell r="BY55">
            <v>0.66134497214724708</v>
          </cell>
          <cell r="BZ55">
            <v>0.7361744301288351</v>
          </cell>
          <cell r="CA55">
            <v>1.3644810659186493</v>
          </cell>
          <cell r="CB55">
            <v>0.49646317084422753</v>
          </cell>
          <cell r="CC55">
            <v>0.78527128622466913</v>
          </cell>
          <cell r="CD55">
            <v>0.72572413898537103</v>
          </cell>
          <cell r="CE55">
            <v>0.53242754943038473</v>
          </cell>
          <cell r="CF55">
            <v>0.73009991473911939</v>
          </cell>
          <cell r="CG55">
            <v>0.53843991707319705</v>
          </cell>
          <cell r="CH55">
            <v>0.50349728531294624</v>
          </cell>
          <cell r="CI55">
            <v>0.38316986875845549</v>
          </cell>
          <cell r="CJ55">
            <v>0.52477540988540583</v>
          </cell>
          <cell r="CK55">
            <v>0.48183307735141945</v>
          </cell>
          <cell r="CL55">
            <v>0.4547945489466263</v>
          </cell>
          <cell r="CM55">
            <v>0.39172927363993937</v>
          </cell>
          <cell r="CN55">
            <v>0.45954578529414492</v>
          </cell>
          <cell r="CO55">
            <v>0.45338982668006755</v>
          </cell>
          <cell r="CP55">
            <v>0.46378370890535292</v>
          </cell>
          <cell r="CQ55">
            <v>0.44235189292479138</v>
          </cell>
          <cell r="CR55">
            <v>0.48490295316101362</v>
          </cell>
          <cell r="CS55">
            <v>0.40153917329761701</v>
          </cell>
          <cell r="CT55">
            <v>0.35557397968405646</v>
          </cell>
          <cell r="CU55">
            <v>0.33714029709317139</v>
          </cell>
          <cell r="CV55">
            <v>0.38965620714138449</v>
          </cell>
          <cell r="CW55">
            <v>0.40212712286439167</v>
          </cell>
          <cell r="CX55">
            <v>0.40901642056716159</v>
          </cell>
          <cell r="CY55">
            <v>0.39196738381338458</v>
          </cell>
          <cell r="CZ55">
            <v>0.42348756490360984</v>
          </cell>
          <cell r="DA55">
            <v>0.41828451640454234</v>
          </cell>
          <cell r="DB55">
            <v>0.39935779737111887</v>
          </cell>
          <cell r="DC55">
            <v>0.36940164927210373</v>
          </cell>
          <cell r="DD55">
            <v>0.38979174639369218</v>
          </cell>
          <cell r="DE55">
            <v>0.38642997107905153</v>
          </cell>
          <cell r="DF55">
            <v>0.37320757358997914</v>
          </cell>
          <cell r="DG55">
            <v>0.35152850483420872</v>
          </cell>
          <cell r="DH55">
            <v>0.36497938306160371</v>
          </cell>
          <cell r="DI55">
            <v>0.36269254595478051</v>
          </cell>
          <cell r="DJ55">
            <v>0.35310558161823402</v>
          </cell>
          <cell r="DK55">
            <v>0.33689886149872517</v>
          </cell>
          <cell r="DL55">
            <v>0.34575222985729059</v>
          </cell>
          <cell r="DM55">
            <v>0.34409540761651436</v>
          </cell>
          <cell r="DN55">
            <v>0.3369593989801305</v>
          </cell>
          <cell r="DQ55" t="str">
            <v>NA</v>
          </cell>
          <cell r="DR55" t="str">
            <v>NA</v>
          </cell>
          <cell r="DS55" t="str">
            <v>NA</v>
          </cell>
          <cell r="DT55" t="str">
            <v>NA</v>
          </cell>
          <cell r="DU55" t="str">
            <v>NA</v>
          </cell>
          <cell r="DV55" t="str">
            <v>NA</v>
          </cell>
          <cell r="DW55" t="str">
            <v>NA</v>
          </cell>
          <cell r="DX55" t="str">
            <v>NA</v>
          </cell>
          <cell r="DY55" t="str">
            <v>NA</v>
          </cell>
          <cell r="DZ55" t="str">
            <v>NA</v>
          </cell>
          <cell r="EA55" t="str">
            <v>NA</v>
          </cell>
          <cell r="EB55" t="str">
            <v>NA</v>
          </cell>
          <cell r="EC55">
            <v>0.11517714036425453</v>
          </cell>
          <cell r="ED55">
            <v>0.27741156697287339</v>
          </cell>
          <cell r="EE55">
            <v>0.53210914489005523</v>
          </cell>
          <cell r="EF55">
            <v>0.6457506448648993</v>
          </cell>
          <cell r="EG55">
            <v>0.71885779266786787</v>
          </cell>
          <cell r="EH55">
            <v>0.74399690761499637</v>
          </cell>
          <cell r="EI55">
            <v>0.8173342669552619</v>
          </cell>
          <cell r="EJ55">
            <v>0.56294679909725631</v>
          </cell>
          <cell r="EK55">
            <v>0.45772840742793197</v>
          </cell>
          <cell r="EL55">
            <v>0.44258930807632146</v>
          </cell>
          <cell r="EM55">
            <v>0.41651754420538967</v>
          </cell>
          <cell r="EN55">
            <v>0.3854825102196795</v>
          </cell>
          <cell r="EO55">
            <v>0.40809983311950582</v>
          </cell>
          <cell r="EP55">
            <v>0.37964281964070179</v>
          </cell>
          <cell r="EQ55">
            <v>0.3580426226763469</v>
          </cell>
          <cell r="ER55">
            <v>0.34089409126464099</v>
          </cell>
        </row>
        <row r="56">
          <cell r="A56" t="str">
            <v>% growth seq</v>
          </cell>
          <cell r="V56" t="str">
            <v>NA</v>
          </cell>
          <cell r="Z56" t="str">
            <v>NA</v>
          </cell>
          <cell r="AA56" t="str">
            <v>NA</v>
          </cell>
          <cell r="AB56" t="str">
            <v>NA</v>
          </cell>
          <cell r="AC56" t="str">
            <v>NA</v>
          </cell>
          <cell r="AD56" t="str">
            <v>NA</v>
          </cell>
          <cell r="AE56" t="str">
            <v>NA</v>
          </cell>
          <cell r="AF56" t="str">
            <v>NA</v>
          </cell>
          <cell r="AG56" t="str">
            <v>NA</v>
          </cell>
          <cell r="AH56" t="str">
            <v>NA</v>
          </cell>
          <cell r="AI56" t="str">
            <v>NA</v>
          </cell>
          <cell r="AJ56" t="str">
            <v>NA</v>
          </cell>
          <cell r="AK56" t="str">
            <v>NA</v>
          </cell>
          <cell r="AL56" t="str">
            <v>NA</v>
          </cell>
          <cell r="AM56" t="str">
            <v>NA</v>
          </cell>
          <cell r="AN56" t="str">
            <v>NA</v>
          </cell>
          <cell r="AO56" t="str">
            <v>NA</v>
          </cell>
          <cell r="AP56" t="str">
            <v>NA</v>
          </cell>
          <cell r="AQ56" t="str">
            <v>NA</v>
          </cell>
          <cell r="AR56" t="str">
            <v>NA</v>
          </cell>
          <cell r="AS56" t="str">
            <v>NA</v>
          </cell>
          <cell r="AT56" t="str">
            <v>NA</v>
          </cell>
          <cell r="AU56" t="str">
            <v>NA</v>
          </cell>
          <cell r="AV56" t="str">
            <v>NA</v>
          </cell>
          <cell r="AW56" t="str">
            <v>NA</v>
          </cell>
          <cell r="AX56" t="str">
            <v>NA</v>
          </cell>
          <cell r="AY56" t="str">
            <v>NA</v>
          </cell>
          <cell r="AZ56">
            <v>0.11874502888097926</v>
          </cell>
          <cell r="BA56">
            <v>0.48581144711322133</v>
          </cell>
          <cell r="BB56">
            <v>0.19924318977630362</v>
          </cell>
          <cell r="BC56">
            <v>-0.4320359157341902</v>
          </cell>
          <cell r="BD56">
            <v>0.12228549978069103</v>
          </cell>
          <cell r="BE56">
            <v>0.44124339701853366</v>
          </cell>
          <cell r="BF56">
            <v>0.20423570026895588</v>
          </cell>
          <cell r="BG56">
            <v>-0.36162943102075273</v>
          </cell>
          <cell r="BH56">
            <v>0.15269390952152739</v>
          </cell>
          <cell r="BI56">
            <v>0.44178090356295585</v>
          </cell>
          <cell r="BJ56">
            <v>0.22048758441294236</v>
          </cell>
          <cell r="BK56">
            <v>-0.22130927230748831</v>
          </cell>
          <cell r="BL56">
            <v>0.20096423553844245</v>
          </cell>
          <cell r="BM56">
            <v>0.31847423938414243</v>
          </cell>
          <cell r="BN56">
            <v>0.18942376078834311</v>
          </cell>
          <cell r="BO56">
            <v>-8.523748935577069E-2</v>
          </cell>
          <cell r="BP56">
            <v>0.1842920161366981</v>
          </cell>
          <cell r="BQ56">
            <v>0.24079826549594774</v>
          </cell>
          <cell r="BR56">
            <v>0.19798299403409159</v>
          </cell>
          <cell r="BS56">
            <v>3.8317048109912877E-2</v>
          </cell>
          <cell r="BT56">
            <v>0.13193733763678006</v>
          </cell>
          <cell r="BU56">
            <v>0.21100215592182958</v>
          </cell>
          <cell r="BV56">
            <v>0.15890426692701154</v>
          </cell>
          <cell r="BW56">
            <v>0.13062438057482462</v>
          </cell>
          <cell r="BX56">
            <v>0.14007713884992845</v>
          </cell>
          <cell r="BY56">
            <v>0.11214055051514804</v>
          </cell>
          <cell r="BZ56">
            <v>0.21110304538698066</v>
          </cell>
          <cell r="CA56">
            <v>0.53978764699166515</v>
          </cell>
          <cell r="CB56">
            <v>-0.27845332542448176</v>
          </cell>
          <cell r="CC56">
            <v>0.32677678259244325</v>
          </cell>
          <cell r="CD56">
            <v>0.17070709440625942</v>
          </cell>
          <cell r="CE56">
            <v>0.36731761306296362</v>
          </cell>
          <cell r="CF56">
            <v>-0.18537888422364901</v>
          </cell>
          <cell r="CG56">
            <v>0.17979681173150519</v>
          </cell>
          <cell r="CH56">
            <v>0.14411678922438687</v>
          </cell>
          <cell r="CI56">
            <v>0.25788888472636828</v>
          </cell>
          <cell r="CJ56">
            <v>-0.10197997096038258</v>
          </cell>
          <cell r="CK56">
            <v>0.14657013016027043</v>
          </cell>
          <cell r="CL56">
            <v>0.1232404605901678</v>
          </cell>
          <cell r="CM56">
            <v>0.20335946070705946</v>
          </cell>
          <cell r="CN56">
            <v>-5.8221039594517632E-2</v>
          </cell>
          <cell r="CO56">
            <v>0.14173421590494506</v>
          </cell>
          <cell r="CP56">
            <v>0.13127328760170531</v>
          </cell>
          <cell r="CQ56">
            <v>0.18574061554336518</v>
          </cell>
          <cell r="CR56">
            <v>-3.043746370711109E-2</v>
          </cell>
          <cell r="CS56">
            <v>7.76362358756153E-2</v>
          </cell>
          <cell r="CT56">
            <v>9.4171794696505273E-2</v>
          </cell>
          <cell r="CU56">
            <v>0.16961640065754868</v>
          </cell>
          <cell r="CV56">
            <v>7.6419054157588207E-3</v>
          </cell>
          <cell r="CW56">
            <v>8.7307052735641655E-2</v>
          </cell>
          <cell r="CX56">
            <v>9.9547965736003441E-2</v>
          </cell>
          <cell r="CY56">
            <v>0.15546409362154967</v>
          </cell>
          <cell r="CZ56">
            <v>3.0459290149151608E-2</v>
          </cell>
          <cell r="DA56">
            <v>8.3332791584196597E-2</v>
          </cell>
          <cell r="DB56">
            <v>8.4874721284308619E-2</v>
          </cell>
          <cell r="DC56">
            <v>0.13072899472357857</v>
          </cell>
          <cell r="DD56">
            <v>4.5802608172138548E-2</v>
          </cell>
          <cell r="DE56">
            <v>8.071231161247483E-2</v>
          </cell>
          <cell r="DF56">
            <v>7.4528259443539691E-2</v>
          </cell>
          <cell r="DG56">
            <v>0.11287797781091258</v>
          </cell>
          <cell r="DH56">
            <v>5.6210796739453395E-2</v>
          </cell>
          <cell r="DI56">
            <v>7.8901725279330037E-2</v>
          </cell>
          <cell r="DJ56">
            <v>6.6968620159919112E-2</v>
          </cell>
          <cell r="DK56">
            <v>9.9548565709917325E-2</v>
          </cell>
          <cell r="DL56">
            <v>6.3205359691915763E-2</v>
          </cell>
          <cell r="DM56">
            <v>7.7573435914916722E-2</v>
          </cell>
          <cell r="DN56">
            <v>6.1303920135600709E-2</v>
          </cell>
        </row>
        <row r="57">
          <cell r="AG57" t="str">
            <v>Ex. Alias</v>
          </cell>
          <cell r="AH57" t="e">
            <v>#REF!</v>
          </cell>
          <cell r="AI57" t="e">
            <v>#REF!</v>
          </cell>
          <cell r="AM57" t="e">
            <v>#REF!</v>
          </cell>
          <cell r="AQ57" t="e">
            <v>#REF!</v>
          </cell>
        </row>
        <row r="59">
          <cell r="A59" t="str">
            <v>(US$ in millions, unless otherwise stated)</v>
          </cell>
          <cell r="C59" t="str">
            <v>Fiscal 1999 by Quarter</v>
          </cell>
          <cell r="G59" t="str">
            <v>Fiscal 2000 by Quarter</v>
          </cell>
          <cell r="K59" t="str">
            <v>Fiscal 2001 by Quarter</v>
          </cell>
          <cell r="O59" t="str">
            <v>Fiscal 2002 by Quarter</v>
          </cell>
          <cell r="S59" t="str">
            <v>Fiscal 2003 by Quarter</v>
          </cell>
          <cell r="W59" t="str">
            <v>Fiscal 2004 by Quarter</v>
          </cell>
          <cell r="AA59" t="str">
            <v>Fiscal 2005 by Quarter</v>
          </cell>
          <cell r="AE59" t="str">
            <v>Fiscal 2006 by Quarter</v>
          </cell>
          <cell r="AI59" t="str">
            <v>Fiscal 2006 by Quarter</v>
          </cell>
          <cell r="AM59" t="str">
            <v>Fiscal 2007 by Quarter</v>
          </cell>
          <cell r="AQ59" t="str">
            <v>Fiscal 2008 by Quarter</v>
          </cell>
          <cell r="AU59" t="str">
            <v>Fiscal 2009 by Quarter</v>
          </cell>
          <cell r="AY59" t="str">
            <v>Fiscal 2010 by Quarter</v>
          </cell>
          <cell r="BC59" t="str">
            <v>Fiscal 2011 by Quarter</v>
          </cell>
          <cell r="BG59" t="str">
            <v>Fiscal 2012 by Quarter</v>
          </cell>
          <cell r="BK59" t="str">
            <v>Fiscal 2013 by Quarter</v>
          </cell>
          <cell r="BO59" t="str">
            <v>Fiscal 2014 by Quarter</v>
          </cell>
          <cell r="BS59" t="str">
            <v>Fiscal 2015 by Quarter</v>
          </cell>
          <cell r="BW59" t="str">
            <v>Fiscal 2016 by Quarter</v>
          </cell>
          <cell r="CA59" t="str">
            <v>Fiscal 2017 by Quarter</v>
          </cell>
          <cell r="CE59" t="str">
            <v>Fiscal 2018 by Quarter</v>
          </cell>
          <cell r="CI59" t="str">
            <v>Fiscal 2019 by Quarter</v>
          </cell>
          <cell r="CM59" t="str">
            <v>Fiscal 2020 by Quarter</v>
          </cell>
          <cell r="CQ59" t="str">
            <v>Fiscal 2021 by Quarter</v>
          </cell>
          <cell r="CU59" t="str">
            <v>Fiscal 2022 by Quarter</v>
          </cell>
          <cell r="CY59" t="str">
            <v>Fiscal 2023 by Quarter</v>
          </cell>
          <cell r="DC59" t="str">
            <v>Fiscal 2024 by Quarter</v>
          </cell>
          <cell r="DG59" t="str">
            <v>Fiscal 2025 by Quarter</v>
          </cell>
          <cell r="DK59" t="str">
            <v>Fiscal 2026 by Quarter</v>
          </cell>
          <cell r="DP59" t="str">
            <v xml:space="preserve"> Fiscal Year Ends December</v>
          </cell>
        </row>
        <row r="60">
          <cell r="C60">
            <v>35886</v>
          </cell>
          <cell r="D60">
            <v>35977</v>
          </cell>
          <cell r="E60">
            <v>36069</v>
          </cell>
          <cell r="F60">
            <v>36161</v>
          </cell>
          <cell r="G60">
            <v>36251</v>
          </cell>
          <cell r="H60">
            <v>36342</v>
          </cell>
          <cell r="I60">
            <v>36434</v>
          </cell>
          <cell r="J60">
            <v>36526</v>
          </cell>
          <cell r="K60">
            <v>36617</v>
          </cell>
          <cell r="L60">
            <v>36708</v>
          </cell>
          <cell r="M60">
            <v>36800</v>
          </cell>
          <cell r="N60">
            <v>36892</v>
          </cell>
          <cell r="O60">
            <v>36982</v>
          </cell>
          <cell r="P60">
            <v>37073</v>
          </cell>
          <cell r="Q60">
            <v>37165</v>
          </cell>
          <cell r="R60">
            <v>37257</v>
          </cell>
          <cell r="S60">
            <v>37348</v>
          </cell>
          <cell r="T60">
            <v>37439</v>
          </cell>
          <cell r="U60">
            <v>37531</v>
          </cell>
          <cell r="V60">
            <v>37623</v>
          </cell>
          <cell r="W60">
            <v>37715</v>
          </cell>
          <cell r="X60">
            <v>37806</v>
          </cell>
          <cell r="Y60">
            <v>37898</v>
          </cell>
          <cell r="Z60">
            <v>37990</v>
          </cell>
          <cell r="AA60">
            <v>38081</v>
          </cell>
          <cell r="AB60">
            <v>38172</v>
          </cell>
          <cell r="AC60">
            <v>38264</v>
          </cell>
          <cell r="AD60">
            <v>38356</v>
          </cell>
          <cell r="AE60">
            <v>38447</v>
          </cell>
          <cell r="AF60">
            <v>38538</v>
          </cell>
          <cell r="AG60">
            <v>38630</v>
          </cell>
          <cell r="AH60">
            <v>38722</v>
          </cell>
          <cell r="AI60">
            <v>38807</v>
          </cell>
          <cell r="AJ60">
            <v>38898</v>
          </cell>
          <cell r="AK60">
            <v>38990</v>
          </cell>
          <cell r="AL60">
            <v>39082</v>
          </cell>
          <cell r="AM60">
            <v>39172</v>
          </cell>
          <cell r="AN60">
            <v>39263</v>
          </cell>
          <cell r="AO60">
            <v>39355</v>
          </cell>
          <cell r="AP60">
            <v>39447</v>
          </cell>
          <cell r="AQ60">
            <v>39538</v>
          </cell>
          <cell r="AR60">
            <v>39629</v>
          </cell>
          <cell r="AS60">
            <v>39721</v>
          </cell>
          <cell r="AT60">
            <v>39813</v>
          </cell>
          <cell r="AU60">
            <v>39903</v>
          </cell>
          <cell r="AV60">
            <v>39994</v>
          </cell>
          <cell r="AW60">
            <v>40086</v>
          </cell>
          <cell r="AX60">
            <v>40178</v>
          </cell>
          <cell r="AY60">
            <v>40268</v>
          </cell>
          <cell r="AZ60">
            <v>40359</v>
          </cell>
          <cell r="BA60">
            <v>40451</v>
          </cell>
          <cell r="BB60">
            <v>40543</v>
          </cell>
          <cell r="BC60">
            <v>40633</v>
          </cell>
          <cell r="BD60">
            <v>40724</v>
          </cell>
          <cell r="BE60">
            <v>40816</v>
          </cell>
          <cell r="BF60">
            <v>40908</v>
          </cell>
          <cell r="BG60">
            <v>40999</v>
          </cell>
          <cell r="BH60">
            <v>41072</v>
          </cell>
          <cell r="BI60">
            <v>41164</v>
          </cell>
          <cell r="BJ60">
            <v>41255</v>
          </cell>
          <cell r="BK60">
            <v>41346</v>
          </cell>
          <cell r="BL60">
            <v>41438</v>
          </cell>
          <cell r="BM60">
            <v>41529</v>
          </cell>
          <cell r="BN60">
            <v>41621</v>
          </cell>
          <cell r="BO60">
            <v>41712</v>
          </cell>
          <cell r="BP60">
            <v>41804</v>
          </cell>
          <cell r="BQ60">
            <v>41894</v>
          </cell>
          <cell r="BR60">
            <v>41987</v>
          </cell>
          <cell r="BS60">
            <v>42078</v>
          </cell>
          <cell r="BT60">
            <v>42170</v>
          </cell>
          <cell r="BU60">
            <v>42262</v>
          </cell>
          <cell r="BV60">
            <v>42353</v>
          </cell>
          <cell r="BW60">
            <v>42445</v>
          </cell>
          <cell r="BX60">
            <v>42537</v>
          </cell>
          <cell r="BY60">
            <v>42629</v>
          </cell>
          <cell r="BZ60">
            <v>42720</v>
          </cell>
          <cell r="CA60">
            <v>42811</v>
          </cell>
          <cell r="CB60">
            <v>42903</v>
          </cell>
          <cell r="CC60">
            <v>42995</v>
          </cell>
          <cell r="CD60">
            <v>43086</v>
          </cell>
          <cell r="CE60">
            <v>43177</v>
          </cell>
          <cell r="CF60">
            <v>43269</v>
          </cell>
          <cell r="CG60">
            <v>43361</v>
          </cell>
          <cell r="CH60">
            <v>43452</v>
          </cell>
          <cell r="CI60">
            <v>43543</v>
          </cell>
          <cell r="CJ60">
            <v>43635</v>
          </cell>
          <cell r="CK60">
            <v>43727</v>
          </cell>
          <cell r="CL60">
            <v>43818</v>
          </cell>
          <cell r="CM60">
            <v>43910</v>
          </cell>
          <cell r="CN60">
            <v>44002</v>
          </cell>
          <cell r="CO60">
            <v>44094</v>
          </cell>
          <cell r="CP60">
            <v>44185</v>
          </cell>
          <cell r="CQ60" t="str">
            <v>Mar-21E</v>
          </cell>
          <cell r="CR60" t="str">
            <v>Jun-21E</v>
          </cell>
          <cell r="CS60" t="str">
            <v>Sep-21E</v>
          </cell>
          <cell r="CT60" t="str">
            <v>Dec-21E</v>
          </cell>
          <cell r="CU60" t="str">
            <v>Mar-22E</v>
          </cell>
          <cell r="CV60" t="str">
            <v>Jun-22E</v>
          </cell>
          <cell r="CW60" t="str">
            <v>Sep-22E</v>
          </cell>
          <cell r="CX60" t="str">
            <v>Dec-22E</v>
          </cell>
          <cell r="CY60" t="str">
            <v>Mar-23E</v>
          </cell>
          <cell r="CZ60" t="str">
            <v>Jun-23E</v>
          </cell>
          <cell r="DA60" t="str">
            <v>Sep-23E</v>
          </cell>
          <cell r="DB60" t="str">
            <v>Dec-23E</v>
          </cell>
          <cell r="DC60" t="str">
            <v>Mar-24E</v>
          </cell>
          <cell r="DD60" t="str">
            <v>Jun-24E</v>
          </cell>
          <cell r="DE60" t="str">
            <v>Sep-24E</v>
          </cell>
          <cell r="DF60" t="str">
            <v>Dec-24E</v>
          </cell>
          <cell r="DG60" t="str">
            <v>Mar-25E</v>
          </cell>
          <cell r="DH60" t="str">
            <v>Jun-25E</v>
          </cell>
          <cell r="DI60" t="str">
            <v>Sep-25E</v>
          </cell>
          <cell r="DJ60" t="str">
            <v>Dec-25E</v>
          </cell>
          <cell r="DK60" t="str">
            <v>Mar-26E</v>
          </cell>
          <cell r="DL60" t="str">
            <v>Jun-26E</v>
          </cell>
          <cell r="DM60" t="str">
            <v>Sep-26E</v>
          </cell>
          <cell r="DN60" t="str">
            <v>Dec-26E</v>
          </cell>
          <cell r="DP60">
            <v>1998</v>
          </cell>
          <cell r="DQ60">
            <v>1999</v>
          </cell>
          <cell r="DR60">
            <v>2000</v>
          </cell>
          <cell r="DS60">
            <v>2001</v>
          </cell>
          <cell r="DT60">
            <v>2002</v>
          </cell>
          <cell r="DU60">
            <v>2003</v>
          </cell>
          <cell r="DV60">
            <v>2004</v>
          </cell>
          <cell r="DW60">
            <v>2005</v>
          </cell>
          <cell r="DX60">
            <v>2006</v>
          </cell>
          <cell r="DY60">
            <v>2007</v>
          </cell>
          <cell r="DZ60">
            <v>2008</v>
          </cell>
          <cell r="EA60">
            <v>2009</v>
          </cell>
          <cell r="EB60">
            <v>2010</v>
          </cell>
          <cell r="EC60">
            <v>2011</v>
          </cell>
          <cell r="ED60">
            <v>2012</v>
          </cell>
          <cell r="EE60">
            <v>2013</v>
          </cell>
          <cell r="EF60">
            <v>2014</v>
          </cell>
          <cell r="EG60">
            <v>2015</v>
          </cell>
          <cell r="EH60">
            <v>2016</v>
          </cell>
          <cell r="EI60">
            <v>2017</v>
          </cell>
          <cell r="EJ60">
            <v>2018</v>
          </cell>
          <cell r="EK60">
            <v>2019</v>
          </cell>
          <cell r="EL60">
            <v>2020</v>
          </cell>
          <cell r="EM60" t="str">
            <v>2021E</v>
          </cell>
          <cell r="EN60" t="str">
            <v>2022E</v>
          </cell>
          <cell r="EO60" t="str">
            <v>2023E</v>
          </cell>
          <cell r="EP60" t="str">
            <v>2024E</v>
          </cell>
          <cell r="EQ60" t="str">
            <v>2025E</v>
          </cell>
          <cell r="ER60" t="str">
            <v>2026E</v>
          </cell>
        </row>
        <row r="61">
          <cell r="A61" t="str">
            <v>Subscription and support</v>
          </cell>
          <cell r="AW61">
            <v>7.0659999999999998</v>
          </cell>
          <cell r="AX61">
            <v>8.7430000000000003</v>
          </cell>
          <cell r="AY61">
            <v>11.098000000000001</v>
          </cell>
          <cell r="AZ61">
            <v>13.17</v>
          </cell>
          <cell r="BA61">
            <v>14.816000000000001</v>
          </cell>
          <cell r="BB61">
            <v>18.375</v>
          </cell>
          <cell r="BC61">
            <v>21.224</v>
          </cell>
          <cell r="BD61">
            <v>24.776022999999999</v>
          </cell>
          <cell r="BE61">
            <v>30.331</v>
          </cell>
          <cell r="BF61">
            <v>34.555</v>
          </cell>
          <cell r="BG61">
            <v>39.540999999999997</v>
          </cell>
          <cell r="BH61">
            <v>46.82</v>
          </cell>
          <cell r="BI61">
            <v>55.279000000000003</v>
          </cell>
          <cell r="BJ61">
            <v>62.886000000000003</v>
          </cell>
          <cell r="BK61">
            <v>71.558000000000007</v>
          </cell>
          <cell r="BL61">
            <v>80.376000000000005</v>
          </cell>
          <cell r="BM61">
            <v>92.992000000000004</v>
          </cell>
          <cell r="BN61">
            <v>104.878</v>
          </cell>
          <cell r="BO61">
            <v>117.375</v>
          </cell>
          <cell r="BP61">
            <v>132.72399999999999</v>
          </cell>
          <cell r="BQ61">
            <v>150.36699999999999</v>
          </cell>
          <cell r="BR61">
            <v>166.751</v>
          </cell>
          <cell r="BS61">
            <v>179.90700000000001</v>
          </cell>
          <cell r="BT61">
            <v>200.46100000000001</v>
          </cell>
          <cell r="BU61">
            <v>223.208</v>
          </cell>
          <cell r="BV61">
            <v>244.702</v>
          </cell>
          <cell r="BW61">
            <v>267.42200000000003</v>
          </cell>
          <cell r="BX61">
            <v>290.67899999999997</v>
          </cell>
          <cell r="BY61">
            <v>318.93400000000003</v>
          </cell>
          <cell r="BZ61">
            <v>344.60399999999998</v>
          </cell>
          <cell r="CA61">
            <v>387.584</v>
          </cell>
          <cell r="CB61">
            <v>402.67200000000003</v>
          </cell>
          <cell r="CC61">
            <v>449.50599999999997</v>
          </cell>
          <cell r="CD61">
            <v>499.738</v>
          </cell>
          <cell r="CE61">
            <v>543.32500000000005</v>
          </cell>
          <cell r="CF61">
            <v>585.28200000000004</v>
          </cell>
          <cell r="CG61">
            <v>626.56700000000001</v>
          </cell>
          <cell r="CH61">
            <v>666.13900000000001</v>
          </cell>
          <cell r="CI61">
            <v>739.98599999999999</v>
          </cell>
          <cell r="CJ61">
            <v>780.98900000000003</v>
          </cell>
          <cell r="CK61">
            <v>834.91</v>
          </cell>
          <cell r="CL61">
            <v>899.19399999999996</v>
          </cell>
          <cell r="CM61">
            <v>994.702</v>
          </cell>
          <cell r="CN61">
            <v>1015.528</v>
          </cell>
          <cell r="CO61">
            <v>1091.386</v>
          </cell>
          <cell r="CP61">
            <v>1184.181</v>
          </cell>
          <cell r="CQ61">
            <v>1279.2170818399061</v>
          </cell>
          <cell r="CR61">
            <v>1358.1011990049717</v>
          </cell>
          <cell r="CS61">
            <v>1393.6787924043736</v>
          </cell>
          <cell r="CT61">
            <v>1466.9192528949336</v>
          </cell>
          <cell r="CU61">
            <v>1562.998778027737</v>
          </cell>
          <cell r="CV61">
            <v>1670.8857950521058</v>
          </cell>
          <cell r="CW61">
            <v>1774.9844693650821</v>
          </cell>
          <cell r="CX61">
            <v>1892.6456412524244</v>
          </cell>
          <cell r="CY61">
            <v>2017.8864337488289</v>
          </cell>
          <cell r="CZ61">
            <v>2163.2800526255714</v>
          </cell>
          <cell r="DA61">
            <v>2301.9508408604738</v>
          </cell>
          <cell r="DB61">
            <v>2436.3189978260903</v>
          </cell>
          <cell r="DC61">
            <v>2572.9909999542747</v>
          </cell>
          <cell r="DD61">
            <v>2763.1951830369871</v>
          </cell>
          <cell r="DE61">
            <v>2943.9355198678641</v>
          </cell>
          <cell r="DF61">
            <v>3098.7981874561851</v>
          </cell>
          <cell r="DG61">
            <v>3249.0022480938346</v>
          </cell>
          <cell r="DH61">
            <v>3492.7553410798009</v>
          </cell>
          <cell r="DI61">
            <v>3724.6696618311089</v>
          </cell>
          <cell r="DJ61">
            <v>3904.5617742435579</v>
          </cell>
          <cell r="DK61">
            <v>4070.6400200499838</v>
          </cell>
          <cell r="DL61">
            <v>4378.1754835995844</v>
          </cell>
          <cell r="DM61">
            <v>4672.1763937007227</v>
          </cell>
          <cell r="DN61">
            <v>4882.5475949222791</v>
          </cell>
          <cell r="DP61">
            <v>0</v>
          </cell>
          <cell r="DQ61">
            <v>0</v>
          </cell>
          <cell r="DR61">
            <v>0</v>
          </cell>
          <cell r="DS61">
            <v>0</v>
          </cell>
          <cell r="DT61">
            <v>0</v>
          </cell>
          <cell r="DU61">
            <v>0</v>
          </cell>
          <cell r="DV61">
            <v>0</v>
          </cell>
          <cell r="DW61">
            <v>0</v>
          </cell>
          <cell r="DX61">
            <v>0</v>
          </cell>
          <cell r="DY61">
            <v>0</v>
          </cell>
          <cell r="DZ61">
            <v>0</v>
          </cell>
          <cell r="EA61">
            <v>15.809000000000001</v>
          </cell>
          <cell r="EB61">
            <v>57.459000000000003</v>
          </cell>
          <cell r="EC61">
            <v>110.88602299999999</v>
          </cell>
          <cell r="ED61">
            <v>204.52599999999998</v>
          </cell>
          <cell r="EE61">
            <v>349.80400000000003</v>
          </cell>
          <cell r="EF61">
            <v>567.21699999999998</v>
          </cell>
          <cell r="EG61">
            <v>848.27800000000002</v>
          </cell>
          <cell r="EH61">
            <v>1221.6390000000001</v>
          </cell>
          <cell r="EI61">
            <v>1739.5000000000002</v>
          </cell>
          <cell r="EJ61">
            <v>2421.3130000000001</v>
          </cell>
          <cell r="EK61">
            <v>3255.0789999999997</v>
          </cell>
          <cell r="EL61">
            <v>4285.7970000000005</v>
          </cell>
          <cell r="EM61">
            <v>5497.9163261441845</v>
          </cell>
          <cell r="EN61">
            <v>6901.514683697349</v>
          </cell>
          <cell r="EO61">
            <v>8919.4363250609658</v>
          </cell>
          <cell r="EP61">
            <v>11378.91989031531</v>
          </cell>
          <cell r="EQ61">
            <v>14370.989025248302</v>
          </cell>
          <cell r="ER61">
            <v>18003.539492272568</v>
          </cell>
        </row>
        <row r="62">
          <cell r="A62" t="str">
            <v>Estimated subscription - waterfall method</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7.0659999999999998</v>
          </cell>
          <cell r="AX62">
            <v>8.7430000000000003</v>
          </cell>
          <cell r="AY62">
            <v>11.098000000000001</v>
          </cell>
          <cell r="AZ62">
            <v>13.169999999999998</v>
          </cell>
          <cell r="BA62">
            <v>14.816000000000001</v>
          </cell>
          <cell r="BB62">
            <v>18.375</v>
          </cell>
          <cell r="BC62">
            <v>21.224</v>
          </cell>
          <cell r="BD62">
            <v>24.776022999999999</v>
          </cell>
          <cell r="BE62">
            <v>30.331</v>
          </cell>
          <cell r="BF62">
            <v>34.555</v>
          </cell>
          <cell r="BG62">
            <v>39.540999999999997</v>
          </cell>
          <cell r="BH62">
            <v>46.82</v>
          </cell>
          <cell r="BI62">
            <v>55.279000000000003</v>
          </cell>
          <cell r="BJ62">
            <v>62.88600000000001</v>
          </cell>
          <cell r="BK62">
            <v>71.549133731839362</v>
          </cell>
          <cell r="BL62">
            <v>80.413947695671325</v>
          </cell>
          <cell r="BM62">
            <v>93.006071810866274</v>
          </cell>
          <cell r="BN62">
            <v>104.87626286811233</v>
          </cell>
          <cell r="BO62">
            <v>117.45566032363108</v>
          </cell>
          <cell r="BP62">
            <v>132.78564466000151</v>
          </cell>
          <cell r="BQ62">
            <v>150.49029330032675</v>
          </cell>
          <cell r="BR62">
            <v>167.02141732856145</v>
          </cell>
          <cell r="BS62">
            <v>179.88007944045236</v>
          </cell>
          <cell r="BT62">
            <v>199.92870181808152</v>
          </cell>
          <cell r="BU62">
            <v>222.87439462089571</v>
          </cell>
          <cell r="BV62">
            <v>243.83836760670249</v>
          </cell>
          <cell r="BW62">
            <v>266.1917475717886</v>
          </cell>
          <cell r="BX62">
            <v>289.15502419423984</v>
          </cell>
          <cell r="BY62">
            <v>317.6263839045543</v>
          </cell>
          <cell r="BZ62">
            <v>343.57029159783787</v>
          </cell>
          <cell r="CA62">
            <v>386.99210200032854</v>
          </cell>
          <cell r="CB62">
            <v>401.64442863456202</v>
          </cell>
          <cell r="CC62">
            <v>449.41862872256218</v>
          </cell>
          <cell r="CD62">
            <v>498.87061047123683</v>
          </cell>
          <cell r="CE62">
            <v>548.26252796457561</v>
          </cell>
          <cell r="CF62">
            <v>582.18353332936965</v>
          </cell>
          <cell r="CG62">
            <v>623.49775095354119</v>
          </cell>
          <cell r="CH62">
            <v>667.53479414532694</v>
          </cell>
          <cell r="CI62">
            <v>737.73309340872652</v>
          </cell>
          <cell r="CJ62">
            <v>775.09429326209283</v>
          </cell>
          <cell r="CK62">
            <v>829.01697409977646</v>
          </cell>
          <cell r="CL62">
            <v>892.51923841910934</v>
          </cell>
          <cell r="CM62">
            <v>980.05818668746701</v>
          </cell>
          <cell r="CN62">
            <v>1007.0572282501925</v>
          </cell>
          <cell r="CO62">
            <v>1086.1011404738294</v>
          </cell>
          <cell r="CP62">
            <v>1179.5162250248547</v>
          </cell>
          <cell r="CQ62">
            <v>1280.2544456945116</v>
          </cell>
          <cell r="CR62">
            <v>1344.5013176062855</v>
          </cell>
          <cell r="CS62">
            <v>1388.5433688249109</v>
          </cell>
          <cell r="CT62">
            <v>1467.222569296184</v>
          </cell>
          <cell r="CU62">
            <v>1580.1234089219045</v>
          </cell>
          <cell r="CV62">
            <v>1674.9862438442231</v>
          </cell>
          <cell r="CW62">
            <v>1772.3526252677875</v>
          </cell>
          <cell r="CX62">
            <v>1891.382134865298</v>
          </cell>
          <cell r="CY62">
            <v>2037.9278081797438</v>
          </cell>
          <cell r="CZ62">
            <v>2168.0089863646617</v>
          </cell>
          <cell r="DA62">
            <v>2297.3052080672501</v>
          </cell>
          <cell r="DB62">
            <v>2432.9520070753697</v>
          </cell>
          <cell r="DC62">
            <v>2596.7608534376227</v>
          </cell>
          <cell r="DD62">
            <v>2768.7257263074935</v>
          </cell>
          <cell r="DE62">
            <v>2936.724018344154</v>
          </cell>
          <cell r="DF62">
            <v>3092.7565445660512</v>
          </cell>
          <cell r="DG62">
            <v>3277.4991540716119</v>
          </cell>
          <cell r="DH62">
            <v>3499.3004699705461</v>
          </cell>
          <cell r="DI62">
            <v>3714.2125391960335</v>
          </cell>
          <cell r="DJ62">
            <v>3895.1414561609504</v>
          </cell>
          <cell r="DK62">
            <v>4105.0945129259617</v>
          </cell>
          <cell r="DL62">
            <v>4385.9973272320203</v>
          </cell>
          <cell r="DM62">
            <v>4657.6367924759898</v>
          </cell>
          <cell r="DN62">
            <v>4868.8811810329535</v>
          </cell>
          <cell r="DT62">
            <v>0</v>
          </cell>
          <cell r="DU62">
            <v>0</v>
          </cell>
          <cell r="DV62">
            <v>0</v>
          </cell>
          <cell r="DW62">
            <v>0</v>
          </cell>
          <cell r="DX62">
            <v>0</v>
          </cell>
          <cell r="DY62">
            <v>0</v>
          </cell>
          <cell r="DZ62">
            <v>0</v>
          </cell>
          <cell r="EA62">
            <v>15.809000000000001</v>
          </cell>
          <cell r="EB62">
            <v>57.459000000000003</v>
          </cell>
          <cell r="EC62">
            <v>110.88602299999999</v>
          </cell>
          <cell r="ED62">
            <v>204.52600000000001</v>
          </cell>
          <cell r="EE62">
            <v>349.84541610648932</v>
          </cell>
          <cell r="EF62">
            <v>567.75301561252081</v>
          </cell>
          <cell r="EG62">
            <v>846.52154348613215</v>
          </cell>
          <cell r="EH62">
            <v>1216.5434472684208</v>
          </cell>
          <cell r="EI62">
            <v>1736.9257698286897</v>
          </cell>
          <cell r="EJ62">
            <v>2421.4786063928132</v>
          </cell>
          <cell r="EK62">
            <v>3234.3635991897054</v>
          </cell>
          <cell r="EL62">
            <v>4252.732780436344</v>
          </cell>
          <cell r="EM62">
            <v>5480.5217014218924</v>
          </cell>
          <cell r="EN62">
            <v>6918.8444128992132</v>
          </cell>
          <cell r="EO62">
            <v>8936.1940096870258</v>
          </cell>
          <cell r="EP62">
            <v>11394.967142655321</v>
          </cell>
          <cell r="EQ62">
            <v>14386.153619399143</v>
          </cell>
          <cell r="ER62">
            <v>18017.609813666924</v>
          </cell>
        </row>
        <row r="63">
          <cell r="A63" t="str">
            <v>Delta</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8.8662681606450633E-3</v>
          </cell>
          <cell r="BL63">
            <v>-3.7947695671320503E-2</v>
          </cell>
          <cell r="BM63">
            <v>-1.407181086626963E-2</v>
          </cell>
          <cell r="BN63">
            <v>1.737131887665555E-3</v>
          </cell>
          <cell r="BO63">
            <v>-8.0660323631079223E-2</v>
          </cell>
          <cell r="BP63">
            <v>-6.1644660001519469E-2</v>
          </cell>
          <cell r="BQ63">
            <v>-0.12329330032676467</v>
          </cell>
          <cell r="BR63">
            <v>-0.27041732856145018</v>
          </cell>
          <cell r="BS63">
            <v>2.6920559547647827E-2</v>
          </cell>
          <cell r="BT63">
            <v>0.53229818191849176</v>
          </cell>
          <cell r="BU63">
            <v>0.33360537910428434</v>
          </cell>
          <cell r="BV63">
            <v>0.86363239329750741</v>
          </cell>
          <cell r="BW63">
            <v>1.2302524282114291</v>
          </cell>
          <cell r="BX63">
            <v>1.5239758057601307</v>
          </cell>
          <cell r="BY63">
            <v>1.3076160954457237</v>
          </cell>
          <cell r="BZ63">
            <v>1.0337084021621195</v>
          </cell>
          <cell r="CA63">
            <v>0.59189799967145973</v>
          </cell>
          <cell r="CB63">
            <v>1.027571365438007</v>
          </cell>
          <cell r="CC63">
            <v>8.737127743779638E-2</v>
          </cell>
          <cell r="CD63">
            <v>0.86738952876316944</v>
          </cell>
          <cell r="CE63">
            <v>-4.9375279645755654</v>
          </cell>
          <cell r="CF63">
            <v>3.0984666706303869</v>
          </cell>
          <cell r="CG63">
            <v>3.0692490464588218</v>
          </cell>
          <cell r="CH63">
            <v>-1.3957941453269314</v>
          </cell>
          <cell r="CI63">
            <v>2.2529065912734723</v>
          </cell>
          <cell r="CJ63">
            <v>5.8947067379071996</v>
          </cell>
          <cell r="CK63">
            <v>5.8930259002235061</v>
          </cell>
          <cell r="CL63">
            <v>6.6747615808906176</v>
          </cell>
          <cell r="CM63">
            <v>14.643813312532984</v>
          </cell>
          <cell r="CN63">
            <v>8.4707717498075681</v>
          </cell>
          <cell r="CO63">
            <v>5.2848595261705213</v>
          </cell>
          <cell r="CP63">
            <v>4.664774975145292</v>
          </cell>
          <cell r="CQ63">
            <v>-1.0373638546054735</v>
          </cell>
          <cell r="CR63">
            <v>13.599881398686193</v>
          </cell>
          <cell r="CS63">
            <v>5.1354235794626675</v>
          </cell>
          <cell r="CT63">
            <v>-0.30331640125041304</v>
          </cell>
          <cell r="CU63">
            <v>-17.124630894167467</v>
          </cell>
          <cell r="CV63">
            <v>-4.1004487921172768</v>
          </cell>
          <cell r="CW63">
            <v>2.6318440972945609</v>
          </cell>
          <cell r="CX63">
            <v>1.2635063871264265</v>
          </cell>
          <cell r="CY63">
            <v>-20.041374430914857</v>
          </cell>
          <cell r="CZ63">
            <v>-4.7289337390902801</v>
          </cell>
          <cell r="DA63">
            <v>4.64563279322374</v>
          </cell>
          <cell r="DB63">
            <v>3.3669907507205608</v>
          </cell>
          <cell r="DC63">
            <v>-23.769853483348015</v>
          </cell>
          <cell r="DD63">
            <v>-5.530543270506314</v>
          </cell>
          <cell r="DE63">
            <v>7.2115015237100124</v>
          </cell>
          <cell r="DF63">
            <v>6.0416428901339714</v>
          </cell>
          <cell r="DG63">
            <v>-28.49690597777726</v>
          </cell>
          <cell r="DH63">
            <v>-6.5451288907452181</v>
          </cell>
          <cell r="DI63">
            <v>10.457122635075393</v>
          </cell>
          <cell r="DJ63">
            <v>9.4203180826075368</v>
          </cell>
          <cell r="DK63">
            <v>-34.454492875977849</v>
          </cell>
          <cell r="DL63">
            <v>-7.8218436324359573</v>
          </cell>
          <cell r="DM63">
            <v>14.539601224732905</v>
          </cell>
          <cell r="DN63">
            <v>13.666413889325668</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-4.1416106489279514E-2</v>
          </cell>
          <cell r="EF63">
            <v>-0.53601561252081353</v>
          </cell>
          <cell r="EG63">
            <v>1.7564565138679313</v>
          </cell>
          <cell r="EH63">
            <v>5.0955527315794029</v>
          </cell>
          <cell r="EI63">
            <v>2.5742301713104325</v>
          </cell>
          <cell r="EJ63">
            <v>-0.16560639281328804</v>
          </cell>
          <cell r="EK63">
            <v>20.715400810294796</v>
          </cell>
          <cell r="EL63">
            <v>33.064219563656366</v>
          </cell>
          <cell r="EM63">
            <v>17.394624722292974</v>
          </cell>
          <cell r="EN63">
            <v>-17.329729201863756</v>
          </cell>
          <cell r="EO63">
            <v>-16.757684626060836</v>
          </cell>
          <cell r="EP63">
            <v>-16.047252340010346</v>
          </cell>
          <cell r="EQ63">
            <v>-15.164594150839548</v>
          </cell>
          <cell r="ER63">
            <v>-14.070321394355233</v>
          </cell>
        </row>
        <row r="64">
          <cell r="A64" t="str">
            <v>% delta</v>
          </cell>
          <cell r="C64" t="e">
            <v>#DIV/0!</v>
          </cell>
          <cell r="D64" t="e">
            <v>#DIV/0!</v>
          </cell>
          <cell r="E64" t="e">
            <v>#DIV/0!</v>
          </cell>
          <cell r="F64" t="e">
            <v>#DIV/0!</v>
          </cell>
          <cell r="G64" t="e">
            <v>#DIV/0!</v>
          </cell>
          <cell r="H64" t="e">
            <v>#DIV/0!</v>
          </cell>
          <cell r="I64" t="e">
            <v>#DIV/0!</v>
          </cell>
          <cell r="J64" t="e">
            <v>#DIV/0!</v>
          </cell>
          <cell r="K64" t="e">
            <v>#DIV/0!</v>
          </cell>
          <cell r="L64" t="e">
            <v>#DIV/0!</v>
          </cell>
          <cell r="M64" t="e">
            <v>#DIV/0!</v>
          </cell>
          <cell r="N64" t="e">
            <v>#DIV/0!</v>
          </cell>
          <cell r="O64" t="e">
            <v>#DIV/0!</v>
          </cell>
          <cell r="P64" t="e">
            <v>#DIV/0!</v>
          </cell>
          <cell r="Q64" t="e">
            <v>#DIV/0!</v>
          </cell>
          <cell r="R64" t="e">
            <v>#DIV/0!</v>
          </cell>
          <cell r="S64" t="e">
            <v>#DIV/0!</v>
          </cell>
          <cell r="T64" t="e">
            <v>#DIV/0!</v>
          </cell>
          <cell r="U64" t="e">
            <v>#DIV/0!</v>
          </cell>
          <cell r="V64" t="e">
            <v>#DIV/0!</v>
          </cell>
          <cell r="W64" t="e">
            <v>#DIV/0!</v>
          </cell>
          <cell r="X64" t="e">
            <v>#DIV/0!</v>
          </cell>
          <cell r="Y64" t="e">
            <v>#DIV/0!</v>
          </cell>
          <cell r="Z64" t="e">
            <v>#DIV/0!</v>
          </cell>
          <cell r="AA64" t="e">
            <v>#DIV/0!</v>
          </cell>
          <cell r="AB64" t="e">
            <v>#DIV/0!</v>
          </cell>
          <cell r="AC64" t="e">
            <v>#DIV/0!</v>
          </cell>
          <cell r="AD64" t="e">
            <v>#DIV/0!</v>
          </cell>
          <cell r="AE64" t="e">
            <v>#DIV/0!</v>
          </cell>
          <cell r="AF64" t="e">
            <v>#DIV/0!</v>
          </cell>
          <cell r="AG64" t="e">
            <v>#DIV/0!</v>
          </cell>
          <cell r="AH64" t="e">
            <v>#DIV/0!</v>
          </cell>
          <cell r="AI64" t="e">
            <v>#DIV/0!</v>
          </cell>
          <cell r="AJ64" t="e">
            <v>#DIV/0!</v>
          </cell>
          <cell r="AK64" t="e">
            <v>#DIV/0!</v>
          </cell>
          <cell r="AL64" t="e">
            <v>#DIV/0!</v>
          </cell>
          <cell r="AM64" t="e">
            <v>#DIV/0!</v>
          </cell>
          <cell r="AN64" t="e">
            <v>#DIV/0!</v>
          </cell>
          <cell r="AO64" t="e">
            <v>#DIV/0!</v>
          </cell>
          <cell r="AP64" t="e">
            <v>#DIV/0!</v>
          </cell>
          <cell r="AQ64" t="e">
            <v>#DIV/0!</v>
          </cell>
          <cell r="AR64" t="e">
            <v>#DIV/0!</v>
          </cell>
          <cell r="AS64" t="e">
            <v>#DIV/0!</v>
          </cell>
          <cell r="AT64" t="e">
            <v>#DIV/0!</v>
          </cell>
          <cell r="AU64" t="e">
            <v>#DIV/0!</v>
          </cell>
          <cell r="AV64" t="e">
            <v>#DIV/0!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1.2391859549087947E-4</v>
          </cell>
          <cell r="BL64">
            <v>-4.7190439915889559E-4</v>
          </cell>
          <cell r="BM64">
            <v>-1.5129991614837301E-4</v>
          </cell>
          <cell r="BN64">
            <v>1.6563632610155921E-5</v>
          </cell>
          <cell r="BO64">
            <v>-6.8672998311725131E-4</v>
          </cell>
          <cell r="BP64">
            <v>-4.6424190023974798E-4</v>
          </cell>
          <cell r="BQ64">
            <v>-8.1927742728704622E-4</v>
          </cell>
          <cell r="BR64">
            <v>-1.619057800410606E-3</v>
          </cell>
          <cell r="BS64">
            <v>1.4965837035085805E-4</v>
          </cell>
          <cell r="BT64">
            <v>2.6624400452659458E-3</v>
          </cell>
          <cell r="BU64">
            <v>1.4968313415801848E-3</v>
          </cell>
          <cell r="BV64">
            <v>3.5418232240238545E-3</v>
          </cell>
          <cell r="BW64">
            <v>4.6216775667684562E-3</v>
          </cell>
          <cell r="BX64">
            <v>5.2704455335226275E-3</v>
          </cell>
          <cell r="BY64">
            <v>4.1168371448596641E-3</v>
          </cell>
          <cell r="BZ64">
            <v>3.0087246407559665E-3</v>
          </cell>
          <cell r="CA64">
            <v>1.5294834096406529E-3</v>
          </cell>
          <cell r="CB64">
            <v>2.5584106044527211E-3</v>
          </cell>
          <cell r="CC64">
            <v>1.9440955904781454E-4</v>
          </cell>
          <cell r="CD64">
            <v>1.7387064111551442E-3</v>
          </cell>
          <cell r="CE64">
            <v>-9.0057731702112287E-3</v>
          </cell>
          <cell r="CF64">
            <v>5.3221475587106326E-3</v>
          </cell>
          <cell r="CG64">
            <v>4.9226305014973271E-3</v>
          </cell>
          <cell r="CH64">
            <v>-2.0909683773323584E-3</v>
          </cell>
          <cell r="CI64">
            <v>3.053823410393397E-3</v>
          </cell>
          <cell r="CJ64">
            <v>7.6051479015519785E-3</v>
          </cell>
          <cell r="CK64">
            <v>7.1084502300120533E-3</v>
          </cell>
          <cell r="CL64">
            <v>7.4785632550771197E-3</v>
          </cell>
          <cell r="CM64">
            <v>1.4941779489673124E-2</v>
          </cell>
          <cell r="CN64">
            <v>8.4114105059609479E-3</v>
          </cell>
          <cell r="CO64">
            <v>4.8658999877901898E-3</v>
          </cell>
          <cell r="CP64">
            <v>3.9548205240220735E-3</v>
          </cell>
          <cell r="CQ64">
            <v>-8.1027943944589342E-4</v>
          </cell>
          <cell r="CR64">
            <v>1.0115186367313456E-2</v>
          </cell>
          <cell r="CS64">
            <v>3.6984250508564909E-3</v>
          </cell>
          <cell r="CT64">
            <v>-2.0672828212831007E-4</v>
          </cell>
          <cell r="CU64">
            <v>-1.0837527497837285E-2</v>
          </cell>
          <cell r="CV64">
            <v>-2.4480492345455573E-3</v>
          </cell>
          <cell r="CW64">
            <v>1.4849438310262641E-3</v>
          </cell>
          <cell r="CX64">
            <v>6.6803337296850174E-4</v>
          </cell>
          <cell r="CY64">
            <v>-9.8341925314889833E-3</v>
          </cell>
          <cell r="CZ64">
            <v>-2.1812334583629633E-3</v>
          </cell>
          <cell r="DA64">
            <v>2.022209664136021E-3</v>
          </cell>
          <cell r="DB64">
            <v>1.3839117010647772E-3</v>
          </cell>
          <cell r="DC64">
            <v>-9.1536551977364766E-3</v>
          </cell>
          <cell r="DD64">
            <v>-1.9975049236393705E-3</v>
          </cell>
          <cell r="DE64">
            <v>2.4556279305318895E-3</v>
          </cell>
          <cell r="DF64">
            <v>1.9534815634774105E-3</v>
          </cell>
          <cell r="DG64">
            <v>-8.6947103990479002E-3</v>
          </cell>
          <cell r="DH64">
            <v>-1.8704106569048529E-3</v>
          </cell>
          <cell r="DI64">
            <v>2.8154346378193029E-3</v>
          </cell>
          <cell r="DJ64">
            <v>2.4184790690227054E-3</v>
          </cell>
          <cell r="DK64">
            <v>-8.3931058755136734E-3</v>
          </cell>
          <cell r="DL64">
            <v>-1.7833671680261842E-3</v>
          </cell>
          <cell r="DM64">
            <v>3.1216691795763474E-3</v>
          </cell>
          <cell r="DN64">
            <v>2.806889998171247E-3</v>
          </cell>
          <cell r="DP64" t="e">
            <v>#DIV/0!</v>
          </cell>
          <cell r="DQ64" t="e">
            <v>#DIV/0!</v>
          </cell>
          <cell r="DR64" t="e">
            <v>#DIV/0!</v>
          </cell>
          <cell r="DS64" t="e">
            <v>#DIV/0!</v>
          </cell>
          <cell r="DT64" t="e">
            <v>#DIV/0!</v>
          </cell>
          <cell r="DU64" t="e">
            <v>#DIV/0!</v>
          </cell>
          <cell r="DV64" t="e">
            <v>#DIV/0!</v>
          </cell>
          <cell r="DW64" t="e">
            <v>#DIV/0!</v>
          </cell>
          <cell r="DX64" t="e">
            <v>#DIV/0!</v>
          </cell>
          <cell r="DY64" t="e">
            <v>#DIV/0!</v>
          </cell>
          <cell r="DZ64" t="e">
            <v>#DIV/0!</v>
          </cell>
          <cell r="EA64">
            <v>0</v>
          </cell>
          <cell r="EB64">
            <v>0</v>
          </cell>
          <cell r="EC64">
            <v>0</v>
          </cell>
          <cell r="ED64">
            <v>0</v>
          </cell>
          <cell r="EE64">
            <v>-1.1838401929120668E-4</v>
          </cell>
          <cell r="EF64">
            <v>-9.4409998323397026E-4</v>
          </cell>
          <cell r="EG64">
            <v>2.0749105883761665E-3</v>
          </cell>
          <cell r="EH64">
            <v>4.1885497332796451E-3</v>
          </cell>
          <cell r="EI64">
            <v>1.4820611312389431E-3</v>
          </cell>
          <cell r="EJ64">
            <v>-6.8390607447788021E-5</v>
          </cell>
          <cell r="EK64">
            <v>6.4047841793311022E-3</v>
          </cell>
          <cell r="EL64">
            <v>7.7748171048415138E-3</v>
          </cell>
          <cell r="EM64">
            <v>3.1738994332928261E-3</v>
          </cell>
          <cell r="EN64">
            <v>-2.5047143955940765E-3</v>
          </cell>
          <cell r="EO64">
            <v>-1.8752597143587568E-3</v>
          </cell>
          <cell r="EP64">
            <v>-1.4082754376658624E-3</v>
          </cell>
          <cell r="EQ64">
            <v>-1.0541104003222168E-3</v>
          </cell>
          <cell r="ER64">
            <v>-7.8092052940803569E-4</v>
          </cell>
        </row>
        <row r="65">
          <cell r="A65" t="str">
            <v>% of revenues</v>
          </cell>
          <cell r="C65" t="str">
            <v>NA</v>
          </cell>
          <cell r="D65" t="str">
            <v>NA</v>
          </cell>
          <cell r="E65" t="str">
            <v>NA</v>
          </cell>
          <cell r="F65" t="str">
            <v>NA</v>
          </cell>
          <cell r="G65" t="str">
            <v>NA</v>
          </cell>
          <cell r="H65" t="str">
            <v>NA</v>
          </cell>
          <cell r="I65" t="str">
            <v>NA</v>
          </cell>
          <cell r="J65" t="str">
            <v>NA</v>
          </cell>
          <cell r="K65" t="str">
            <v>NA</v>
          </cell>
          <cell r="L65" t="str">
            <v>NA</v>
          </cell>
          <cell r="M65" t="str">
            <v>NA</v>
          </cell>
          <cell r="N65" t="str">
            <v>NA</v>
          </cell>
          <cell r="O65" t="str">
            <v>NA</v>
          </cell>
          <cell r="P65" t="str">
            <v>NA</v>
          </cell>
          <cell r="Q65" t="str">
            <v>NA</v>
          </cell>
          <cell r="R65" t="str">
            <v>NA</v>
          </cell>
          <cell r="S65" t="str">
            <v>NA</v>
          </cell>
          <cell r="T65" t="str">
            <v>NA</v>
          </cell>
          <cell r="U65" t="str">
            <v>NA</v>
          </cell>
          <cell r="V65" t="str">
            <v>NA</v>
          </cell>
          <cell r="W65" t="str">
            <v>NA</v>
          </cell>
          <cell r="X65" t="str">
            <v>NA</v>
          </cell>
          <cell r="Y65" t="str">
            <v>NA</v>
          </cell>
          <cell r="Z65" t="str">
            <v>NA</v>
          </cell>
          <cell r="AA65" t="str">
            <v>NA</v>
          </cell>
          <cell r="AB65" t="str">
            <v>NA</v>
          </cell>
          <cell r="AC65" t="str">
            <v>NA</v>
          </cell>
          <cell r="AD65" t="str">
            <v>NA</v>
          </cell>
          <cell r="AE65" t="str">
            <v>NA</v>
          </cell>
          <cell r="AF65" t="str">
            <v>NA</v>
          </cell>
          <cell r="AG65" t="str">
            <v>NA</v>
          </cell>
          <cell r="AH65" t="str">
            <v>NA</v>
          </cell>
          <cell r="AI65" t="str">
            <v>NA</v>
          </cell>
          <cell r="AJ65" t="str">
            <v>NA</v>
          </cell>
          <cell r="AK65" t="str">
            <v>NA</v>
          </cell>
          <cell r="AL65" t="str">
            <v>NA</v>
          </cell>
          <cell r="AM65" t="str">
            <v>NA</v>
          </cell>
          <cell r="AN65">
            <v>0</v>
          </cell>
          <cell r="AO65" t="str">
            <v>NA</v>
          </cell>
          <cell r="AP65" t="str">
            <v>NA</v>
          </cell>
          <cell r="AQ65" t="str">
            <v>NA</v>
          </cell>
          <cell r="AR65">
            <v>0</v>
          </cell>
          <cell r="AS65" t="str">
            <v>NA</v>
          </cell>
          <cell r="AT65" t="str">
            <v>NA</v>
          </cell>
          <cell r="AU65" t="str">
            <v>NA</v>
          </cell>
          <cell r="AV65" t="str">
            <v>NA</v>
          </cell>
          <cell r="AW65">
            <v>0.9302264349657714</v>
          </cell>
          <cell r="AX65">
            <v>0.93598115833422535</v>
          </cell>
          <cell r="AY65">
            <v>0.93709364181372967</v>
          </cell>
          <cell r="AZ65">
            <v>0.90527907616167169</v>
          </cell>
          <cell r="BA65">
            <v>0.89306811332127789</v>
          </cell>
          <cell r="BB65">
            <v>0.86045422617653944</v>
          </cell>
          <cell r="BC65">
            <v>0.84182135491036014</v>
          </cell>
          <cell r="BD65">
            <v>0.84029698515247209</v>
          </cell>
          <cell r="BE65">
            <v>0.88694914758604548</v>
          </cell>
          <cell r="BF65">
            <v>0.8820001020981163</v>
          </cell>
          <cell r="BG65">
            <v>0.8336530960764057</v>
          </cell>
          <cell r="BH65">
            <v>0.82467326593158841</v>
          </cell>
          <cell r="BI65">
            <v>0.85910327142746146</v>
          </cell>
          <cell r="BJ65">
            <v>0.83667278678055401</v>
          </cell>
          <cell r="BK65">
            <v>0.83266037538253879</v>
          </cell>
          <cell r="BL65">
            <v>0.78628866584492574</v>
          </cell>
          <cell r="BM65">
            <v>0.83581552953019533</v>
          </cell>
          <cell r="BN65">
            <v>0.83748303122255052</v>
          </cell>
          <cell r="BO65">
            <v>0.84387806456251346</v>
          </cell>
          <cell r="BP65">
            <v>0.79591261536247349</v>
          </cell>
          <cell r="BQ65">
            <v>0.84139285554411569</v>
          </cell>
          <cell r="BR65">
            <v>0.84215975434839696</v>
          </cell>
          <cell r="BS65">
            <v>0.84876205393368687</v>
          </cell>
          <cell r="BT65">
            <v>0.81251722628447287</v>
          </cell>
          <cell r="BU65">
            <v>0.8547118514263834</v>
          </cell>
          <cell r="BV65">
            <v>0.85664974619289347</v>
          </cell>
          <cell r="BW65">
            <v>0.87427381415527061</v>
          </cell>
          <cell r="BX65">
            <v>0.85165186105381585</v>
          </cell>
          <cell r="BY65">
            <v>0.89173395665108379</v>
          </cell>
          <cell r="BZ65">
            <v>0.8935296344505349</v>
          </cell>
          <cell r="CA65">
            <v>0.90394173113386866</v>
          </cell>
          <cell r="CB65">
            <v>0.89830410165574293</v>
          </cell>
          <cell r="CC65">
            <v>0.91293980973735311</v>
          </cell>
          <cell r="CD65">
            <v>0.91011540850092798</v>
          </cell>
          <cell r="CE65">
            <v>0.92210575979851395</v>
          </cell>
          <cell r="CF65">
            <v>0.92746444055678101</v>
          </cell>
          <cell r="CG65">
            <v>0.93087177628187323</v>
          </cell>
          <cell r="CH65">
            <v>0.93108865720583522</v>
          </cell>
          <cell r="CI65">
            <v>0.93796629848680368</v>
          </cell>
          <cell r="CJ65">
            <v>0.93654545367332453</v>
          </cell>
          <cell r="CK65">
            <v>0.94251399530159752</v>
          </cell>
          <cell r="CL65">
            <v>0.94475579286679401</v>
          </cell>
          <cell r="CM65">
            <v>0.95064892864652029</v>
          </cell>
          <cell r="CN65">
            <v>0.94834532078495237</v>
          </cell>
          <cell r="CO65">
            <v>0.94740670780192571</v>
          </cell>
          <cell r="CP65">
            <v>0.94709476698151696</v>
          </cell>
          <cell r="CQ65">
            <v>0.95354020794502059</v>
          </cell>
          <cell r="CR65">
            <v>0.95485353727887223</v>
          </cell>
          <cell r="CS65">
            <v>0.95462152563071978</v>
          </cell>
          <cell r="CT65">
            <v>0.95552699758735293</v>
          </cell>
          <cell r="CU65">
            <v>0.95692779926253668</v>
          </cell>
          <cell r="CV65">
            <v>0.95857525907173924</v>
          </cell>
          <cell r="CW65">
            <v>0.95973509578674066</v>
          </cell>
          <cell r="CX65">
            <v>0.96087920160370976</v>
          </cell>
          <cell r="CY65">
            <v>0.9619432530786225</v>
          </cell>
          <cell r="CZ65">
            <v>0.96335500170858701</v>
          </cell>
          <cell r="DA65">
            <v>0.96434749085452898</v>
          </cell>
          <cell r="DB65">
            <v>0.96509333721329504</v>
          </cell>
          <cell r="DC65">
            <v>0.96574832155570522</v>
          </cell>
          <cell r="DD65">
            <v>0.96710760487107073</v>
          </cell>
          <cell r="DE65">
            <v>0.96807786262813211</v>
          </cell>
          <cell r="DF65">
            <v>0.96861933105235998</v>
          </cell>
          <cell r="DG65">
            <v>0.96903511895407746</v>
          </cell>
          <cell r="DH65">
            <v>0.97034930108904238</v>
          </cell>
          <cell r="DI65">
            <v>0.97130297297986556</v>
          </cell>
          <cell r="DJ65">
            <v>0.97171805883547213</v>
          </cell>
          <cell r="DK65">
            <v>0.97196408014049784</v>
          </cell>
          <cell r="DL65">
            <v>0.97317987125798022</v>
          </cell>
          <cell r="DM65">
            <v>0.97407907372986957</v>
          </cell>
          <cell r="DN65">
            <v>0.97439589982332442</v>
          </cell>
          <cell r="DP65" t="str">
            <v>NA</v>
          </cell>
          <cell r="DQ65" t="str">
            <v>NA</v>
          </cell>
          <cell r="DR65" t="str">
            <v>NA</v>
          </cell>
          <cell r="DS65" t="str">
            <v>NA</v>
          </cell>
          <cell r="DT65" t="str">
            <v>NA</v>
          </cell>
          <cell r="DU65" t="str">
            <v>NA</v>
          </cell>
          <cell r="DV65" t="str">
            <v>NA</v>
          </cell>
          <cell r="DW65" t="str">
            <v>NA</v>
          </cell>
          <cell r="DX65" t="str">
            <v>NA</v>
          </cell>
          <cell r="DY65" t="str">
            <v>NA</v>
          </cell>
          <cell r="DZ65">
            <v>0</v>
          </cell>
          <cell r="EA65">
            <v>0.56460714285714286</v>
          </cell>
          <cell r="EB65">
            <v>0.89310805769709034</v>
          </cell>
          <cell r="EC65">
            <v>0.86581111143705658</v>
          </cell>
          <cell r="ED65">
            <v>0.83921185661764697</v>
          </cell>
          <cell r="EE65">
            <v>0.8237466148592959</v>
          </cell>
          <cell r="EF65">
            <v>0.83101047082833379</v>
          </cell>
          <cell r="EG65">
            <v>0.84365477185026072</v>
          </cell>
          <cell r="EH65">
            <v>0.87855273557313029</v>
          </cell>
          <cell r="EI65">
            <v>0.90670077675510086</v>
          </cell>
          <cell r="EJ65">
            <v>0.9281271657334208</v>
          </cell>
          <cell r="EK65">
            <v>0.94065547212678624</v>
          </cell>
          <cell r="EL65">
            <v>0.94829343349816064</v>
          </cell>
          <cell r="EM65">
            <v>0.95466831031136801</v>
          </cell>
          <cell r="EN65">
            <v>0.95913007927097271</v>
          </cell>
          <cell r="EO65">
            <v>0.96376516765999609</v>
          </cell>
          <cell r="EP65">
            <v>0.96746175671884393</v>
          </cell>
          <cell r="EQ65">
            <v>0.97067018710259412</v>
          </cell>
          <cell r="ER65">
            <v>0.97346723423019332</v>
          </cell>
        </row>
        <row r="66">
          <cell r="A66" t="str">
            <v>% growth y-o-y</v>
          </cell>
          <cell r="C66" t="str">
            <v>NA</v>
          </cell>
          <cell r="D66" t="str">
            <v>NA</v>
          </cell>
          <cell r="E66" t="str">
            <v>NA</v>
          </cell>
          <cell r="F66" t="str">
            <v>NA</v>
          </cell>
          <cell r="G66" t="str">
            <v>NA</v>
          </cell>
          <cell r="H66" t="str">
            <v>NA</v>
          </cell>
          <cell r="I66" t="str">
            <v>NA</v>
          </cell>
          <cell r="J66" t="str">
            <v>NA</v>
          </cell>
          <cell r="K66" t="str">
            <v>NA</v>
          </cell>
          <cell r="L66" t="str">
            <v>NA</v>
          </cell>
          <cell r="M66" t="str">
            <v>NA</v>
          </cell>
          <cell r="N66" t="str">
            <v>NA</v>
          </cell>
          <cell r="O66" t="str">
            <v>NA</v>
          </cell>
          <cell r="P66" t="str">
            <v>NA</v>
          </cell>
          <cell r="Q66" t="str">
            <v>NA</v>
          </cell>
          <cell r="R66" t="str">
            <v>NA</v>
          </cell>
          <cell r="S66" t="str">
            <v>NA</v>
          </cell>
          <cell r="T66" t="str">
            <v>NA</v>
          </cell>
          <cell r="U66" t="str">
            <v>NA</v>
          </cell>
          <cell r="V66" t="str">
            <v>NA</v>
          </cell>
          <cell r="W66" t="str">
            <v>NA</v>
          </cell>
          <cell r="X66" t="str">
            <v>NA</v>
          </cell>
          <cell r="Y66" t="str">
            <v>NA</v>
          </cell>
          <cell r="Z66" t="str">
            <v>NA</v>
          </cell>
          <cell r="AA66" t="str">
            <v>NA</v>
          </cell>
          <cell r="AB66" t="str">
            <v>NA</v>
          </cell>
          <cell r="AC66" t="str">
            <v>NA</v>
          </cell>
          <cell r="AD66" t="str">
            <v>NA</v>
          </cell>
          <cell r="AE66" t="str">
            <v>NA</v>
          </cell>
          <cell r="AF66" t="str">
            <v>NA</v>
          </cell>
          <cell r="AG66" t="str">
            <v>NA</v>
          </cell>
          <cell r="AH66" t="str">
            <v>NA</v>
          </cell>
          <cell r="AI66" t="str">
            <v>NA</v>
          </cell>
          <cell r="AJ66" t="str">
            <v>NA</v>
          </cell>
          <cell r="AK66" t="str">
            <v>NA</v>
          </cell>
          <cell r="AL66" t="str">
            <v>NA</v>
          </cell>
          <cell r="AM66" t="str">
            <v>NA</v>
          </cell>
          <cell r="AN66" t="str">
            <v>NA</v>
          </cell>
          <cell r="AO66" t="str">
            <v>NA</v>
          </cell>
          <cell r="AP66" t="str">
            <v>NA</v>
          </cell>
          <cell r="AQ66" t="str">
            <v>NA</v>
          </cell>
          <cell r="AR66" t="str">
            <v>NA</v>
          </cell>
          <cell r="AS66" t="str">
            <v>NA</v>
          </cell>
          <cell r="AT66" t="str">
            <v>NA</v>
          </cell>
          <cell r="AU66" t="str">
            <v>NA</v>
          </cell>
          <cell r="AV66" t="str">
            <v>NA</v>
          </cell>
          <cell r="AW66" t="str">
            <v>NA</v>
          </cell>
          <cell r="AX66" t="str">
            <v>NA</v>
          </cell>
          <cell r="AY66" t="str">
            <v>NA</v>
          </cell>
          <cell r="AZ66" t="str">
            <v>NA</v>
          </cell>
          <cell r="BA66" t="str">
            <v>NA</v>
          </cell>
          <cell r="BB66" t="str">
            <v>NA</v>
          </cell>
          <cell r="BC66">
            <v>0.91241665164894559</v>
          </cell>
          <cell r="BD66">
            <v>0.8812470007593014</v>
          </cell>
          <cell r="BE66">
            <v>1.0471787257019436</v>
          </cell>
          <cell r="BF66">
            <v>0.8805442176870748</v>
          </cell>
          <cell r="BG66">
            <v>0.86303241613267989</v>
          </cell>
          <cell r="BH66">
            <v>0.88973024443834281</v>
          </cell>
          <cell r="BI66">
            <v>0.8225248096007387</v>
          </cell>
          <cell r="BJ66">
            <v>0.81988134857473605</v>
          </cell>
          <cell r="BK66">
            <v>0.80971649680078928</v>
          </cell>
          <cell r="BL66">
            <v>0.71670226398974801</v>
          </cell>
          <cell r="BM66">
            <v>0.68223014164510931</v>
          </cell>
          <cell r="BN66">
            <v>0.66774798842349647</v>
          </cell>
          <cell r="BO66">
            <v>0.64027781659632721</v>
          </cell>
          <cell r="BP66">
            <v>0.65128894197272791</v>
          </cell>
          <cell r="BQ66">
            <v>0.6169885581555401</v>
          </cell>
          <cell r="BR66">
            <v>0.58995213486145803</v>
          </cell>
          <cell r="BS66">
            <v>0.53275399361022369</v>
          </cell>
          <cell r="BT66">
            <v>0.51035984448931648</v>
          </cell>
          <cell r="BU66">
            <v>0.48442144885513461</v>
          </cell>
          <cell r="BV66">
            <v>0.46746946045301074</v>
          </cell>
          <cell r="BW66">
            <v>0.4864457747614046</v>
          </cell>
          <cell r="BX66">
            <v>0.45005262869086726</v>
          </cell>
          <cell r="BY66">
            <v>0.4288645568259204</v>
          </cell>
          <cell r="BZ66">
            <v>0.40825984258404091</v>
          </cell>
          <cell r="CA66">
            <v>0.44933475929429867</v>
          </cell>
          <cell r="CB66">
            <v>0.3852806704302687</v>
          </cell>
          <cell r="CC66">
            <v>0.40940131814105718</v>
          </cell>
          <cell r="CD66">
            <v>0.45018049703427709</v>
          </cell>
          <cell r="CE66">
            <v>0.40182515274108344</v>
          </cell>
          <cell r="CF66">
            <v>0.45349564906425077</v>
          </cell>
          <cell r="CG66">
            <v>0.39390130498814258</v>
          </cell>
          <cell r="CH66">
            <v>0.33297647967534982</v>
          </cell>
          <cell r="CI66">
            <v>0.36195831224405262</v>
          </cell>
          <cell r="CJ66">
            <v>0.3343806917007528</v>
          </cell>
          <cell r="CK66">
            <v>0.33251511809590983</v>
          </cell>
          <cell r="CL66">
            <v>0.34985941372596407</v>
          </cell>
          <cell r="CM66">
            <v>0.34421732303043573</v>
          </cell>
          <cell r="CN66">
            <v>0.30031024764753411</v>
          </cell>
          <cell r="CO66">
            <v>0.30718999652657164</v>
          </cell>
          <cell r="CP66">
            <v>0.31693605606798991</v>
          </cell>
          <cell r="CQ66">
            <v>0.28603047127673031</v>
          </cell>
          <cell r="CR66">
            <v>0.33733506019033621</v>
          </cell>
          <cell r="CS66">
            <v>0.27698063966770103</v>
          </cell>
          <cell r="CT66">
            <v>0.23876270003904265</v>
          </cell>
          <cell r="CU66">
            <v>0.22184013973583427</v>
          </cell>
          <cell r="CV66">
            <v>0.23031022745307883</v>
          </cell>
          <cell r="CW66">
            <v>0.27359652671680568</v>
          </cell>
          <cell r="CX66">
            <v>0.29021801133043201</v>
          </cell>
          <cell r="CY66">
            <v>0.29103519600641659</v>
          </cell>
          <cell r="CZ66">
            <v>0.2946905521799057</v>
          </cell>
          <cell r="DA66">
            <v>0.29688506045570606</v>
          </cell>
          <cell r="DB66">
            <v>0.28725575708609652</v>
          </cell>
          <cell r="DC66">
            <v>0.2750920750154271</v>
          </cell>
          <cell r="DD66">
            <v>0.27731736798631279</v>
          </cell>
          <cell r="DE66">
            <v>0.27888722365913554</v>
          </cell>
          <cell r="DF66">
            <v>0.2719180822467091</v>
          </cell>
          <cell r="DG66">
            <v>0.26273362330127603</v>
          </cell>
          <cell r="DH66">
            <v>0.26402773228670906</v>
          </cell>
          <cell r="DI66">
            <v>0.26520082953389124</v>
          </cell>
          <cell r="DJ66">
            <v>0.26002454436983746</v>
          </cell>
          <cell r="DK66">
            <v>0.25288925929127881</v>
          </cell>
          <cell r="DL66">
            <v>0.25350190782216431</v>
          </cell>
          <cell r="DM66">
            <v>0.2543867826935835</v>
          </cell>
          <cell r="DN66">
            <v>0.25047262080216148</v>
          </cell>
          <cell r="DP66" t="str">
            <v>NA</v>
          </cell>
          <cell r="DQ66" t="str">
            <v>NA</v>
          </cell>
          <cell r="DR66" t="str">
            <v>NA</v>
          </cell>
          <cell r="DS66" t="str">
            <v>NA</v>
          </cell>
          <cell r="DT66" t="str">
            <v>NA</v>
          </cell>
          <cell r="DU66" t="str">
            <v>NA</v>
          </cell>
          <cell r="DV66" t="str">
            <v>NA</v>
          </cell>
          <cell r="DW66" t="str">
            <v>NA</v>
          </cell>
          <cell r="DX66" t="str">
            <v>NA</v>
          </cell>
          <cell r="DY66" t="str">
            <v>NA</v>
          </cell>
          <cell r="DZ66" t="str">
            <v>NA</v>
          </cell>
          <cell r="EA66" t="str">
            <v>NA</v>
          </cell>
          <cell r="EB66">
            <v>2.6345752419507873</v>
          </cell>
          <cell r="EC66">
            <v>0.92982862562870894</v>
          </cell>
          <cell r="ED66">
            <v>0.84447051545892293</v>
          </cell>
          <cell r="EE66">
            <v>0.7103155589020469</v>
          </cell>
          <cell r="EF66">
            <v>0.62152805571119818</v>
          </cell>
          <cell r="EG66">
            <v>0.4955087735381698</v>
          </cell>
          <cell r="EH66">
            <v>0.44013990696446226</v>
          </cell>
          <cell r="EI66">
            <v>0.42390673513206445</v>
          </cell>
          <cell r="EJ66">
            <v>0.39195918367346927</v>
          </cell>
          <cell r="EK66">
            <v>0.34434457668215535</v>
          </cell>
          <cell r="EL66">
            <v>0.31664915045072672</v>
          </cell>
          <cell r="EM66">
            <v>0.28282238429495932</v>
          </cell>
          <cell r="EN66">
            <v>0.25529642036904932</v>
          </cell>
          <cell r="EO66">
            <v>0.29238822691058242</v>
          </cell>
          <cell r="EP66">
            <v>0.2757442819950322</v>
          </cell>
          <cell r="EQ66">
            <v>0.26294843129000012</v>
          </cell>
          <cell r="ER66">
            <v>0.25276969181747067</v>
          </cell>
        </row>
        <row r="67">
          <cell r="A67" t="str">
            <v>% growth seq</v>
          </cell>
          <cell r="C67" t="str">
            <v>NA</v>
          </cell>
          <cell r="D67" t="str">
            <v>NA</v>
          </cell>
          <cell r="E67" t="str">
            <v>NA</v>
          </cell>
          <cell r="F67" t="str">
            <v>NA</v>
          </cell>
          <cell r="G67" t="str">
            <v>NA</v>
          </cell>
          <cell r="H67" t="str">
            <v>NA</v>
          </cell>
          <cell r="I67" t="str">
            <v>NA</v>
          </cell>
          <cell r="J67" t="str">
            <v>NA</v>
          </cell>
          <cell r="K67" t="str">
            <v>NA</v>
          </cell>
          <cell r="L67" t="str">
            <v>NA</v>
          </cell>
          <cell r="M67" t="str">
            <v>NA</v>
          </cell>
          <cell r="N67" t="str">
            <v>NA</v>
          </cell>
          <cell r="O67" t="str">
            <v>NA</v>
          </cell>
          <cell r="P67" t="str">
            <v>NA</v>
          </cell>
          <cell r="Q67" t="str">
            <v>NA</v>
          </cell>
          <cell r="R67" t="str">
            <v>NA</v>
          </cell>
          <cell r="S67" t="str">
            <v>NA</v>
          </cell>
          <cell r="T67" t="str">
            <v>NA</v>
          </cell>
          <cell r="U67" t="str">
            <v>NA</v>
          </cell>
          <cell r="V67" t="str">
            <v>NA</v>
          </cell>
          <cell r="W67" t="str">
            <v>NA</v>
          </cell>
          <cell r="X67" t="str">
            <v>NA</v>
          </cell>
          <cell r="Y67" t="str">
            <v>NA</v>
          </cell>
          <cell r="Z67" t="str">
            <v>NA</v>
          </cell>
          <cell r="AA67" t="str">
            <v>NA</v>
          </cell>
          <cell r="AB67" t="str">
            <v>NA</v>
          </cell>
          <cell r="AC67" t="str">
            <v>NA</v>
          </cell>
          <cell r="AD67" t="str">
            <v>NA</v>
          </cell>
          <cell r="AE67" t="str">
            <v>NA</v>
          </cell>
          <cell r="AF67" t="str">
            <v>NA</v>
          </cell>
          <cell r="AG67" t="str">
            <v>NA</v>
          </cell>
          <cell r="AH67" t="str">
            <v>NA</v>
          </cell>
          <cell r="AI67" t="str">
            <v>NA</v>
          </cell>
          <cell r="AJ67" t="str">
            <v>NA</v>
          </cell>
          <cell r="AK67" t="str">
            <v>NA</v>
          </cell>
          <cell r="AL67" t="str">
            <v>NA</v>
          </cell>
          <cell r="AM67" t="str">
            <v>NA</v>
          </cell>
          <cell r="AN67" t="str">
            <v>NA</v>
          </cell>
          <cell r="AO67" t="str">
            <v>NA</v>
          </cell>
          <cell r="AP67" t="str">
            <v>NA</v>
          </cell>
          <cell r="AQ67" t="str">
            <v>NA</v>
          </cell>
          <cell r="AR67" t="str">
            <v>NA</v>
          </cell>
          <cell r="AS67" t="str">
            <v>NA</v>
          </cell>
          <cell r="AT67" t="str">
            <v>NA</v>
          </cell>
          <cell r="AU67" t="str">
            <v>NA</v>
          </cell>
          <cell r="AV67" t="str">
            <v>NA</v>
          </cell>
          <cell r="AW67" t="str">
            <v>NA</v>
          </cell>
          <cell r="AX67">
            <v>0.23733371072742715</v>
          </cell>
          <cell r="AY67">
            <v>0.26935834381791146</v>
          </cell>
          <cell r="AZ67">
            <v>0.18670030636150647</v>
          </cell>
          <cell r="BA67">
            <v>0.1249810174639332</v>
          </cell>
          <cell r="BB67">
            <v>0.24021328293736488</v>
          </cell>
          <cell r="BC67">
            <v>0.1550476190476191</v>
          </cell>
          <cell r="BD67">
            <v>0.16735879193365988</v>
          </cell>
          <cell r="BE67">
            <v>0.22420777539639847</v>
          </cell>
          <cell r="BF67">
            <v>0.13926345982658006</v>
          </cell>
          <cell r="BG67">
            <v>0.14429170886991738</v>
          </cell>
          <cell r="BH67">
            <v>0.18408740294883796</v>
          </cell>
          <cell r="BI67">
            <v>0.18067065356685186</v>
          </cell>
          <cell r="BJ67">
            <v>0.13761102769586997</v>
          </cell>
          <cell r="BK67">
            <v>0.13790032757688531</v>
          </cell>
          <cell r="BL67">
            <v>0.12322870957824428</v>
          </cell>
          <cell r="BM67">
            <v>0.15696227729670542</v>
          </cell>
          <cell r="BN67">
            <v>0.1278174466620785</v>
          </cell>
          <cell r="BO67">
            <v>0.11915749728255687</v>
          </cell>
          <cell r="BP67">
            <v>0.13076890308839184</v>
          </cell>
          <cell r="BQ67">
            <v>0.13292999005454931</v>
          </cell>
          <cell r="BR67">
            <v>0.10896007767661797</v>
          </cell>
          <cell r="BS67">
            <v>7.8896078584236307E-2</v>
          </cell>
          <cell r="BT67">
            <v>0.11424791697932823</v>
          </cell>
          <cell r="BU67">
            <v>0.1134734437122431</v>
          </cell>
          <cell r="BV67">
            <v>9.6295831690620393E-2</v>
          </cell>
          <cell r="BW67">
            <v>9.2847626909465575E-2</v>
          </cell>
          <cell r="BX67">
            <v>8.6967414797585629E-2</v>
          </cell>
          <cell r="BY67">
            <v>9.7203444349265089E-2</v>
          </cell>
          <cell r="BZ67">
            <v>8.0486871891989997E-2</v>
          </cell>
          <cell r="CA67">
            <v>0.12472287030910856</v>
          </cell>
          <cell r="CB67">
            <v>3.8928335535006742E-2</v>
          </cell>
          <cell r="CC67">
            <v>0.11630806214487222</v>
          </cell>
          <cell r="CD67">
            <v>0.11174934261166714</v>
          </cell>
          <cell r="CE67">
            <v>8.7219703124437276E-2</v>
          </cell>
          <cell r="CF67">
            <v>7.7222656789214472E-2</v>
          </cell>
          <cell r="CG67">
            <v>7.0538646327753085E-2</v>
          </cell>
          <cell r="CH67">
            <v>6.315685313781283E-2</v>
          </cell>
          <cell r="CI67">
            <v>0.11085824430036362</v>
          </cell>
          <cell r="CJ67">
            <v>5.5410507766363137E-2</v>
          </cell>
          <cell r="CK67">
            <v>6.9041945533163673E-2</v>
          </cell>
          <cell r="CL67">
            <v>7.6995125223077832E-2</v>
          </cell>
          <cell r="CM67">
            <v>0.10621512154218116</v>
          </cell>
          <cell r="CN67">
            <v>2.093692382241108E-2</v>
          </cell>
          <cell r="CO67">
            <v>7.4698088088166914E-2</v>
          </cell>
          <cell r="CP67">
            <v>8.5024913275413061E-2</v>
          </cell>
          <cell r="CQ67">
            <v>8.0254692348472156E-2</v>
          </cell>
          <cell r="CR67">
            <v>6.1665934801000466E-2</v>
          </cell>
          <cell r="CS67">
            <v>2.6196570200709868E-2</v>
          </cell>
          <cell r="CT67">
            <v>5.2551894231098739E-2</v>
          </cell>
          <cell r="CU67">
            <v>6.5497487297404122E-2</v>
          </cell>
          <cell r="CV67">
            <v>6.9025656667822677E-2</v>
          </cell>
          <cell r="CW67">
            <v>6.2301489797350396E-2</v>
          </cell>
          <cell r="CX67">
            <v>6.6288564163848873E-2</v>
          </cell>
          <cell r="CY67">
            <v>6.6172340858021705E-2</v>
          </cell>
          <cell r="CZ67">
            <v>7.2052428940032165E-2</v>
          </cell>
          <cell r="DA67">
            <v>6.4102097214180809E-2</v>
          </cell>
          <cell r="DB67">
            <v>5.837142765194292E-2</v>
          </cell>
          <cell r="DC67">
            <v>5.6097745102400731E-2</v>
          </cell>
          <cell r="DD67">
            <v>7.392337675728089E-2</v>
          </cell>
          <cell r="DE67">
            <v>6.5409905872891638E-2</v>
          </cell>
          <cell r="DF67">
            <v>5.2603960427527241E-2</v>
          </cell>
          <cell r="DG67">
            <v>4.847171437161335E-2</v>
          </cell>
          <cell r="DH67">
            <v>7.5023984095109242E-2</v>
          </cell>
          <cell r="DI67">
            <v>6.6398673283428522E-2</v>
          </cell>
          <cell r="DJ67">
            <v>4.8297467626702506E-2</v>
          </cell>
          <cell r="DK67">
            <v>4.2534413695785478E-2</v>
          </cell>
          <cell r="DL67">
            <v>7.5549658538910602E-2</v>
          </cell>
          <cell r="DM67">
            <v>6.7151467820887989E-2</v>
          </cell>
          <cell r="DN67">
            <v>4.5026382459615544E-2</v>
          </cell>
        </row>
        <row r="69">
          <cell r="A69" t="str">
            <v>IT</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7.0659999999999998</v>
          </cell>
          <cell r="AX69">
            <v>8.7430000000000003</v>
          </cell>
          <cell r="AY69">
            <v>11.098000000000001</v>
          </cell>
          <cell r="AZ69">
            <v>13.169999999999998</v>
          </cell>
          <cell r="BA69">
            <v>14.816000000000001</v>
          </cell>
          <cell r="BB69">
            <v>18.375</v>
          </cell>
          <cell r="BC69">
            <v>21.224</v>
          </cell>
          <cell r="BD69">
            <v>24.776022999999999</v>
          </cell>
          <cell r="BE69">
            <v>30.331</v>
          </cell>
          <cell r="BF69">
            <v>34.555</v>
          </cell>
          <cell r="BG69">
            <v>39.540999999999997</v>
          </cell>
          <cell r="BH69">
            <v>46.82</v>
          </cell>
          <cell r="BI69">
            <v>55.279000000000003</v>
          </cell>
          <cell r="BJ69">
            <v>62.88600000000001</v>
          </cell>
          <cell r="BK69">
            <v>71.501616612155217</v>
          </cell>
          <cell r="BL69">
            <v>79.852216687231348</v>
          </cell>
          <cell r="BM69">
            <v>91.227424270880604</v>
          </cell>
          <cell r="BN69">
            <v>101.76700797521039</v>
          </cell>
          <cell r="BO69">
            <v>112.8084509363625</v>
          </cell>
          <cell r="BP69">
            <v>126.5238464046918</v>
          </cell>
          <cell r="BQ69">
            <v>142.52487583118346</v>
          </cell>
          <cell r="BR69">
            <v>157.22166090586967</v>
          </cell>
          <cell r="BS69">
            <v>169.44458337111735</v>
          </cell>
          <cell r="BT69">
            <v>188.05359749202441</v>
          </cell>
          <cell r="BU69">
            <v>208.64117288533316</v>
          </cell>
          <cell r="BV69">
            <v>227.58641445887474</v>
          </cell>
          <cell r="BW69">
            <v>246.99658353325179</v>
          </cell>
          <cell r="BX69">
            <v>265.91114387916883</v>
          </cell>
          <cell r="BY69">
            <v>287.57676659564441</v>
          </cell>
          <cell r="BZ69">
            <v>306.47188273401309</v>
          </cell>
          <cell r="CA69">
            <v>341.51206961304831</v>
          </cell>
          <cell r="CB69">
            <v>346.19742628033384</v>
          </cell>
          <cell r="CC69">
            <v>381.5140496006901</v>
          </cell>
          <cell r="CD69">
            <v>415.92677265703747</v>
          </cell>
          <cell r="CE69">
            <v>445.49553609983553</v>
          </cell>
          <cell r="CF69">
            <v>465.08845476388689</v>
          </cell>
          <cell r="CG69">
            <v>492.40252436658432</v>
          </cell>
          <cell r="CH69">
            <v>514.38754196086245</v>
          </cell>
          <cell r="CI69">
            <v>558.9801377681631</v>
          </cell>
          <cell r="CJ69">
            <v>575.74400692091683</v>
          </cell>
          <cell r="CK69">
            <v>609.05731672224579</v>
          </cell>
          <cell r="CL69">
            <v>644.97754474811427</v>
          </cell>
          <cell r="CM69">
            <v>704.64987816389157</v>
          </cell>
          <cell r="CN69">
            <v>713.77721222278046</v>
          </cell>
          <cell r="CO69">
            <v>765.44224962344708</v>
          </cell>
          <cell r="CP69">
            <v>823.27944412716738</v>
          </cell>
          <cell r="CQ69">
            <v>885.71704361906018</v>
          </cell>
          <cell r="CR69">
            <v>927.47080581997022</v>
          </cell>
          <cell r="CS69">
            <v>953.19981011695972</v>
          </cell>
          <cell r="CT69">
            <v>999.11113004208198</v>
          </cell>
          <cell r="CU69">
            <v>1063.7413541005353</v>
          </cell>
          <cell r="CV69">
            <v>1123.8010282256309</v>
          </cell>
          <cell r="CW69">
            <v>1189.9715926627352</v>
          </cell>
          <cell r="CX69">
            <v>1262.8134943471091</v>
          </cell>
          <cell r="CY69">
            <v>1346.2876482236095</v>
          </cell>
          <cell r="CZ69">
            <v>1429.1999149069495</v>
          </cell>
          <cell r="DA69">
            <v>1516.3094044665165</v>
          </cell>
          <cell r="DB69">
            <v>1599.4716965659654</v>
          </cell>
          <cell r="DC69">
            <v>1691.251239779557</v>
          </cell>
          <cell r="DD69">
            <v>1801.3226202671897</v>
          </cell>
          <cell r="DE69">
            <v>1913.7627936066676</v>
          </cell>
          <cell r="DF69">
            <v>2009.5863873129126</v>
          </cell>
          <cell r="DG69">
            <v>2111.5374289775546</v>
          </cell>
          <cell r="DH69">
            <v>2253.9028751375549</v>
          </cell>
          <cell r="DI69">
            <v>2396.9909191044653</v>
          </cell>
          <cell r="DJ69">
            <v>2508.2772513876794</v>
          </cell>
          <cell r="DK69">
            <v>2622.5740129143546</v>
          </cell>
          <cell r="DL69">
            <v>2803.2157385322876</v>
          </cell>
          <cell r="DM69">
            <v>2983.2978253455208</v>
          </cell>
          <cell r="DN69">
            <v>3113.4119943897404</v>
          </cell>
          <cell r="DP69">
            <v>0</v>
          </cell>
          <cell r="DQ69">
            <v>0</v>
          </cell>
          <cell r="DR69">
            <v>0</v>
          </cell>
          <cell r="DS69">
            <v>0</v>
          </cell>
          <cell r="DT69">
            <v>0</v>
          </cell>
          <cell r="DU69">
            <v>0</v>
          </cell>
          <cell r="DV69">
            <v>0</v>
          </cell>
          <cell r="DW69">
            <v>0</v>
          </cell>
          <cell r="DX69">
            <v>0</v>
          </cell>
          <cell r="DY69">
            <v>0</v>
          </cell>
          <cell r="DZ69">
            <v>0</v>
          </cell>
          <cell r="EA69">
            <v>15.809000000000001</v>
          </cell>
          <cell r="EB69">
            <v>57.459000000000003</v>
          </cell>
          <cell r="EC69">
            <v>110.88602299999999</v>
          </cell>
          <cell r="ED69">
            <v>204.52600000000001</v>
          </cell>
          <cell r="EE69">
            <v>344.34826554547755</v>
          </cell>
          <cell r="EF69">
            <v>539.07883407810743</v>
          </cell>
          <cell r="EG69">
            <v>793.72576820734969</v>
          </cell>
          <cell r="EH69">
            <v>1106.9563767420782</v>
          </cell>
          <cell r="EI69">
            <v>1485.1503181511098</v>
          </cell>
          <cell r="EJ69">
            <v>1917.3740571911694</v>
          </cell>
          <cell r="EK69">
            <v>2388.7590061594401</v>
          </cell>
          <cell r="EL69">
            <v>3007.1487841372864</v>
          </cell>
          <cell r="EM69">
            <v>3765.4987895980721</v>
          </cell>
          <cell r="EN69">
            <v>4640.3274693360108</v>
          </cell>
          <cell r="EO69">
            <v>5891.2686641630407</v>
          </cell>
          <cell r="EP69">
            <v>7415.9230409663269</v>
          </cell>
          <cell r="EQ69">
            <v>9270.7084746072542</v>
          </cell>
          <cell r="ER69">
            <v>11522.499571181903</v>
          </cell>
        </row>
        <row r="70">
          <cell r="A70" t="str">
            <v>% of revenues</v>
          </cell>
          <cell r="AU70" t="str">
            <v>NA</v>
          </cell>
          <cell r="AV70" t="str">
            <v>NA</v>
          </cell>
          <cell r="AW70">
            <v>0.9302264349657714</v>
          </cell>
          <cell r="AX70">
            <v>0.93598115833422535</v>
          </cell>
          <cell r="AY70">
            <v>0.93709364181372967</v>
          </cell>
          <cell r="AZ70">
            <v>0.90527907616167158</v>
          </cell>
          <cell r="BA70">
            <v>0.89306811332127789</v>
          </cell>
          <cell r="BB70">
            <v>0.86045422617653944</v>
          </cell>
          <cell r="BC70">
            <v>0.84182135491036014</v>
          </cell>
          <cell r="BD70">
            <v>0.84029698515247209</v>
          </cell>
          <cell r="BE70">
            <v>0.88694914758604548</v>
          </cell>
          <cell r="BF70">
            <v>0.8820001020981163</v>
          </cell>
          <cell r="BG70">
            <v>0.8336530960764057</v>
          </cell>
          <cell r="BH70">
            <v>0.82467326593158841</v>
          </cell>
          <cell r="BI70">
            <v>0.85910327142746146</v>
          </cell>
          <cell r="BJ70">
            <v>0.83667278678055401</v>
          </cell>
          <cell r="BK70">
            <v>0.8320042892302123</v>
          </cell>
          <cell r="BL70">
            <v>0.78116468751571422</v>
          </cell>
          <cell r="BM70">
            <v>0.81995545772369516</v>
          </cell>
          <cell r="BN70">
            <v>0.81264080472099642</v>
          </cell>
          <cell r="BO70">
            <v>0.81104645148006682</v>
          </cell>
          <cell r="BP70">
            <v>0.75873184576774466</v>
          </cell>
          <cell r="BQ70">
            <v>0.79751150359899436</v>
          </cell>
          <cell r="BR70">
            <v>0.79403275138820251</v>
          </cell>
          <cell r="BS70">
            <v>0.79940265031381441</v>
          </cell>
          <cell r="BT70">
            <v>0.76222700389121256</v>
          </cell>
          <cell r="BU70">
            <v>0.79893231049333024</v>
          </cell>
          <cell r="BV70">
            <v>0.79673171524199116</v>
          </cell>
          <cell r="BW70">
            <v>0.80749768219868567</v>
          </cell>
          <cell r="BX70">
            <v>0.77908524716145011</v>
          </cell>
          <cell r="BY70">
            <v>0.80405967352887808</v>
          </cell>
          <cell r="BZ70">
            <v>0.79465621219919069</v>
          </cell>
          <cell r="CA70">
            <v>0.79649059664260946</v>
          </cell>
          <cell r="CB70">
            <v>0.77231734019322318</v>
          </cell>
          <cell r="CC70">
            <v>0.77484919857483803</v>
          </cell>
          <cell r="CD70">
            <v>0.75747964854230065</v>
          </cell>
          <cell r="CE70">
            <v>0.75607417255268039</v>
          </cell>
          <cell r="CF70">
            <v>0.73700028961595621</v>
          </cell>
          <cell r="CG70">
            <v>0.73154764375206593</v>
          </cell>
          <cell r="CH70">
            <v>0.71897968100914322</v>
          </cell>
          <cell r="CI70">
            <v>0.70853304082786361</v>
          </cell>
          <cell r="CJ70">
            <v>0.69042000868315401</v>
          </cell>
          <cell r="CK70">
            <v>0.68755320328125713</v>
          </cell>
          <cell r="CL70">
            <v>0.67765829361604146</v>
          </cell>
          <cell r="CM70">
            <v>0.67344255037931422</v>
          </cell>
          <cell r="CN70">
            <v>0.66655698247059825</v>
          </cell>
          <cell r="CO70">
            <v>0.6644625473739354</v>
          </cell>
          <cell r="CP70">
            <v>0.65844972457444628</v>
          </cell>
          <cell r="CQ70">
            <v>0.66022165115104758</v>
          </cell>
          <cell r="CR70">
            <v>0.65208600088780477</v>
          </cell>
          <cell r="CS70">
            <v>0.65290873472712319</v>
          </cell>
          <cell r="CT70">
            <v>0.65080450506132637</v>
          </cell>
          <cell r="CU70">
            <v>0.65126325578349997</v>
          </cell>
          <cell r="CV70">
            <v>0.64471663172100735</v>
          </cell>
          <cell r="CW70">
            <v>0.64341830600703143</v>
          </cell>
          <cell r="CX70">
            <v>0.64111907468303886</v>
          </cell>
          <cell r="CY70">
            <v>0.64178652388570712</v>
          </cell>
          <cell r="CZ70">
            <v>0.63645337310628969</v>
          </cell>
          <cell r="DA70">
            <v>0.63522171872698141</v>
          </cell>
          <cell r="DB70">
            <v>0.63359497618925786</v>
          </cell>
          <cell r="DC70">
            <v>0.6347954758392621</v>
          </cell>
          <cell r="DD70">
            <v>0.63045593578807435</v>
          </cell>
          <cell r="DE70">
            <v>0.6293179257184075</v>
          </cell>
          <cell r="DF70">
            <v>0.62815456329180031</v>
          </cell>
          <cell r="DG70">
            <v>0.62977916523933297</v>
          </cell>
          <cell r="DH70">
            <v>0.62617414219919743</v>
          </cell>
          <cell r="DI70">
            <v>0.6250767497022337</v>
          </cell>
          <cell r="DJ70">
            <v>0.62422838788657709</v>
          </cell>
          <cell r="DK70">
            <v>0.6262031831621836</v>
          </cell>
          <cell r="DL70">
            <v>0.62309816994596601</v>
          </cell>
          <cell r="DM70">
            <v>0.62197308866396406</v>
          </cell>
          <cell r="DN70">
            <v>0.62133462558543939</v>
          </cell>
          <cell r="DP70" t="str">
            <v>NA</v>
          </cell>
          <cell r="DQ70" t="str">
            <v>NA</v>
          </cell>
          <cell r="DR70" t="str">
            <v>NA</v>
          </cell>
          <cell r="DS70" t="str">
            <v>NA</v>
          </cell>
          <cell r="DT70" t="str">
            <v>NA</v>
          </cell>
          <cell r="DU70" t="str">
            <v>NA</v>
          </cell>
          <cell r="DV70" t="str">
            <v>NA</v>
          </cell>
          <cell r="DW70" t="str">
            <v>NA</v>
          </cell>
          <cell r="DX70" t="str">
            <v>NA</v>
          </cell>
          <cell r="DY70" t="str">
            <v>NA</v>
          </cell>
          <cell r="DZ70">
            <v>0</v>
          </cell>
          <cell r="EA70">
            <v>0.56460714285714286</v>
          </cell>
          <cell r="EB70">
            <v>0.89310805769709034</v>
          </cell>
          <cell r="EC70">
            <v>0.86581111143705658</v>
          </cell>
          <cell r="ED70">
            <v>0.83921185661764708</v>
          </cell>
          <cell r="EE70">
            <v>0.8108990122347286</v>
          </cell>
          <cell r="EF70">
            <v>0.7897861942093366</v>
          </cell>
          <cell r="EG70">
            <v>0.78939985699103887</v>
          </cell>
          <cell r="EH70">
            <v>0.79607768984689697</v>
          </cell>
          <cell r="EI70">
            <v>0.77412299342667223</v>
          </cell>
          <cell r="EJ70">
            <v>0.73495948245915743</v>
          </cell>
          <cell r="EK70">
            <v>0.69030559035157701</v>
          </cell>
          <cell r="EL70">
            <v>0.66537436223632762</v>
          </cell>
          <cell r="EM70">
            <v>0.65384814058569174</v>
          </cell>
          <cell r="EN70">
            <v>0.64488418231157885</v>
          </cell>
          <cell r="EO70">
            <v>0.63656483716288714</v>
          </cell>
          <cell r="EP70">
            <v>0.63051871373234747</v>
          </cell>
          <cell r="EQ70">
            <v>0.62617822014968427</v>
          </cell>
          <cell r="ER70">
            <v>0.62303169850525619</v>
          </cell>
        </row>
        <row r="71">
          <cell r="A71" t="str">
            <v>% of subscription revenues</v>
          </cell>
          <cell r="AU71" t="str">
            <v>NA</v>
          </cell>
          <cell r="AV71" t="str">
            <v>NA</v>
          </cell>
          <cell r="AW71">
            <v>1</v>
          </cell>
          <cell r="AX71">
            <v>1</v>
          </cell>
          <cell r="AY71">
            <v>1</v>
          </cell>
          <cell r="AZ71">
            <v>0.99999999999999989</v>
          </cell>
          <cell r="BA71">
            <v>1</v>
          </cell>
          <cell r="BB71">
            <v>1</v>
          </cell>
          <cell r="BC71">
            <v>1</v>
          </cell>
          <cell r="BD71">
            <v>1</v>
          </cell>
          <cell r="BE71">
            <v>1</v>
          </cell>
          <cell r="BF71">
            <v>1</v>
          </cell>
          <cell r="BG71">
            <v>1</v>
          </cell>
          <cell r="BH71">
            <v>1</v>
          </cell>
          <cell r="BI71">
            <v>1</v>
          </cell>
          <cell r="BJ71">
            <v>1.0000000000000002</v>
          </cell>
          <cell r="BK71">
            <v>0.99921206031687881</v>
          </cell>
          <cell r="BL71">
            <v>0.99348333690692925</v>
          </cell>
          <cell r="BM71">
            <v>0.98102443512216753</v>
          </cell>
          <cell r="BN71">
            <v>0.97033703899016377</v>
          </cell>
          <cell r="BO71">
            <v>0.96109436367507994</v>
          </cell>
          <cell r="BP71">
            <v>0.95328536214016912</v>
          </cell>
          <cell r="BQ71">
            <v>0.94784677376807058</v>
          </cell>
          <cell r="BR71">
            <v>0.94285288187698824</v>
          </cell>
          <cell r="BS71">
            <v>0.94184541663813715</v>
          </cell>
          <cell r="BT71">
            <v>0.93810565392781842</v>
          </cell>
          <cell r="BU71">
            <v>0.93473877677024642</v>
          </cell>
          <cell r="BV71">
            <v>0.93005539169632756</v>
          </cell>
          <cell r="BW71">
            <v>0.92362103167746767</v>
          </cell>
          <cell r="BX71">
            <v>0.91479310125316537</v>
          </cell>
          <cell r="BY71">
            <v>0.90168112084520435</v>
          </cell>
          <cell r="BZ71">
            <v>0.88934511129880411</v>
          </cell>
          <cell r="CA71">
            <v>0.88113046362349401</v>
          </cell>
          <cell r="CB71">
            <v>0.85975043280966601</v>
          </cell>
          <cell r="CC71">
            <v>0.84874072782274346</v>
          </cell>
          <cell r="CD71">
            <v>0.8322896650985866</v>
          </cell>
          <cell r="CE71">
            <v>0.81994301035261674</v>
          </cell>
          <cell r="CF71">
            <v>0.79463994239338787</v>
          </cell>
          <cell r="CG71">
            <v>0.78587369645478344</v>
          </cell>
          <cell r="CH71">
            <v>0.77219250330766165</v>
          </cell>
          <cell r="CI71">
            <v>0.75539285576776194</v>
          </cell>
          <cell r="CJ71">
            <v>0.7371986121711277</v>
          </cell>
          <cell r="CK71">
            <v>0.72948858765884439</v>
          </cell>
          <cell r="CL71">
            <v>0.71728408413325073</v>
          </cell>
          <cell r="CM71">
            <v>0.70840299724328648</v>
          </cell>
          <cell r="CN71">
            <v>0.70286315318019832</v>
          </cell>
          <cell r="CO71">
            <v>0.7013487891758251</v>
          </cell>
          <cell r="CP71">
            <v>0.69523108724693894</v>
          </cell>
          <cell r="CQ71">
            <v>0.69238994396879672</v>
          </cell>
          <cell r="CR71">
            <v>0.68291730137598894</v>
          </cell>
          <cell r="CS71">
            <v>0.68394512086425607</v>
          </cell>
          <cell r="CT71">
            <v>0.68109483740864241</v>
          </cell>
          <cell r="CU71">
            <v>0.68057721416955463</v>
          </cell>
          <cell r="CV71">
            <v>0.67257800117367428</v>
          </cell>
          <cell r="CW71">
            <v>0.67041239695375598</v>
          </cell>
          <cell r="CX71">
            <v>0.6672213048352067</v>
          </cell>
          <cell r="CY71">
            <v>0.66717711448333428</v>
          </cell>
          <cell r="CZ71">
            <v>0.66066338159607707</v>
          </cell>
          <cell r="DA71">
            <v>0.65870624930448862</v>
          </cell>
          <cell r="DB71">
            <v>0.65651160541503906</v>
          </cell>
          <cell r="DC71">
            <v>0.65730942697025085</v>
          </cell>
          <cell r="DD71">
            <v>0.65189843675370862</v>
          </cell>
          <cell r="DE71">
            <v>0.65006953470657713</v>
          </cell>
          <cell r="DF71">
            <v>0.6485050867293134</v>
          </cell>
          <cell r="DG71">
            <v>0.64990334500888014</v>
          </cell>
          <cell r="DH71">
            <v>0.64530797466070178</v>
          </cell>
          <cell r="DI71">
            <v>0.64354456548666528</v>
          </cell>
          <cell r="DJ71">
            <v>0.64239661104442769</v>
          </cell>
          <cell r="DK71">
            <v>0.64426576656172896</v>
          </cell>
          <cell r="DL71">
            <v>0.64027030187186118</v>
          </cell>
          <cell r="DM71">
            <v>0.63852422810229559</v>
          </cell>
          <cell r="DN71">
            <v>0.63766137121276745</v>
          </cell>
          <cell r="DP71" t="str">
            <v>NA</v>
          </cell>
          <cell r="DQ71" t="str">
            <v>NA</v>
          </cell>
          <cell r="DR71" t="str">
            <v>NA</v>
          </cell>
          <cell r="DS71" t="str">
            <v>NA</v>
          </cell>
          <cell r="DT71" t="str">
            <v>NA</v>
          </cell>
          <cell r="DU71" t="str">
            <v>NA</v>
          </cell>
          <cell r="DV71" t="str">
            <v>NA</v>
          </cell>
          <cell r="DW71" t="str">
            <v>NA</v>
          </cell>
          <cell r="DX71" t="str">
            <v>NA</v>
          </cell>
          <cell r="DY71" t="str">
            <v>NA</v>
          </cell>
          <cell r="DZ71" t="str">
            <v>NA</v>
          </cell>
          <cell r="EA71">
            <v>1</v>
          </cell>
          <cell r="EB71">
            <v>1</v>
          </cell>
          <cell r="EC71">
            <v>1</v>
          </cell>
          <cell r="ED71">
            <v>1.0000000000000002</v>
          </cell>
          <cell r="EE71">
            <v>0.98440345320658862</v>
          </cell>
          <cell r="EF71">
            <v>0.95039259062776227</v>
          </cell>
          <cell r="EG71">
            <v>0.93569062053636853</v>
          </cell>
          <cell r="EH71">
            <v>0.90612396685279206</v>
          </cell>
          <cell r="EI71">
            <v>0.85378000468589221</v>
          </cell>
          <cell r="EJ71">
            <v>0.79187368885855292</v>
          </cell>
          <cell r="EK71">
            <v>0.73385592366865449</v>
          </cell>
          <cell r="EL71">
            <v>0.70165450770003479</v>
          </cell>
          <cell r="EM71">
            <v>0.68489561612497352</v>
          </cell>
          <cell r="EN71">
            <v>0.67236363059508086</v>
          </cell>
          <cell r="EO71">
            <v>0.66049786662082288</v>
          </cell>
          <cell r="EP71">
            <v>0.65172469025624113</v>
          </cell>
          <cell r="EQ71">
            <v>0.64509884868185507</v>
          </cell>
          <cell r="ER71">
            <v>0.64001301389249377</v>
          </cell>
        </row>
        <row r="72">
          <cell r="A72" t="str">
            <v>% growth y-o-y</v>
          </cell>
          <cell r="AU72" t="str">
            <v>NA</v>
          </cell>
          <cell r="AV72" t="str">
            <v>NA</v>
          </cell>
          <cell r="AW72" t="str">
            <v>NA</v>
          </cell>
          <cell r="AX72" t="str">
            <v>NA</v>
          </cell>
          <cell r="AY72" t="str">
            <v>NA</v>
          </cell>
          <cell r="AZ72" t="str">
            <v>NA</v>
          </cell>
          <cell r="BA72">
            <v>1.0968015850551942</v>
          </cell>
          <cell r="BB72">
            <v>1.1016813450760607</v>
          </cell>
          <cell r="BC72">
            <v>0.91241665164894559</v>
          </cell>
          <cell r="BD72">
            <v>0.88124700075930162</v>
          </cell>
          <cell r="BE72">
            <v>1.0471787257019436</v>
          </cell>
          <cell r="BF72">
            <v>0.8805442176870748</v>
          </cell>
          <cell r="BG72">
            <v>0.86303241613267989</v>
          </cell>
          <cell r="BH72">
            <v>0.88973024443834281</v>
          </cell>
          <cell r="BI72">
            <v>0.8225248096007387</v>
          </cell>
          <cell r="BJ72">
            <v>0.81988134857473627</v>
          </cell>
          <cell r="BK72">
            <v>0.80829054935776079</v>
          </cell>
          <cell r="BL72">
            <v>0.70551509370421495</v>
          </cell>
          <cell r="BM72">
            <v>0.65030887445287711</v>
          </cell>
          <cell r="BN72">
            <v>0.61827764486865711</v>
          </cell>
          <cell r="BO72">
            <v>0.57770490069150626</v>
          </cell>
          <cell r="BP72">
            <v>0.58447506723909659</v>
          </cell>
          <cell r="BQ72">
            <v>0.56230296942272417</v>
          </cell>
          <cell r="BR72">
            <v>0.5449177885250156</v>
          </cell>
          <cell r="BS72">
            <v>0.50205575880750652</v>
          </cell>
          <cell r="BT72">
            <v>0.48630952058260335</v>
          </cell>
          <cell r="BU72">
            <v>0.46389303389018566</v>
          </cell>
          <cell r="BV72">
            <v>0.44755126709374493</v>
          </cell>
          <cell r="BW72">
            <v>0.45768356013057154</v>
          </cell>
          <cell r="BX72">
            <v>0.41401785142901337</v>
          </cell>
          <cell r="BY72">
            <v>0.37833181542596761</v>
          </cell>
          <cell r="BZ72">
            <v>0.34661765054255067</v>
          </cell>
          <cell r="CA72">
            <v>0.38265908267946713</v>
          </cell>
          <cell r="CB72">
            <v>0.30192898736747731</v>
          </cell>
          <cell r="CC72">
            <v>0.3266511551579161</v>
          </cell>
          <cell r="CD72">
            <v>0.35714496529530004</v>
          </cell>
          <cell r="CE72">
            <v>0.30447962382297677</v>
          </cell>
          <cell r="CF72">
            <v>0.34341973526770486</v>
          </cell>
          <cell r="CG72">
            <v>0.29065371218164859</v>
          </cell>
          <cell r="CH72">
            <v>0.23672621186377252</v>
          </cell>
          <cell r="CI72">
            <v>0.25473790974842836</v>
          </cell>
          <cell r="CJ72">
            <v>0.23792367026871664</v>
          </cell>
          <cell r="CK72">
            <v>0.23690941167639945</v>
          </cell>
          <cell r="CL72">
            <v>0.25387473866384558</v>
          </cell>
          <cell r="CM72">
            <v>0.26059913501997278</v>
          </cell>
          <cell r="CN72">
            <v>0.23974753300527829</v>
          </cell>
          <cell r="CO72">
            <v>0.25676554341850055</v>
          </cell>
          <cell r="CP72">
            <v>0.27644667761059205</v>
          </cell>
          <cell r="CQ72">
            <v>0.25696047223761087</v>
          </cell>
          <cell r="CR72">
            <v>0.29938416348670538</v>
          </cell>
          <cell r="CS72">
            <v>0.24529291476382231</v>
          </cell>
          <cell r="CT72">
            <v>0.21357473111858094</v>
          </cell>
          <cell r="CU72">
            <v>0.20099456340375221</v>
          </cell>
          <cell r="CV72">
            <v>0.21168345264742494</v>
          </cell>
          <cell r="CW72">
            <v>0.24839679994976405</v>
          </cell>
          <cell r="CX72">
            <v>0.26393696994839821</v>
          </cell>
          <cell r="CY72">
            <v>0.26561559634201304</v>
          </cell>
          <cell r="CZ72">
            <v>0.27175530099266121</v>
          </cell>
          <cell r="DA72">
            <v>0.27424000187563524</v>
          </cell>
          <cell r="DB72">
            <v>0.26659376362850229</v>
          </cell>
          <cell r="DC72">
            <v>0.25623319950318013</v>
          </cell>
          <cell r="DD72">
            <v>0.2603713458690402</v>
          </cell>
          <cell r="DE72">
            <v>0.26211892372980916</v>
          </cell>
          <cell r="DF72">
            <v>0.25640634443701349</v>
          </cell>
          <cell r="DG72">
            <v>0.24850606421596999</v>
          </cell>
          <cell r="DH72">
            <v>0.25124886001999691</v>
          </cell>
          <cell r="DI72">
            <v>0.25250157810159357</v>
          </cell>
          <cell r="DJ72">
            <v>0.2481559724046416</v>
          </cell>
          <cell r="DK72">
            <v>0.24202108706368208</v>
          </cell>
          <cell r="DL72">
            <v>0.24371629738535572</v>
          </cell>
          <cell r="DM72">
            <v>0.24460122129294692</v>
          </cell>
          <cell r="DN72">
            <v>0.24125512547198524</v>
          </cell>
          <cell r="DQ72" t="str">
            <v>NA</v>
          </cell>
          <cell r="DR72" t="str">
            <v>NA</v>
          </cell>
          <cell r="DS72" t="str">
            <v>NA</v>
          </cell>
          <cell r="DT72" t="str">
            <v>NA</v>
          </cell>
          <cell r="DU72" t="str">
            <v>NA</v>
          </cell>
          <cell r="DV72" t="str">
            <v>NA</v>
          </cell>
          <cell r="DW72" t="str">
            <v>NA</v>
          </cell>
          <cell r="DX72" t="str">
            <v>NA</v>
          </cell>
          <cell r="DY72" t="str">
            <v>NA</v>
          </cell>
          <cell r="DZ72" t="str">
            <v>NA</v>
          </cell>
          <cell r="EA72" t="str">
            <v>NA</v>
          </cell>
          <cell r="EB72">
            <v>2.6345752419507873</v>
          </cell>
          <cell r="EC72">
            <v>0.92982862562870894</v>
          </cell>
          <cell r="ED72">
            <v>0.84447051545892315</v>
          </cell>
          <cell r="EE72">
            <v>0.68364054225613136</v>
          </cell>
          <cell r="EF72">
            <v>0.56550471722039819</v>
          </cell>
          <cell r="EG72">
            <v>0.47237420212336945</v>
          </cell>
          <cell r="EH72">
            <v>0.39463328655962382</v>
          </cell>
          <cell r="EI72">
            <v>0.34165207351901916</v>
          </cell>
          <cell r="EJ72">
            <v>0.29103029757832366</v>
          </cell>
          <cell r="EK72">
            <v>0.24584923698134298</v>
          </cell>
          <cell r="EL72">
            <v>0.25887491219638381</v>
          </cell>
          <cell r="EM72">
            <v>0.25218240263371161</v>
          </cell>
          <cell r="EN72">
            <v>0.2323274361831138</v>
          </cell>
          <cell r="EO72">
            <v>0.2695803697246455</v>
          </cell>
          <cell r="EP72">
            <v>0.25879898943972024</v>
          </cell>
          <cell r="EQ72">
            <v>0.25010850616907709</v>
          </cell>
          <cell r="ER72">
            <v>0.24289309740915388</v>
          </cell>
        </row>
        <row r="73">
          <cell r="A73" t="str">
            <v>% growth seq</v>
          </cell>
          <cell r="AU73" t="str">
            <v>NA</v>
          </cell>
          <cell r="AV73" t="str">
            <v>NA</v>
          </cell>
          <cell r="AW73" t="str">
            <v>NA</v>
          </cell>
          <cell r="AX73">
            <v>0.23733371072742715</v>
          </cell>
          <cell r="AY73">
            <v>0.26935834381791146</v>
          </cell>
          <cell r="AZ73">
            <v>0.18670030636150625</v>
          </cell>
          <cell r="BA73">
            <v>0.12498101746393342</v>
          </cell>
          <cell r="BB73">
            <v>0.24021328293736488</v>
          </cell>
          <cell r="BC73">
            <v>0.1550476190476191</v>
          </cell>
          <cell r="BD73">
            <v>0.16735879193365988</v>
          </cell>
          <cell r="BE73">
            <v>0.22420777539639847</v>
          </cell>
          <cell r="BF73">
            <v>0.13926345982658006</v>
          </cell>
          <cell r="BG73">
            <v>0.14429170886991738</v>
          </cell>
          <cell r="BH73">
            <v>0.18408740294883796</v>
          </cell>
          <cell r="BI73">
            <v>0.18067065356685186</v>
          </cell>
          <cell r="BJ73">
            <v>0.13761102769587019</v>
          </cell>
          <cell r="BK73">
            <v>0.13700373075335071</v>
          </cell>
          <cell r="BL73">
            <v>0.1167889688476853</v>
          </cell>
          <cell r="BM73">
            <v>0.1424532474559117</v>
          </cell>
          <cell r="BN73">
            <v>0.11553087011461294</v>
          </cell>
          <cell r="BO73">
            <v>0.10849727412484911</v>
          </cell>
          <cell r="BP73">
            <v>0.12158127653101469</v>
          </cell>
          <cell r="BQ73">
            <v>0.12646651110583296</v>
          </cell>
          <cell r="BR73">
            <v>0.10311733294961156</v>
          </cell>
          <cell r="BS73">
            <v>7.7743247303345031E-2</v>
          </cell>
          <cell r="BT73">
            <v>0.10982359985004431</v>
          </cell>
          <cell r="BU73">
            <v>0.10947716857254974</v>
          </cell>
          <cell r="BV73">
            <v>9.0802986349936221E-2</v>
          </cell>
          <cell r="BW73">
            <v>8.5287028755771876E-2</v>
          </cell>
          <cell r="BX73">
            <v>7.6578226610857891E-2</v>
          </cell>
          <cell r="BY73">
            <v>8.1476926466536259E-2</v>
          </cell>
          <cell r="BZ73">
            <v>6.5704599026028765E-2</v>
          </cell>
          <cell r="CA73">
            <v>0.11433409997173083</v>
          </cell>
          <cell r="CB73">
            <v>1.3719446790253498E-2</v>
          </cell>
          <cell r="CC73">
            <v>0.10201295746132599</v>
          </cell>
          <cell r="CD73">
            <v>9.0200408326679637E-2</v>
          </cell>
          <cell r="CE73">
            <v>7.1091272278304807E-2</v>
          </cell>
          <cell r="CF73">
            <v>4.3980056086713626E-2</v>
          </cell>
          <cell r="CG73">
            <v>5.8728762932986678E-2</v>
          </cell>
          <cell r="CH73">
            <v>4.4648466460563307E-2</v>
          </cell>
          <cell r="CI73">
            <v>8.6690660581149048E-2</v>
          </cell>
          <cell r="CJ73">
            <v>2.9990098073406912E-2</v>
          </cell>
          <cell r="CK73">
            <v>5.7861322742183141E-2</v>
          </cell>
          <cell r="CL73">
            <v>5.8976761364890606E-2</v>
          </cell>
          <cell r="CM73">
            <v>9.2518466575578717E-2</v>
          </cell>
          <cell r="CN73">
            <v>1.2953005942003548E-2</v>
          </cell>
          <cell r="CO73">
            <v>7.2382581729915518E-2</v>
          </cell>
          <cell r="CP73">
            <v>7.5560493991771116E-2</v>
          </cell>
          <cell r="CQ73">
            <v>7.5840105006008685E-2</v>
          </cell>
          <cell r="CR73">
            <v>4.7141197633843834E-2</v>
          </cell>
          <cell r="CS73">
            <v>2.7741039540584378E-2</v>
          </cell>
          <cell r="CT73">
            <v>4.8165473217508081E-2</v>
          </cell>
          <cell r="CU73">
            <v>6.4687723032102795E-2</v>
          </cell>
          <cell r="CV73">
            <v>5.6460787101654253E-2</v>
          </cell>
          <cell r="CW73">
            <v>5.8881032117919396E-2</v>
          </cell>
          <cell r="CX73">
            <v>6.1213143350236976E-2</v>
          </cell>
          <cell r="CY73">
            <v>6.6101727808711486E-2</v>
          </cell>
          <cell r="CZ73">
            <v>6.1585848160116807E-2</v>
          </cell>
          <cell r="DA73">
            <v>6.0949828397686812E-2</v>
          </cell>
          <cell r="DB73">
            <v>5.4845199702964198E-2</v>
          </cell>
          <cell r="DC73">
            <v>5.7381161173805317E-2</v>
          </cell>
          <cell r="DD73">
            <v>6.5082808454869134E-2</v>
          </cell>
          <cell r="DE73">
            <v>6.2420896775725598E-2</v>
          </cell>
          <cell r="DF73">
            <v>5.0070778900271229E-2</v>
          </cell>
          <cell r="DG73">
            <v>5.0732350850049457E-2</v>
          </cell>
          <cell r="DH73">
            <v>6.7422648638028715E-2</v>
          </cell>
          <cell r="DI73">
            <v>6.3484565171503915E-2</v>
          </cell>
          <cell r="DJ73">
            <v>4.64275151800706E-2</v>
          </cell>
          <cell r="DK73">
            <v>4.556783404364162E-2</v>
          </cell>
          <cell r="DL73">
            <v>6.8879552961478963E-2</v>
          </cell>
          <cell r="DM73">
            <v>6.424125133783698E-2</v>
          </cell>
          <cell r="DN73">
            <v>4.3614207049257558E-2</v>
          </cell>
        </row>
        <row r="75">
          <cell r="A75" t="str">
            <v>ITSM</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7.0659999999999998</v>
          </cell>
          <cell r="AX75">
            <v>8.7430000000000003</v>
          </cell>
          <cell r="AY75">
            <v>9.2839077681208408</v>
          </cell>
          <cell r="AZ75">
            <v>11.140493333653588</v>
          </cell>
          <cell r="BA75">
            <v>11.800535763149909</v>
          </cell>
          <cell r="BB75">
            <v>14.758725049943529</v>
          </cell>
          <cell r="BC75">
            <v>19.170085709537791</v>
          </cell>
          <cell r="BD75">
            <v>22.470944774021913</v>
          </cell>
          <cell r="BE75">
            <v>27.008821227197888</v>
          </cell>
          <cell r="BF75">
            <v>30.554313719115989</v>
          </cell>
          <cell r="BG75">
            <v>36.9870796225646</v>
          </cell>
          <cell r="BH75">
            <v>43.876111535527301</v>
          </cell>
          <cell r="BI75">
            <v>51.034557829703992</v>
          </cell>
          <cell r="BJ75">
            <v>57.705711028395001</v>
          </cell>
          <cell r="BK75">
            <v>67.277568785525958</v>
          </cell>
          <cell r="BL75">
            <v>74.396151485925742</v>
          </cell>
          <cell r="BM75">
            <v>83.954175912664851</v>
          </cell>
          <cell r="BN75">
            <v>92.931520907780651</v>
          </cell>
          <cell r="BO75">
            <v>104.18052616260026</v>
          </cell>
          <cell r="BP75">
            <v>116.14170456739832</v>
          </cell>
          <cell r="BQ75">
            <v>129.6584436665089</v>
          </cell>
          <cell r="BR75">
            <v>141.70811698476447</v>
          </cell>
          <cell r="BS75">
            <v>152.77637181063719</v>
          </cell>
          <cell r="BT75">
            <v>169.15268933291648</v>
          </cell>
          <cell r="BU75">
            <v>186.1435662505169</v>
          </cell>
          <cell r="BV75">
            <v>201.81724595505844</v>
          </cell>
          <cell r="BW75">
            <v>217.96256979585218</v>
          </cell>
          <cell r="BX75">
            <v>232.94070773376927</v>
          </cell>
          <cell r="BY75">
            <v>250.91577622366142</v>
          </cell>
          <cell r="BZ75">
            <v>262.7138505772802</v>
          </cell>
          <cell r="CA75">
            <v>277.48266634220431</v>
          </cell>
          <cell r="CB75">
            <v>295.56443709601757</v>
          </cell>
          <cell r="CC75">
            <v>316.72672816915258</v>
          </cell>
          <cell r="CD75">
            <v>340.33932847364639</v>
          </cell>
          <cell r="CE75">
            <v>345.28311635664062</v>
          </cell>
          <cell r="CF75">
            <v>378.99796391818558</v>
          </cell>
          <cell r="CG75">
            <v>392.94146283243157</v>
          </cell>
          <cell r="CH75">
            <v>401.8624891720205</v>
          </cell>
          <cell r="CI75">
            <v>421.14864474648499</v>
          </cell>
          <cell r="CJ75">
            <v>448.09713214695228</v>
          </cell>
          <cell r="CK75">
            <v>464.89225704396955</v>
          </cell>
          <cell r="CL75">
            <v>484.47154705850357</v>
          </cell>
          <cell r="CM75">
            <v>514.98555830420196</v>
          </cell>
          <cell r="CN75">
            <v>531.69642729950795</v>
          </cell>
          <cell r="CO75">
            <v>560.57903976336843</v>
          </cell>
          <cell r="CP75">
            <v>593.50675505067966</v>
          </cell>
          <cell r="CQ75">
            <v>616.88284951997628</v>
          </cell>
          <cell r="CR75">
            <v>663.87197668608871</v>
          </cell>
          <cell r="CS75">
            <v>670.78874665126079</v>
          </cell>
          <cell r="CT75">
            <v>691.67316947964139</v>
          </cell>
          <cell r="CU75">
            <v>707.90094069822919</v>
          </cell>
          <cell r="CV75">
            <v>762.89204338928641</v>
          </cell>
          <cell r="CW75">
            <v>799.50986758205238</v>
          </cell>
          <cell r="CX75">
            <v>835.37540029157526</v>
          </cell>
          <cell r="CY75">
            <v>856.30605738714451</v>
          </cell>
          <cell r="CZ75">
            <v>922.50585354328746</v>
          </cell>
          <cell r="DA75">
            <v>969.50970709205603</v>
          </cell>
          <cell r="DB75">
            <v>1008.1944284235115</v>
          </cell>
          <cell r="DC75">
            <v>1026.5653499475102</v>
          </cell>
          <cell r="DD75">
            <v>1104.9780889515089</v>
          </cell>
          <cell r="DE75">
            <v>1163.5601207059408</v>
          </cell>
          <cell r="DF75">
            <v>1205.4952780452709</v>
          </cell>
          <cell r="DG75">
            <v>1220.6274424618173</v>
          </cell>
          <cell r="DH75">
            <v>1312.2995721171899</v>
          </cell>
          <cell r="DI75">
            <v>1383.7334379511055</v>
          </cell>
          <cell r="DJ75">
            <v>1429.3245793262126</v>
          </cell>
          <cell r="DK75">
            <v>1440.2822198422341</v>
          </cell>
          <cell r="DL75">
            <v>1546.2185442910138</v>
          </cell>
          <cell r="DM75">
            <v>1631.7979158849557</v>
          </cell>
          <cell r="DN75">
            <v>1681.4069665632283</v>
          </cell>
          <cell r="DP75">
            <v>0</v>
          </cell>
          <cell r="DQ75">
            <v>0</v>
          </cell>
          <cell r="DR75">
            <v>0</v>
          </cell>
          <cell r="DS75">
            <v>0</v>
          </cell>
          <cell r="DT75">
            <v>0</v>
          </cell>
          <cell r="DU75">
            <v>0</v>
          </cell>
          <cell r="DV75">
            <v>0</v>
          </cell>
          <cell r="DW75">
            <v>0</v>
          </cell>
          <cell r="DX75">
            <v>0</v>
          </cell>
          <cell r="DY75">
            <v>0</v>
          </cell>
          <cell r="DZ75">
            <v>0</v>
          </cell>
          <cell r="EA75">
            <v>15.809000000000001</v>
          </cell>
          <cell r="EB75">
            <v>46.983661914867866</v>
          </cell>
          <cell r="EC75">
            <v>99.204165429873584</v>
          </cell>
          <cell r="ED75">
            <v>189.60346001619089</v>
          </cell>
          <cell r="EE75">
            <v>318.55941709189722</v>
          </cell>
          <cell r="EF75">
            <v>491.68879138127193</v>
          </cell>
          <cell r="EG75">
            <v>709.88987334912895</v>
          </cell>
          <cell r="EH75">
            <v>964.53290433056304</v>
          </cell>
          <cell r="EI75">
            <v>1230.1131600810209</v>
          </cell>
          <cell r="EJ75">
            <v>1519.0850322792783</v>
          </cell>
          <cell r="EK75">
            <v>1818.6095809959104</v>
          </cell>
          <cell r="EL75">
            <v>2200.7677804177583</v>
          </cell>
          <cell r="EM75">
            <v>2643.2167423369669</v>
          </cell>
          <cell r="EN75">
            <v>3105.6782519611434</v>
          </cell>
          <cell r="EO75">
            <v>3756.5160464459996</v>
          </cell>
          <cell r="EP75">
            <v>4500.5988376502301</v>
          </cell>
          <cell r="EQ75">
            <v>5345.9850318563258</v>
          </cell>
          <cell r="ER75">
            <v>6299.7056465814312</v>
          </cell>
        </row>
        <row r="76">
          <cell r="A76" t="str">
            <v>% of revenues</v>
          </cell>
          <cell r="AU76" t="str">
            <v>NA</v>
          </cell>
          <cell r="AV76" t="str">
            <v>NA</v>
          </cell>
          <cell r="AW76">
            <v>0.9302264349657714</v>
          </cell>
          <cell r="AX76">
            <v>0.93598115833422535</v>
          </cell>
          <cell r="AY76">
            <v>0.78391520460363429</v>
          </cell>
          <cell r="AZ76">
            <v>0.76577490608012011</v>
          </cell>
          <cell r="BA76">
            <v>0.71130414485532911</v>
          </cell>
          <cell r="BB76">
            <v>0.69111332474565812</v>
          </cell>
          <cell r="BC76">
            <v>0.760355612785094</v>
          </cell>
          <cell r="BD76">
            <v>0.76211856709764558</v>
          </cell>
          <cell r="BE76">
            <v>0.78980089561066424</v>
          </cell>
          <cell r="BF76">
            <v>0.77988446881198603</v>
          </cell>
          <cell r="BG76">
            <v>0.7798081343965888</v>
          </cell>
          <cell r="BH76">
            <v>0.7728205082524976</v>
          </cell>
          <cell r="BI76">
            <v>0.79313944874821651</v>
          </cell>
          <cell r="BJ76">
            <v>0.76775113792069127</v>
          </cell>
          <cell r="BK76">
            <v>0.78285259062272017</v>
          </cell>
          <cell r="BL76">
            <v>0.72779002060149223</v>
          </cell>
          <cell r="BM76">
            <v>0.75458323293095253</v>
          </cell>
          <cell r="BN76">
            <v>0.74208672768330786</v>
          </cell>
          <cell r="BO76">
            <v>0.74901521434035701</v>
          </cell>
          <cell r="BP76">
            <v>0.6964727391797545</v>
          </cell>
          <cell r="BQ76">
            <v>0.72551615821270488</v>
          </cell>
          <cell r="BR76">
            <v>0.71568310228462284</v>
          </cell>
          <cell r="BS76">
            <v>0.72076565742596477</v>
          </cell>
          <cell r="BT76">
            <v>0.68561702253974799</v>
          </cell>
          <cell r="BU76">
            <v>0.7127840943921766</v>
          </cell>
          <cell r="BV76">
            <v>0.70651932769143522</v>
          </cell>
          <cell r="BW76">
            <v>0.71257775066562978</v>
          </cell>
          <cell r="BX76">
            <v>0.68248613507221922</v>
          </cell>
          <cell r="BY76">
            <v>0.701556177510405</v>
          </cell>
          <cell r="BZ76">
            <v>0.68119525853272056</v>
          </cell>
          <cell r="CA76">
            <v>0.64715819479909864</v>
          </cell>
          <cell r="CB76">
            <v>0.65936232503606751</v>
          </cell>
          <cell r="CC76">
            <v>0.64326713982345185</v>
          </cell>
          <cell r="CD76">
            <v>0.61982092008757428</v>
          </cell>
          <cell r="CE76">
            <v>0.58599834418375518</v>
          </cell>
          <cell r="CF76">
            <v>0.60057738761407153</v>
          </cell>
          <cell r="CG76">
            <v>0.58378133141646982</v>
          </cell>
          <cell r="CH76">
            <v>0.5616989928897288</v>
          </cell>
          <cell r="CI76">
            <v>0.53382528240479465</v>
          </cell>
          <cell r="CJ76">
            <v>0.53734858226720617</v>
          </cell>
          <cell r="CK76">
            <v>0.52480801352395945</v>
          </cell>
          <cell r="CL76">
            <v>0.50901952255315186</v>
          </cell>
          <cell r="CM76">
            <v>0.49217802846512798</v>
          </cell>
          <cell r="CN76">
            <v>0.49652182796295613</v>
          </cell>
          <cell r="CO76">
            <v>0.48662557749959934</v>
          </cell>
          <cell r="CP76">
            <v>0.47468008849718052</v>
          </cell>
          <cell r="CQ76">
            <v>0.45983016405859023</v>
          </cell>
          <cell r="CR76">
            <v>0.46675498534532128</v>
          </cell>
          <cell r="CS76">
            <v>0.45946697344760101</v>
          </cell>
          <cell r="CT76">
            <v>0.45054449018943182</v>
          </cell>
          <cell r="CU76">
            <v>0.43340410677289387</v>
          </cell>
          <cell r="CV76">
            <v>0.43766572215837701</v>
          </cell>
          <cell r="CW76">
            <v>0.43229543277118221</v>
          </cell>
          <cell r="CX76">
            <v>0.42411259148351688</v>
          </cell>
          <cell r="CY76">
            <v>0.40820822257257389</v>
          </cell>
          <cell r="CZ76">
            <v>0.41081164088660638</v>
          </cell>
          <cell r="DA76">
            <v>0.40615300587559444</v>
          </cell>
          <cell r="DB76">
            <v>0.39937369710423781</v>
          </cell>
          <cell r="DC76">
            <v>0.38531178838039915</v>
          </cell>
          <cell r="DD76">
            <v>0.38673804861891381</v>
          </cell>
          <cell r="DE76">
            <v>0.38262278065889727</v>
          </cell>
          <cell r="DF76">
            <v>0.37681254446761192</v>
          </cell>
          <cell r="DG76">
            <v>0.36405972313455814</v>
          </cell>
          <cell r="DH76">
            <v>0.36458006595723669</v>
          </cell>
          <cell r="DI76">
            <v>0.36084392016467165</v>
          </cell>
          <cell r="DJ76">
            <v>0.35571226323798422</v>
          </cell>
          <cell r="DK76">
            <v>0.34390232888598232</v>
          </cell>
          <cell r="DL76">
            <v>0.34369311360555105</v>
          </cell>
          <cell r="DM76">
            <v>0.34020552061403297</v>
          </cell>
          <cell r="DN76">
            <v>0.33555352452834875</v>
          </cell>
          <cell r="DP76" t="str">
            <v>NA</v>
          </cell>
          <cell r="DQ76" t="str">
            <v>NA</v>
          </cell>
          <cell r="DR76" t="str">
            <v>NA</v>
          </cell>
          <cell r="DS76" t="str">
            <v>NA</v>
          </cell>
          <cell r="DT76" t="str">
            <v>NA</v>
          </cell>
          <cell r="DU76" t="str">
            <v>NA</v>
          </cell>
          <cell r="DV76" t="str">
            <v>NA</v>
          </cell>
          <cell r="DW76" t="str">
            <v>NA</v>
          </cell>
          <cell r="DX76" t="str">
            <v>NA</v>
          </cell>
          <cell r="DY76" t="str">
            <v>NA</v>
          </cell>
          <cell r="DZ76">
            <v>0</v>
          </cell>
          <cell r="EA76">
            <v>0.56460714285714286</v>
          </cell>
          <cell r="EB76">
            <v>0.73028571740344239</v>
          </cell>
          <cell r="EC76">
            <v>0.77459779335781997</v>
          </cell>
          <cell r="ED76">
            <v>0.77798163412630839</v>
          </cell>
          <cell r="EE76">
            <v>0.75016935615659297</v>
          </cell>
          <cell r="EF76">
            <v>0.72035664309561453</v>
          </cell>
          <cell r="EG76">
            <v>0.70602087893257848</v>
          </cell>
          <cell r="EH76">
            <v>0.69365256155862121</v>
          </cell>
          <cell r="EI76">
            <v>0.64118686849217199</v>
          </cell>
          <cell r="EJ76">
            <v>0.58228906610480702</v>
          </cell>
          <cell r="EK76">
            <v>0.52554332906390444</v>
          </cell>
          <cell r="EL76">
            <v>0.48695111663582802</v>
          </cell>
          <cell r="EM76">
            <v>0.45897302023206055</v>
          </cell>
          <cell r="EN76">
            <v>0.43160806931701284</v>
          </cell>
          <cell r="EO76">
            <v>0.40590001266652331</v>
          </cell>
          <cell r="EP76">
            <v>0.38265119182935253</v>
          </cell>
          <cell r="EQ76">
            <v>0.36108776382772223</v>
          </cell>
          <cell r="ER76">
            <v>0.34063063181960179</v>
          </cell>
        </row>
        <row r="77">
          <cell r="A77" t="str">
            <v>% of subscription revenues</v>
          </cell>
          <cell r="AU77" t="str">
            <v>NA</v>
          </cell>
          <cell r="AV77" t="str">
            <v>NA</v>
          </cell>
          <cell r="AW77">
            <v>1</v>
          </cell>
          <cell r="AX77">
            <v>1</v>
          </cell>
          <cell r="AY77">
            <v>0.83653881493249593</v>
          </cell>
          <cell r="AZ77">
            <v>0.84589926603292243</v>
          </cell>
          <cell r="BA77">
            <v>0.79647244621692148</v>
          </cell>
          <cell r="BB77">
            <v>0.80319592108536209</v>
          </cell>
          <cell r="BC77">
            <v>0.90322680501026154</v>
          </cell>
          <cell r="BD77">
            <v>0.90696334815405655</v>
          </cell>
          <cell r="BE77">
            <v>0.89046919742830399</v>
          </cell>
          <cell r="BF77">
            <v>0.88422265139968137</v>
          </cell>
          <cell r="BG77">
            <v>0.93541082983648882</v>
          </cell>
          <cell r="BH77">
            <v>0.93712327072890433</v>
          </cell>
          <cell r="BI77">
            <v>0.92321781923884272</v>
          </cell>
          <cell r="BJ77">
            <v>0.91762412982849917</v>
          </cell>
          <cell r="BK77">
            <v>0.94018235257449834</v>
          </cell>
          <cell r="BL77">
            <v>0.92560156621287126</v>
          </cell>
          <cell r="BM77">
            <v>0.9028107354682644</v>
          </cell>
          <cell r="BN77">
            <v>0.88609165800054013</v>
          </cell>
          <cell r="BO77">
            <v>0.88758701735974666</v>
          </cell>
          <cell r="BP77">
            <v>0.87506181675807182</v>
          </cell>
          <cell r="BQ77">
            <v>0.86227991292310757</v>
          </cell>
          <cell r="BR77">
            <v>0.84981869364960017</v>
          </cell>
          <cell r="BS77">
            <v>0.8491963726293984</v>
          </cell>
          <cell r="BT77">
            <v>0.84381844514851501</v>
          </cell>
          <cell r="BU77">
            <v>0.83394666074028212</v>
          </cell>
          <cell r="BV77">
            <v>0.82474702272583977</v>
          </cell>
          <cell r="BW77">
            <v>0.81505100476345305</v>
          </cell>
          <cell r="BX77">
            <v>0.8013675144532949</v>
          </cell>
          <cell r="BY77">
            <v>0.78673260368496745</v>
          </cell>
          <cell r="BZ77">
            <v>0.762364483805412</v>
          </cell>
          <cell r="CA77">
            <v>0.71592910528351095</v>
          </cell>
          <cell r="CB77">
            <v>0.73400791983554248</v>
          </cell>
          <cell r="CC77">
            <v>0.70461067965533852</v>
          </cell>
          <cell r="CD77">
            <v>0.681035519559542</v>
          </cell>
          <cell r="CE77">
            <v>0.63550014513714737</v>
          </cell>
          <cell r="CF77">
            <v>0.64754761622292423</v>
          </cell>
          <cell r="CG77">
            <v>0.62713399019168192</v>
          </cell>
          <cell r="CH77">
            <v>0.60327122293098057</v>
          </cell>
          <cell r="CI77">
            <v>0.56913055753282493</v>
          </cell>
          <cell r="CJ77">
            <v>0.57375600955577133</v>
          </cell>
          <cell r="CK77">
            <v>0.55681721029089315</v>
          </cell>
          <cell r="CL77">
            <v>0.53878423016446242</v>
          </cell>
          <cell r="CM77">
            <v>0.51772848381143499</v>
          </cell>
          <cell r="CN77">
            <v>0.52356648689106355</v>
          </cell>
          <cell r="CO77">
            <v>0.51363957368279278</v>
          </cell>
          <cell r="CP77">
            <v>0.50119597852919417</v>
          </cell>
          <cell r="CQ77">
            <v>0.48223468735479186</v>
          </cell>
          <cell r="CR77">
            <v>0.488823643755327</v>
          </cell>
          <cell r="CS77">
            <v>0.48130799600818819</v>
          </cell>
          <cell r="CT77">
            <v>0.47151413966013417</v>
          </cell>
          <cell r="CU77">
            <v>0.45291202440445338</v>
          </cell>
          <cell r="CV77">
            <v>0.45657940575495526</v>
          </cell>
          <cell r="CW77">
            <v>0.45043203553664879</v>
          </cell>
          <cell r="CX77">
            <v>0.44137971846582996</v>
          </cell>
          <cell r="CY77">
            <v>0.42435790392638661</v>
          </cell>
          <cell r="CZ77">
            <v>0.42643847819132008</v>
          </cell>
          <cell r="DA77">
            <v>0.42116872779509545</v>
          </cell>
          <cell r="DB77">
            <v>0.41381872789364449</v>
          </cell>
          <cell r="DC77">
            <v>0.39897743519730677</v>
          </cell>
          <cell r="DD77">
            <v>0.39989143573167485</v>
          </cell>
          <cell r="DE77">
            <v>0.39523967588738701</v>
          </cell>
          <cell r="DF77">
            <v>0.38902026047551885</v>
          </cell>
          <cell r="DG77">
            <v>0.37569301257884641</v>
          </cell>
          <cell r="DH77">
            <v>0.37572043958609669</v>
          </cell>
          <cell r="DI77">
            <v>0.3715050094592387</v>
          </cell>
          <cell r="DJ77">
            <v>0.3660653005299474</v>
          </cell>
          <cell r="DK77">
            <v>0.3538220556836536</v>
          </cell>
          <cell r="DL77">
            <v>0.35316504559560652</v>
          </cell>
          <cell r="DM77">
            <v>0.34925862775323141</v>
          </cell>
          <cell r="DN77">
            <v>0.34437082975122396</v>
          </cell>
          <cell r="DP77" t="str">
            <v>NA</v>
          </cell>
          <cell r="DQ77" t="str">
            <v>NA</v>
          </cell>
          <cell r="DR77" t="str">
            <v>NA</v>
          </cell>
          <cell r="DS77" t="str">
            <v>NA</v>
          </cell>
          <cell r="DT77" t="str">
            <v>NA</v>
          </cell>
          <cell r="DU77" t="str">
            <v>NA</v>
          </cell>
          <cell r="DV77" t="str">
            <v>NA</v>
          </cell>
          <cell r="DW77" t="str">
            <v>NA</v>
          </cell>
          <cell r="DX77" t="str">
            <v>NA</v>
          </cell>
          <cell r="DY77" t="str">
            <v>NA</v>
          </cell>
          <cell r="DZ77" t="str">
            <v>NA</v>
          </cell>
          <cell r="EA77">
            <v>1</v>
          </cell>
          <cell r="EB77">
            <v>0.81769021241002915</v>
          </cell>
          <cell r="EC77">
            <v>0.89464986430141502</v>
          </cell>
          <cell r="ED77">
            <v>0.92703842062227249</v>
          </cell>
          <cell r="EE77">
            <v>0.91067974377622096</v>
          </cell>
          <cell r="EF77">
            <v>0.86684424370438817</v>
          </cell>
          <cell r="EG77">
            <v>0.83685993665888891</v>
          </cell>
          <cell r="EH77">
            <v>0.78954003951295182</v>
          </cell>
          <cell r="EI77">
            <v>0.70716479452774972</v>
          </cell>
          <cell r="EJ77">
            <v>0.62738069480454539</v>
          </cell>
          <cell r="EK77">
            <v>0.55869906106607869</v>
          </cell>
          <cell r="EL77">
            <v>0.51350257149784695</v>
          </cell>
          <cell r="EM77">
            <v>0.48076700072129247</v>
          </cell>
          <cell r="EN77">
            <v>0.44999951377301689</v>
          </cell>
          <cell r="EO77">
            <v>0.42116070001994471</v>
          </cell>
          <cell r="EP77">
            <v>0.39552074195378822</v>
          </cell>
          <cell r="EQ77">
            <v>0.37199840751836899</v>
          </cell>
          <cell r="ER77">
            <v>0.34991484031711512</v>
          </cell>
        </row>
        <row r="78">
          <cell r="A78" t="str">
            <v>% growth y-o-y</v>
          </cell>
          <cell r="AU78" t="str">
            <v>NA</v>
          </cell>
          <cell r="AV78" t="str">
            <v>NA</v>
          </cell>
          <cell r="AW78" t="str">
            <v>NA</v>
          </cell>
          <cell r="AX78" t="str">
            <v>NA</v>
          </cell>
          <cell r="AY78" t="str">
            <v>NA</v>
          </cell>
          <cell r="AZ78" t="str">
            <v>NA</v>
          </cell>
          <cell r="BA78">
            <v>0.67004468768042869</v>
          </cell>
          <cell r="BB78">
            <v>0.6880618837862893</v>
          </cell>
          <cell r="BC78">
            <v>1.0648724856319869</v>
          </cell>
          <cell r="BD78">
            <v>1.0170511395703552</v>
          </cell>
          <cell r="BE78">
            <v>1.2887792359004249</v>
          </cell>
          <cell r="BF78">
            <v>1.0702542811604787</v>
          </cell>
          <cell r="BG78">
            <v>0.92941649729621334</v>
          </cell>
          <cell r="BH78">
            <v>0.95257084100225975</v>
          </cell>
          <cell r="BI78">
            <v>0.88955146914416927</v>
          </cell>
          <cell r="BJ78">
            <v>0.88862730018681524</v>
          </cell>
          <cell r="BK78">
            <v>0.81894784535738596</v>
          </cell>
          <cell r="BL78">
            <v>0.6955958238388058</v>
          </cell>
          <cell r="BM78">
            <v>0.64504562169049362</v>
          </cell>
          <cell r="BN78">
            <v>0.61043888467212959</v>
          </cell>
          <cell r="BO78">
            <v>0.54851799854297911</v>
          </cell>
          <cell r="BP78">
            <v>0.56112516908041932</v>
          </cell>
          <cell r="BQ78">
            <v>0.54439540686325016</v>
          </cell>
          <cell r="BR78">
            <v>0.52486600456465804</v>
          </cell>
          <cell r="BS78">
            <v>0.46645805543533858</v>
          </cell>
          <cell r="BT78">
            <v>0.45643367266712787</v>
          </cell>
          <cell r="BU78">
            <v>0.43564553905406966</v>
          </cell>
          <cell r="BV78">
            <v>0.42417562415818777</v>
          </cell>
          <cell r="BW78">
            <v>0.42667722248314544</v>
          </cell>
          <cell r="BX78">
            <v>0.37710318796829134</v>
          </cell>
          <cell r="BY78">
            <v>0.34796910405150605</v>
          </cell>
          <cell r="BZ78">
            <v>0.30174133203553133</v>
          </cell>
          <cell r="CA78">
            <v>0.27307485226522954</v>
          </cell>
          <cell r="CB78">
            <v>0.26883978318560664</v>
          </cell>
          <cell r="CC78">
            <v>0.26228303750350301</v>
          </cell>
          <cell r="CD78">
            <v>0.2954753916696593</v>
          </cell>
          <cell r="CE78">
            <v>0.24434120843722074</v>
          </cell>
          <cell r="CF78">
            <v>0.28228540497605148</v>
          </cell>
          <cell r="CG78">
            <v>0.24063246920725745</v>
          </cell>
          <cell r="CH78">
            <v>0.18077005961753856</v>
          </cell>
          <cell r="CI78">
            <v>0.21971977428367317</v>
          </cell>
          <cell r="CJ78">
            <v>0.18232068456094175</v>
          </cell>
          <cell r="CK78">
            <v>0.1831081751793171</v>
          </cell>
          <cell r="CL78">
            <v>0.20556548598672908</v>
          </cell>
          <cell r="CM78">
            <v>0.22281186162715327</v>
          </cell>
          <cell r="CN78">
            <v>0.18656511982571566</v>
          </cell>
          <cell r="CO78">
            <v>0.20582571825959417</v>
          </cell>
          <cell r="CP78">
            <v>0.22506008588985149</v>
          </cell>
          <cell r="CQ78">
            <v>0.19786436643255079</v>
          </cell>
          <cell r="CR78">
            <v>0.2485921337818684</v>
          </cell>
          <cell r="CS78">
            <v>0.19659976394125267</v>
          </cell>
          <cell r="CT78">
            <v>0.16540066914753027</v>
          </cell>
          <cell r="CU78">
            <v>0.14754518017331519</v>
          </cell>
          <cell r="CV78">
            <v>0.14915536455912082</v>
          </cell>
          <cell r="CW78">
            <v>0.19189517053379102</v>
          </cell>
          <cell r="CX78">
            <v>0.20776030812362389</v>
          </cell>
          <cell r="CY78">
            <v>0.20964107851380698</v>
          </cell>
          <cell r="CZ78">
            <v>0.20922201448698785</v>
          </cell>
          <cell r="DA78">
            <v>0.21263007050073313</v>
          </cell>
          <cell r="DB78">
            <v>0.20687588845878913</v>
          </cell>
          <cell r="DC78">
            <v>0.19882995231854328</v>
          </cell>
          <cell r="DD78">
            <v>0.19780062609614557</v>
          </cell>
          <cell r="DE78">
            <v>0.2001531415254405</v>
          </cell>
          <cell r="DF78">
            <v>0.19569722273735812</v>
          </cell>
          <cell r="DG78">
            <v>0.18904017413429131</v>
          </cell>
          <cell r="DH78">
            <v>0.18762497214981355</v>
          </cell>
          <cell r="DI78">
            <v>0.18922384269373538</v>
          </cell>
          <cell r="DJ78">
            <v>0.18567414187128506</v>
          </cell>
          <cell r="DK78">
            <v>0.17995235052016123</v>
          </cell>
          <cell r="DL78">
            <v>0.17825119899752173</v>
          </cell>
          <cell r="DM78">
            <v>0.1792718677819618</v>
          </cell>
          <cell r="DN78">
            <v>0.17636469062600746</v>
          </cell>
          <cell r="DQ78" t="str">
            <v>NA</v>
          </cell>
          <cell r="DR78" t="str">
            <v>NA</v>
          </cell>
          <cell r="DS78" t="str">
            <v>NA</v>
          </cell>
          <cell r="DT78" t="str">
            <v>NA</v>
          </cell>
          <cell r="DU78" t="str">
            <v>NA</v>
          </cell>
          <cell r="DV78" t="str">
            <v>NA</v>
          </cell>
          <cell r="DW78" t="str">
            <v>NA</v>
          </cell>
          <cell r="DX78" t="str">
            <v>NA</v>
          </cell>
          <cell r="DY78" t="str">
            <v>NA</v>
          </cell>
          <cell r="DZ78" t="str">
            <v>NA</v>
          </cell>
          <cell r="EA78" t="str">
            <v>NA</v>
          </cell>
          <cell r="EB78">
            <v>1.9719566016109726</v>
          </cell>
          <cell r="EC78">
            <v>1.1114609076156463</v>
          </cell>
          <cell r="ED78">
            <v>0.91124494817931456</v>
          </cell>
          <cell r="EE78">
            <v>0.68013504112580181</v>
          </cell>
          <cell r="EF78">
            <v>0.54347592631182762</v>
          </cell>
          <cell r="EG78">
            <v>0.44377884099183507</v>
          </cell>
          <cell r="EH78">
            <v>0.35870779474578995</v>
          </cell>
          <cell r="EI78">
            <v>0.27534597789049475</v>
          </cell>
          <cell r="EJ78">
            <v>0.23491486927855032</v>
          </cell>
          <cell r="EK78">
            <v>0.19717431371647254</v>
          </cell>
          <cell r="EL78">
            <v>0.21013757071078976</v>
          </cell>
          <cell r="EM78">
            <v>0.20104300229041949</v>
          </cell>
          <cell r="EN78">
            <v>0.17496162997790976</v>
          </cell>
          <cell r="EO78">
            <v>0.20956381881280572</v>
          </cell>
          <cell r="EP78">
            <v>0.19807789505070783</v>
          </cell>
          <cell r="EQ78">
            <v>0.18783860208422243</v>
          </cell>
          <cell r="ER78">
            <v>0.17839941732757492</v>
          </cell>
        </row>
        <row r="79">
          <cell r="A79" t="str">
            <v>% growth seq</v>
          </cell>
          <cell r="AU79" t="str">
            <v>NA</v>
          </cell>
          <cell r="AV79" t="str">
            <v>NA</v>
          </cell>
          <cell r="AW79" t="str">
            <v>NA</v>
          </cell>
          <cell r="AX79">
            <v>0.23733371072742715</v>
          </cell>
          <cell r="AY79">
            <v>6.1867524662111428E-2</v>
          </cell>
          <cell r="AZ79">
            <v>0.19997888948314468</v>
          </cell>
          <cell r="BA79">
            <v>5.9247145501397425E-2</v>
          </cell>
          <cell r="BB79">
            <v>0.25068262544750697</v>
          </cell>
          <cell r="BC79">
            <v>0.29889849188640727</v>
          </cell>
          <cell r="BD79">
            <v>0.17218801806618056</v>
          </cell>
          <cell r="BE79">
            <v>0.20194417719463664</v>
          </cell>
          <cell r="BF79">
            <v>0.13127164869926977</v>
          </cell>
          <cell r="BG79">
            <v>0.21053544067736718</v>
          </cell>
          <cell r="BH79">
            <v>0.18625509186618583</v>
          </cell>
          <cell r="BI79">
            <v>0.16315133779301205</v>
          </cell>
          <cell r="BJ79">
            <v>0.13071835012173172</v>
          </cell>
          <cell r="BK79">
            <v>0.16587366460870689</v>
          </cell>
          <cell r="BL79">
            <v>0.10580915495167642</v>
          </cell>
          <cell r="BM79">
            <v>0.12847471590714332</v>
          </cell>
          <cell r="BN79">
            <v>0.10693148848789469</v>
          </cell>
          <cell r="BO79">
            <v>0.12104617620519109</v>
          </cell>
          <cell r="BP79">
            <v>0.11481203681127128</v>
          </cell>
          <cell r="BQ79">
            <v>0.11638144238934145</v>
          </cell>
          <cell r="BR79">
            <v>9.293396540566401E-2</v>
          </cell>
          <cell r="BS79">
            <v>7.8106004520988037E-2</v>
          </cell>
          <cell r="BT79">
            <v>0.10719142841392615</v>
          </cell>
          <cell r="BU79">
            <v>0.10044698068122315</v>
          </cell>
          <cell r="BV79">
            <v>8.4202102819108449E-2</v>
          </cell>
          <cell r="BW79">
            <v>7.9999723335779871E-2</v>
          </cell>
          <cell r="BX79">
            <v>6.8718853663479518E-2</v>
          </cell>
          <cell r="BY79">
            <v>7.7165853339967061E-2</v>
          </cell>
          <cell r="BZ79">
            <v>4.7020058009832777E-2</v>
          </cell>
          <cell r="CA79">
            <v>5.6216357578679377E-2</v>
          </cell>
          <cell r="CB79">
            <v>6.516360460337367E-2</v>
          </cell>
          <cell r="CC79">
            <v>7.1599585122821052E-2</v>
          </cell>
          <cell r="CD79">
            <v>7.455196610967163E-2</v>
          </cell>
          <cell r="CE79">
            <v>1.4526055231894874E-2</v>
          </cell>
          <cell r="CF79">
            <v>9.764406646145174E-2</v>
          </cell>
          <cell r="CG79">
            <v>3.6790432249540928E-2</v>
          </cell>
          <cell r="CH79">
            <v>2.2703194199165777E-2</v>
          </cell>
          <cell r="CI79">
            <v>4.7991927821381841E-2</v>
          </cell>
          <cell r="CJ79">
            <v>6.3988066295901813E-2</v>
          </cell>
          <cell r="CK79">
            <v>3.7480991713888745E-2</v>
          </cell>
          <cell r="CL79">
            <v>4.2115758474940979E-2</v>
          </cell>
          <cell r="CM79">
            <v>6.2984114198173069E-2</v>
          </cell>
          <cell r="CN79">
            <v>3.2449199255865091E-2</v>
          </cell>
          <cell r="CO79">
            <v>5.4321622228224564E-2</v>
          </cell>
          <cell r="CP79">
            <v>5.8738755735873838E-2</v>
          </cell>
          <cell r="CQ79">
            <v>3.9386400020502865E-2</v>
          </cell>
          <cell r="CR79">
            <v>7.6171881261858365E-2</v>
          </cell>
          <cell r="CS79">
            <v>1.0418831051883126E-2</v>
          </cell>
          <cell r="CT79">
            <v>3.1134128192580324E-2</v>
          </cell>
          <cell r="CU79">
            <v>2.3461617328305984E-2</v>
          </cell>
          <cell r="CV79">
            <v>7.7681917807338241E-2</v>
          </cell>
          <cell r="CW79">
            <v>4.79986972076476E-2</v>
          </cell>
          <cell r="CX79">
            <v>4.4859399694453517E-2</v>
          </cell>
          <cell r="CY79">
            <v>2.5055390771937747E-2</v>
          </cell>
          <cell r="CZ79">
            <v>7.7308569272695582E-2</v>
          </cell>
          <cell r="DA79">
            <v>5.0952363465478046E-2</v>
          </cell>
          <cell r="DB79">
            <v>3.9901324399820748E-2</v>
          </cell>
          <cell r="DC79">
            <v>1.8221605878862901E-2</v>
          </cell>
          <cell r="DD79">
            <v>7.6383582407109296E-2</v>
          </cell>
          <cell r="DE79">
            <v>5.3016464616071346E-2</v>
          </cell>
          <cell r="DF79">
            <v>3.6040387250370731E-2</v>
          </cell>
          <cell r="DG79">
            <v>1.2552653413195891E-2</v>
          </cell>
          <cell r="DH79">
            <v>7.5102464901562582E-2</v>
          </cell>
          <cell r="DI79">
            <v>5.4434115008258566E-2</v>
          </cell>
          <cell r="DJ79">
            <v>3.2947921994725959E-2</v>
          </cell>
          <cell r="DK79">
            <v>7.6663066419713211E-3</v>
          </cell>
          <cell r="DL79">
            <v>7.3552476722502202E-2</v>
          </cell>
          <cell r="DM79">
            <v>5.5347526331203323E-2</v>
          </cell>
          <cell r="DN79">
            <v>3.0401467115104497E-2</v>
          </cell>
        </row>
        <row r="81">
          <cell r="A81" t="str">
            <v>ITOM</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1.8140922318791604</v>
          </cell>
          <cell r="AZ81">
            <v>2.0295066663464114</v>
          </cell>
          <cell r="BA81">
            <v>3.0154642368500912</v>
          </cell>
          <cell r="BB81">
            <v>3.6162749500564706</v>
          </cell>
          <cell r="BC81">
            <v>2.0539142904622105</v>
          </cell>
          <cell r="BD81">
            <v>2.3050782259780855</v>
          </cell>
          <cell r="BE81">
            <v>3.3221787728021113</v>
          </cell>
          <cell r="BF81">
            <v>4.0006862808840111</v>
          </cell>
          <cell r="BG81">
            <v>2.5539203774353947</v>
          </cell>
          <cell r="BH81">
            <v>2.9438884644726997</v>
          </cell>
          <cell r="BI81">
            <v>4.2444421702960113</v>
          </cell>
          <cell r="BJ81">
            <v>5.1802889716050053</v>
          </cell>
          <cell r="BK81">
            <v>4.0338429889565948</v>
          </cell>
          <cell r="BL81">
            <v>4.8445011615143629</v>
          </cell>
          <cell r="BM81">
            <v>6.3873499841232437</v>
          </cell>
          <cell r="BN81">
            <v>7.5972658395872328</v>
          </cell>
          <cell r="BO81">
            <v>6.9496939734524554</v>
          </cell>
          <cell r="BP81">
            <v>8.2304670873530696</v>
          </cell>
          <cell r="BQ81">
            <v>10.212349286209173</v>
          </cell>
          <cell r="BR81">
            <v>12.234220774014783</v>
          </cell>
          <cell r="BS81">
            <v>12.703000000000003</v>
          </cell>
          <cell r="BT81">
            <v>14.379000000000019</v>
          </cell>
          <cell r="BU81">
            <v>17.413000000000011</v>
          </cell>
          <cell r="BV81">
            <v>20.180000000000064</v>
          </cell>
          <cell r="BW81">
            <v>22.816000000000031</v>
          </cell>
          <cell r="BX81">
            <v>26.012</v>
          </cell>
          <cell r="BY81">
            <v>28.92900000000003</v>
          </cell>
          <cell r="BZ81">
            <v>35.036000000000001</v>
          </cell>
          <cell r="CA81">
            <v>53.947999999999979</v>
          </cell>
          <cell r="CB81">
            <v>38.926000000000045</v>
          </cell>
          <cell r="CC81">
            <v>51.646113039193509</v>
          </cell>
          <cell r="CD81">
            <v>60.46247093349146</v>
          </cell>
          <cell r="CE81">
            <v>82.671401436670365</v>
          </cell>
          <cell r="CF81">
            <v>67.345869281135037</v>
          </cell>
          <cell r="CG81">
            <v>79.454441861169826</v>
          </cell>
          <cell r="CH81">
            <v>90.905160911817333</v>
          </cell>
          <cell r="CI81">
            <v>114.34859147523694</v>
          </cell>
          <cell r="CJ81">
            <v>102.68732543723164</v>
          </cell>
          <cell r="CK81">
            <v>117.73822009237672</v>
          </cell>
          <cell r="CL81">
            <v>132.24833256562778</v>
          </cell>
          <cell r="CM81">
            <v>159.14228215558168</v>
          </cell>
          <cell r="CN81">
            <v>149.87685304503967</v>
          </cell>
          <cell r="CO81">
            <v>171.11953129367905</v>
          </cell>
          <cell r="CP81">
            <v>193.58295473946319</v>
          </cell>
          <cell r="CQ81">
            <v>229.53917191147448</v>
          </cell>
          <cell r="CR81">
            <v>222.55258169705866</v>
          </cell>
          <cell r="CS81">
            <v>239.83072642441863</v>
          </cell>
          <cell r="CT81">
            <v>262.4160163551727</v>
          </cell>
          <cell r="CU81">
            <v>306.92607652422953</v>
          </cell>
          <cell r="CV81">
            <v>309.27157657065766</v>
          </cell>
          <cell r="CW81">
            <v>336.27316641594712</v>
          </cell>
          <cell r="CX81">
            <v>369.74847606425919</v>
          </cell>
          <cell r="CY81">
            <v>427.23108776353848</v>
          </cell>
          <cell r="CZ81">
            <v>440.2442434264658</v>
          </cell>
          <cell r="DA81">
            <v>476.93102521006574</v>
          </cell>
          <cell r="DB81">
            <v>517.41041304660962</v>
          </cell>
          <cell r="DC81">
            <v>585.05095620370446</v>
          </cell>
          <cell r="DD81">
            <v>611.84781591143769</v>
          </cell>
          <cell r="DE81">
            <v>661.23146748869385</v>
          </cell>
          <cell r="DF81">
            <v>710.51189784992368</v>
          </cell>
          <cell r="DG81">
            <v>790.71304408981678</v>
          </cell>
          <cell r="DH81">
            <v>835.15965429038386</v>
          </cell>
          <cell r="DI81">
            <v>901.05519189758388</v>
          </cell>
          <cell r="DJ81">
            <v>961.39761478689627</v>
          </cell>
          <cell r="DK81">
            <v>1057.1033684158674</v>
          </cell>
          <cell r="DL81">
            <v>1123.917967048128</v>
          </cell>
          <cell r="DM81">
            <v>1211.1041454385595</v>
          </cell>
          <cell r="DN81">
            <v>1285.3495772464198</v>
          </cell>
          <cell r="DP81">
            <v>0</v>
          </cell>
          <cell r="DQ81">
            <v>0</v>
          </cell>
          <cell r="DR81">
            <v>0</v>
          </cell>
          <cell r="DS81">
            <v>0</v>
          </cell>
          <cell r="DT81">
            <v>0</v>
          </cell>
          <cell r="DU81">
            <v>0</v>
          </cell>
          <cell r="DV81">
            <v>0</v>
          </cell>
          <cell r="DW81">
            <v>0</v>
          </cell>
          <cell r="DX81">
            <v>0</v>
          </cell>
          <cell r="DY81">
            <v>0</v>
          </cell>
          <cell r="DZ81">
            <v>0</v>
          </cell>
          <cell r="EA81">
            <v>0</v>
          </cell>
          <cell r="EB81">
            <v>10.475338085132133</v>
          </cell>
          <cell r="EC81">
            <v>11.681857570126418</v>
          </cell>
          <cell r="ED81">
            <v>14.922539983809111</v>
          </cell>
          <cell r="EE81">
            <v>22.862959974181436</v>
          </cell>
          <cell r="EF81">
            <v>37.626731121029479</v>
          </cell>
          <cell r="EG81">
            <v>64.675000000000097</v>
          </cell>
          <cell r="EH81">
            <v>112.79300000000006</v>
          </cell>
          <cell r="EI81">
            <v>204.98258397268498</v>
          </cell>
          <cell r="EJ81">
            <v>320.37687349079255</v>
          </cell>
          <cell r="EK81">
            <v>467.02246957047305</v>
          </cell>
          <cell r="EL81">
            <v>673.72162123376359</v>
          </cell>
          <cell r="EM81">
            <v>954.33849638812455</v>
          </cell>
          <cell r="EN81">
            <v>1322.2192955750934</v>
          </cell>
          <cell r="EO81">
            <v>1861.8167694466795</v>
          </cell>
          <cell r="EP81">
            <v>2568.6421374537595</v>
          </cell>
          <cell r="EQ81">
            <v>3488.3255050646808</v>
          </cell>
          <cell r="ER81">
            <v>4677.4750581489752</v>
          </cell>
        </row>
        <row r="82">
          <cell r="A82" t="str">
            <v>% of revenues</v>
          </cell>
          <cell r="AU82" t="str">
            <v>NA</v>
          </cell>
          <cell r="AV82" t="str">
            <v>NA</v>
          </cell>
          <cell r="AW82">
            <v>0</v>
          </cell>
          <cell r="AX82">
            <v>0</v>
          </cell>
          <cell r="AY82">
            <v>0.15317843721009544</v>
          </cell>
          <cell r="AZ82">
            <v>0.13950417008155153</v>
          </cell>
          <cell r="BA82">
            <v>0.18176396846594883</v>
          </cell>
          <cell r="BB82">
            <v>0.16934090143088132</v>
          </cell>
          <cell r="BC82">
            <v>8.1465742125266166E-2</v>
          </cell>
          <cell r="BD82">
            <v>7.8178418054826393E-2</v>
          </cell>
          <cell r="BE82">
            <v>9.7148251975381197E-2</v>
          </cell>
          <cell r="BF82">
            <v>0.10211563328613026</v>
          </cell>
          <cell r="BG82">
            <v>5.3844961679816887E-2</v>
          </cell>
          <cell r="BH82">
            <v>5.1852757679090776E-2</v>
          </cell>
          <cell r="BI82">
            <v>6.5963822679244874E-2</v>
          </cell>
          <cell r="BJ82">
            <v>6.8921648859862766E-2</v>
          </cell>
          <cell r="BK82">
            <v>4.6938444582280393E-2</v>
          </cell>
          <cell r="BL82">
            <v>4.7391962214732276E-2</v>
          </cell>
          <cell r="BM82">
            <v>5.7409737496501349E-2</v>
          </cell>
          <cell r="BN82">
            <v>6.0666500356042742E-2</v>
          </cell>
          <cell r="BO82">
            <v>4.9965446642119889E-2</v>
          </cell>
          <cell r="BP82">
            <v>4.9356051544181469E-2</v>
          </cell>
          <cell r="BQ82">
            <v>5.7144172110486002E-2</v>
          </cell>
          <cell r="BR82">
            <v>6.1787745570871209E-2</v>
          </cell>
          <cell r="BS82">
            <v>5.9929988111188708E-2</v>
          </cell>
          <cell r="BT82">
            <v>5.828158692585815E-2</v>
          </cell>
          <cell r="BU82">
            <v>6.6678154317442132E-2</v>
          </cell>
          <cell r="BV82">
            <v>7.0645895326448674E-2</v>
          </cell>
          <cell r="BW82">
            <v>7.4591586869317703E-2</v>
          </cell>
          <cell r="BX82">
            <v>7.6211794487155454E-2</v>
          </cell>
          <cell r="BY82">
            <v>8.088498445433609E-2</v>
          </cell>
          <cell r="BZ82">
            <v>9.0845446578127195E-2</v>
          </cell>
          <cell r="CA82">
            <v>0.12582007645106591</v>
          </cell>
          <cell r="CB82">
            <v>8.6838383252501997E-2</v>
          </cell>
          <cell r="CC82">
            <v>0.10489246553255163</v>
          </cell>
          <cell r="CD82">
            <v>0.11011335226180531</v>
          </cell>
          <cell r="CE82">
            <v>0.1403060331024136</v>
          </cell>
          <cell r="CF82">
            <v>0.10671932329481858</v>
          </cell>
          <cell r="CG82">
            <v>0.11804307828020305</v>
          </cell>
          <cell r="CH82">
            <v>0.1270617156576396</v>
          </cell>
          <cell r="CI82">
            <v>0.14494210036839572</v>
          </cell>
          <cell r="CJ82">
            <v>0.1231404639349753</v>
          </cell>
          <cell r="CK82">
            <v>0.13291243393774754</v>
          </cell>
          <cell r="CL82">
            <v>0.13894930158380853</v>
          </cell>
          <cell r="CM82">
            <v>0.15209423529214375</v>
          </cell>
          <cell r="CN82">
            <v>0.13996168720038965</v>
          </cell>
          <cell r="CO82">
            <v>0.14854487026913765</v>
          </cell>
          <cell r="CP82">
            <v>0.15482548986224692</v>
          </cell>
          <cell r="CQ82">
            <v>0.17110061523036119</v>
          </cell>
          <cell r="CR82">
            <v>0.15647222756277365</v>
          </cell>
          <cell r="CS82">
            <v>0.16427571058710172</v>
          </cell>
          <cell r="CT82">
            <v>0.1709334632644918</v>
          </cell>
          <cell r="CU82">
            <v>0.18791191591027834</v>
          </cell>
          <cell r="CV82">
            <v>0.17742689686669963</v>
          </cell>
          <cell r="CW82">
            <v>0.18182308924435961</v>
          </cell>
          <cell r="CX82">
            <v>0.18771798203054599</v>
          </cell>
          <cell r="CY82">
            <v>0.20366461437379946</v>
          </cell>
          <cell r="CZ82">
            <v>0.19605020319193289</v>
          </cell>
          <cell r="DA82">
            <v>0.19979889635700618</v>
          </cell>
          <cell r="DB82">
            <v>0.20496057481866195</v>
          </cell>
          <cell r="DC82">
            <v>0.21959345329553387</v>
          </cell>
          <cell r="DD82">
            <v>0.2141443642578128</v>
          </cell>
          <cell r="DE82">
            <v>0.21743803199115222</v>
          </cell>
          <cell r="DF82">
            <v>0.22209111970763559</v>
          </cell>
          <cell r="DG82">
            <v>0.23583508111995213</v>
          </cell>
          <cell r="DH82">
            <v>0.23202214518349359</v>
          </cell>
          <cell r="DI82">
            <v>0.23497321002120897</v>
          </cell>
          <cell r="DJ82">
            <v>0.23926050553797745</v>
          </cell>
          <cell r="DK82">
            <v>0.25240908015323199</v>
          </cell>
          <cell r="DL82">
            <v>0.2498242353632579</v>
          </cell>
          <cell r="DM82">
            <v>0.25249714582046751</v>
          </cell>
          <cell r="DN82">
            <v>0.25651349701353837</v>
          </cell>
          <cell r="DP82" t="str">
            <v>NA</v>
          </cell>
          <cell r="DQ82" t="str">
            <v>NA</v>
          </cell>
          <cell r="DR82" t="str">
            <v>NA</v>
          </cell>
          <cell r="DS82" t="str">
            <v>NA</v>
          </cell>
          <cell r="DT82" t="str">
            <v>NA</v>
          </cell>
          <cell r="DU82" t="str">
            <v>NA</v>
          </cell>
          <cell r="DV82" t="str">
            <v>NA</v>
          </cell>
          <cell r="DW82" t="str">
            <v>NA</v>
          </cell>
          <cell r="DX82" t="str">
            <v>NA</v>
          </cell>
          <cell r="DY82" t="str">
            <v>NA</v>
          </cell>
          <cell r="DZ82">
            <v>0</v>
          </cell>
          <cell r="EA82">
            <v>0</v>
          </cell>
          <cell r="EB82">
            <v>0.16282234029364792</v>
          </cell>
          <cell r="EC82">
            <v>9.1213318079236619E-2</v>
          </cell>
          <cell r="ED82">
            <v>6.1230222491338589E-2</v>
          </cell>
          <cell r="EE82">
            <v>5.3839538382624362E-2</v>
          </cell>
          <cell r="EF82">
            <v>5.5125653047454197E-2</v>
          </cell>
          <cell r="EG82">
            <v>6.432251263078341E-2</v>
          </cell>
          <cell r="EH82">
            <v>8.1116106070205793E-2</v>
          </cell>
          <cell r="EI82">
            <v>0.1068455694793338</v>
          </cell>
          <cell r="EJ82">
            <v>0.12280546941248156</v>
          </cell>
          <cell r="EK82">
            <v>0.13496054676633992</v>
          </cell>
          <cell r="EL82">
            <v>0.14907047380492192</v>
          </cell>
          <cell r="EM82">
            <v>0.16571309306391382</v>
          </cell>
          <cell r="EN82">
            <v>0.18375390851144963</v>
          </cell>
          <cell r="EO82">
            <v>0.20117349186252603</v>
          </cell>
          <cell r="EP82">
            <v>0.21839182089664919</v>
          </cell>
          <cell r="EQ82">
            <v>0.23561451231554198</v>
          </cell>
          <cell r="ER82">
            <v>0.25291519536985385</v>
          </cell>
        </row>
        <row r="83">
          <cell r="A83" t="str">
            <v>% of subscription revenues</v>
          </cell>
          <cell r="AU83" t="str">
            <v>NA</v>
          </cell>
          <cell r="AV83" t="str">
            <v>NA</v>
          </cell>
          <cell r="AW83">
            <v>0</v>
          </cell>
          <cell r="AX83">
            <v>0</v>
          </cell>
          <cell r="AY83">
            <v>0.16346118506750407</v>
          </cell>
          <cell r="AZ83">
            <v>0.15410073396707755</v>
          </cell>
          <cell r="BA83">
            <v>0.20352755378307849</v>
          </cell>
          <cell r="BB83">
            <v>0.19680407891463786</v>
          </cell>
          <cell r="BC83">
            <v>9.6773194989738534E-2</v>
          </cell>
          <cell r="BD83">
            <v>9.3036651845943383E-2</v>
          </cell>
          <cell r="BE83">
            <v>0.10953080257169599</v>
          </cell>
          <cell r="BF83">
            <v>0.11577734860031866</v>
          </cell>
          <cell r="BG83">
            <v>6.4589170163511164E-2</v>
          </cell>
          <cell r="BH83">
            <v>6.287672927109568E-2</v>
          </cell>
          <cell r="BI83">
            <v>7.678218076115724E-2</v>
          </cell>
          <cell r="BJ83">
            <v>8.2375870171500887E-2</v>
          </cell>
          <cell r="BK83">
            <v>5.6371656403988293E-2</v>
          </cell>
          <cell r="BL83">
            <v>6.027298150585203E-2</v>
          </cell>
          <cell r="BM83">
            <v>6.8687091191965366E-2</v>
          </cell>
          <cell r="BN83">
            <v>7.2439080070055048E-2</v>
          </cell>
          <cell r="BO83">
            <v>5.9209320327603454E-2</v>
          </cell>
          <cell r="BP83">
            <v>6.2011897526845709E-2</v>
          </cell>
          <cell r="BQ83">
            <v>6.7916160369024953E-2</v>
          </cell>
          <cell r="BR83">
            <v>7.336820033471933E-2</v>
          </cell>
          <cell r="BS83">
            <v>7.0608703385638141E-2</v>
          </cell>
          <cell r="BT83">
            <v>7.1729663126493523E-2</v>
          </cell>
          <cell r="BU83">
            <v>7.8012436830221188E-2</v>
          </cell>
          <cell r="BV83">
            <v>8.2467654534903942E-2</v>
          </cell>
          <cell r="BW83">
            <v>8.5318335813807503E-2</v>
          </cell>
          <cell r="BX83">
            <v>8.9487028646720271E-2</v>
          </cell>
          <cell r="BY83">
            <v>9.0705286987276451E-2</v>
          </cell>
          <cell r="BZ83">
            <v>0.1016703230374575</v>
          </cell>
          <cell r="CA83">
            <v>0.13919047225891673</v>
          </cell>
          <cell r="CB83">
            <v>9.6669249413915151E-2</v>
          </cell>
          <cell r="CC83">
            <v>0.11489526956079232</v>
          </cell>
          <cell r="CD83">
            <v>0.12098833975701559</v>
          </cell>
          <cell r="CE83">
            <v>0.15215828728048655</v>
          </cell>
          <cell r="CF83">
            <v>0.1150656765134329</v>
          </cell>
          <cell r="CG83">
            <v>0.12680917102427966</v>
          </cell>
          <cell r="CH83">
            <v>0.13646575401202651</v>
          </cell>
          <cell r="CI83">
            <v>0.15452804711877921</v>
          </cell>
          <cell r="CJ83">
            <v>0.13148370263503281</v>
          </cell>
          <cell r="CK83">
            <v>0.14101905605679263</v>
          </cell>
          <cell r="CL83">
            <v>0.14707430495046428</v>
          </cell>
          <cell r="CM83">
            <v>0.159989908691831</v>
          </cell>
          <cell r="CN83">
            <v>0.1475851508230592</v>
          </cell>
          <cell r="CO83">
            <v>0.15679102654210247</v>
          </cell>
          <cell r="CP83">
            <v>0.1634741266237705</v>
          </cell>
          <cell r="CQ83">
            <v>0.17943723170216491</v>
          </cell>
          <cell r="CR83">
            <v>0.16387039630044825</v>
          </cell>
          <cell r="CS83">
            <v>0.17208464944111179</v>
          </cell>
          <cell r="CT83">
            <v>0.17888920323139829</v>
          </cell>
          <cell r="CU83">
            <v>0.19637000414774658</v>
          </cell>
          <cell r="CV83">
            <v>0.18509438376128703</v>
          </cell>
          <cell r="CW83">
            <v>0.18945132885372973</v>
          </cell>
          <cell r="CX83">
            <v>0.19536064649671281</v>
          </cell>
          <cell r="CY83">
            <v>0.2117220675148842</v>
          </cell>
          <cell r="CZ83">
            <v>0.20350774412778488</v>
          </cell>
          <cell r="DA83">
            <v>0.20718558222198524</v>
          </cell>
          <cell r="DB83">
            <v>0.21237383672182961</v>
          </cell>
          <cell r="DC83">
            <v>0.22738165668441962</v>
          </cell>
          <cell r="DD83">
            <v>0.22142765001456205</v>
          </cell>
          <cell r="DE83">
            <v>0.2246079994029124</v>
          </cell>
          <cell r="DF83">
            <v>0.22928627644292821</v>
          </cell>
          <cell r="DG83">
            <v>0.24337103630929224</v>
          </cell>
          <cell r="DH83">
            <v>0.23911198258512734</v>
          </cell>
          <cell r="DI83">
            <v>0.24191546464676555</v>
          </cell>
          <cell r="DJ83">
            <v>0.24622420398846184</v>
          </cell>
          <cell r="DK83">
            <v>0.25968972034105026</v>
          </cell>
          <cell r="DL83">
            <v>0.25670920940886582</v>
          </cell>
          <cell r="DM83">
            <v>0.25921627168688122</v>
          </cell>
          <cell r="DN83">
            <v>0.26325387561672714</v>
          </cell>
          <cell r="DP83" t="str">
            <v>NA</v>
          </cell>
          <cell r="DQ83" t="str">
            <v>NA</v>
          </cell>
          <cell r="DR83" t="str">
            <v>NA</v>
          </cell>
          <cell r="DS83" t="str">
            <v>NA</v>
          </cell>
          <cell r="DT83" t="str">
            <v>NA</v>
          </cell>
          <cell r="DU83" t="str">
            <v>NA</v>
          </cell>
          <cell r="DV83" t="str">
            <v>NA</v>
          </cell>
          <cell r="DW83" t="str">
            <v>NA</v>
          </cell>
          <cell r="DX83" t="str">
            <v>NA</v>
          </cell>
          <cell r="DY83" t="str">
            <v>NA</v>
          </cell>
          <cell r="DZ83" t="str">
            <v>NA</v>
          </cell>
          <cell r="EA83">
            <v>0</v>
          </cell>
          <cell r="EB83">
            <v>0.1823097875899708</v>
          </cell>
          <cell r="EC83">
            <v>0.10535013569858501</v>
          </cell>
          <cell r="ED83">
            <v>7.2961579377727584E-2</v>
          </cell>
          <cell r="EE83">
            <v>6.5359344016024501E-2</v>
          </cell>
          <cell r="EF83">
            <v>6.6335690081625695E-2</v>
          </cell>
          <cell r="EG83">
            <v>7.6242694022478588E-2</v>
          </cell>
          <cell r="EH83">
            <v>9.2329239652630651E-2</v>
          </cell>
          <cell r="EI83">
            <v>0.11783994479602469</v>
          </cell>
          <cell r="EJ83">
            <v>0.13231534852817151</v>
          </cell>
          <cell r="EK83">
            <v>0.14347500308609196</v>
          </cell>
          <cell r="EL83">
            <v>0.15719867768673212</v>
          </cell>
          <cell r="EM83">
            <v>0.17358185170079227</v>
          </cell>
          <cell r="EN83">
            <v>0.19158392848144182</v>
          </cell>
          <cell r="EO83">
            <v>0.20873704364204357</v>
          </cell>
          <cell r="EP83">
            <v>0.22573690316951359</v>
          </cell>
          <cell r="EQ83">
            <v>0.24273385074166179</v>
          </cell>
          <cell r="ER83">
            <v>0.25980863708253749</v>
          </cell>
        </row>
        <row r="84">
          <cell r="A84" t="str">
            <v>% growth y-o-y</v>
          </cell>
          <cell r="V84" t="str">
            <v>NA</v>
          </cell>
          <cell r="Z84" t="str">
            <v>NA</v>
          </cell>
          <cell r="AA84" t="str">
            <v>NA</v>
          </cell>
          <cell r="AB84" t="str">
            <v>NA</v>
          </cell>
          <cell r="AC84" t="str">
            <v>NA</v>
          </cell>
          <cell r="AD84" t="str">
            <v>NA</v>
          </cell>
          <cell r="AE84" t="str">
            <v>NA</v>
          </cell>
          <cell r="AF84" t="str">
            <v>NA</v>
          </cell>
          <cell r="AG84" t="str">
            <v>NA</v>
          </cell>
          <cell r="AH84" t="str">
            <v>NA</v>
          </cell>
          <cell r="AI84" t="str">
            <v>NA</v>
          </cell>
          <cell r="AJ84" t="str">
            <v>NA</v>
          </cell>
          <cell r="AK84" t="str">
            <v>NA</v>
          </cell>
          <cell r="AL84" t="str">
            <v>NA</v>
          </cell>
          <cell r="AM84" t="str">
            <v>NA</v>
          </cell>
          <cell r="AN84" t="str">
            <v>NA</v>
          </cell>
          <cell r="AO84" t="str">
            <v>NA</v>
          </cell>
          <cell r="AP84" t="str">
            <v>NA</v>
          </cell>
          <cell r="AQ84" t="str">
            <v>NA</v>
          </cell>
          <cell r="AR84" t="str">
            <v>NA</v>
          </cell>
          <cell r="AS84" t="str">
            <v>NA</v>
          </cell>
          <cell r="AT84" t="str">
            <v>NA</v>
          </cell>
          <cell r="AU84" t="str">
            <v>NA</v>
          </cell>
          <cell r="AV84" t="str">
            <v>NA</v>
          </cell>
          <cell r="AW84" t="str">
            <v>NA</v>
          </cell>
          <cell r="AX84" t="str">
            <v>NA</v>
          </cell>
          <cell r="AY84" t="str">
            <v>NA</v>
          </cell>
          <cell r="AZ84" t="str">
            <v>NA</v>
          </cell>
          <cell r="BA84" t="str">
            <v>NA</v>
          </cell>
          <cell r="BB84" t="str">
            <v>NA</v>
          </cell>
          <cell r="BC84">
            <v>0.13219948488210331</v>
          </cell>
          <cell r="BD84">
            <v>0.13578253484023661</v>
          </cell>
          <cell r="BE84">
            <v>0.10171386952756878</v>
          </cell>
          <cell r="BF84">
            <v>0.10630036049154334</v>
          </cell>
          <cell r="BG84">
            <v>0.24344058040545757</v>
          </cell>
          <cell r="BH84">
            <v>0.27713169613736466</v>
          </cell>
          <cell r="BI84">
            <v>0.27760799781283652</v>
          </cell>
          <cell r="BJ84">
            <v>0.29485008518597056</v>
          </cell>
          <cell r="BK84">
            <v>0.57947092814511092</v>
          </cell>
          <cell r="BL84">
            <v>0.64561301149094152</v>
          </cell>
          <cell r="BM84">
            <v>0.50487383921119222</v>
          </cell>
          <cell r="BN84">
            <v>0.4665718227748552</v>
          </cell>
          <cell r="BO84">
            <v>0.72284692103251214</v>
          </cell>
          <cell r="BP84">
            <v>0.69892973764511868</v>
          </cell>
          <cell r="BQ84">
            <v>0.59883978670239824</v>
          </cell>
          <cell r="BR84">
            <v>0.61034522581343298</v>
          </cell>
          <cell r="BS84">
            <v>0.8278502691665186</v>
          </cell>
          <cell r="BT84">
            <v>0.74704544072532419</v>
          </cell>
          <cell r="BU84">
            <v>0.70509248283493853</v>
          </cell>
          <cell r="BV84">
            <v>0.64947162330615615</v>
          </cell>
          <cell r="BW84">
            <v>0.79611115484531414</v>
          </cell>
          <cell r="BX84">
            <v>0.80902705334167657</v>
          </cell>
          <cell r="BY84">
            <v>0.66134497214724708</v>
          </cell>
          <cell r="BZ84">
            <v>0.7361744301288351</v>
          </cell>
          <cell r="CA84">
            <v>1.3644810659186493</v>
          </cell>
          <cell r="CB84">
            <v>0.49646317084422753</v>
          </cell>
          <cell r="CC84">
            <v>0.78527128622466913</v>
          </cell>
          <cell r="CD84">
            <v>0.72572413898537103</v>
          </cell>
          <cell r="CE84">
            <v>0.53242754943038473</v>
          </cell>
          <cell r="CF84">
            <v>0.73009991473911939</v>
          </cell>
          <cell r="CG84">
            <v>0.53843991707319705</v>
          </cell>
          <cell r="CH84">
            <v>0.50349728531294624</v>
          </cell>
          <cell r="CI84">
            <v>0.38316986875845549</v>
          </cell>
          <cell r="CJ84">
            <v>0.52477540988540583</v>
          </cell>
          <cell r="CK84">
            <v>0.48183307735141945</v>
          </cell>
          <cell r="CL84">
            <v>0.4547945489466263</v>
          </cell>
          <cell r="CM84">
            <v>0.39172927363993937</v>
          </cell>
          <cell r="CN84">
            <v>0.45954578529414492</v>
          </cell>
          <cell r="CO84">
            <v>0.45338982668006755</v>
          </cell>
          <cell r="CP84">
            <v>0.46378370890535292</v>
          </cell>
          <cell r="CQ84">
            <v>0.44235189292479138</v>
          </cell>
          <cell r="CR84">
            <v>0.48490295316101362</v>
          </cell>
          <cell r="CS84">
            <v>0.40153917329761701</v>
          </cell>
          <cell r="CT84">
            <v>0.35557397968405646</v>
          </cell>
          <cell r="CU84">
            <v>0.33714029709317139</v>
          </cell>
          <cell r="CV84">
            <v>0.38965620714138449</v>
          </cell>
          <cell r="CW84">
            <v>0.40212712286439167</v>
          </cell>
          <cell r="CX84">
            <v>0.40901642056716159</v>
          </cell>
          <cell r="CY84">
            <v>0.39196738381338458</v>
          </cell>
          <cell r="CZ84">
            <v>0.42348756490360984</v>
          </cell>
          <cell r="DA84">
            <v>0.41828451640454234</v>
          </cell>
          <cell r="DB84">
            <v>0.39935779737111887</v>
          </cell>
          <cell r="DC84">
            <v>0.36940164927210373</v>
          </cell>
          <cell r="DD84">
            <v>0.38979174639369218</v>
          </cell>
          <cell r="DE84">
            <v>0.38642997107905153</v>
          </cell>
          <cell r="DF84">
            <v>0.37320757358997914</v>
          </cell>
          <cell r="DG84">
            <v>0.35152850483420872</v>
          </cell>
          <cell r="DH84">
            <v>0.36497938306160371</v>
          </cell>
          <cell r="DI84">
            <v>0.36269254595478051</v>
          </cell>
          <cell r="DJ84">
            <v>0.35310558161823402</v>
          </cell>
          <cell r="DK84">
            <v>0.33689886149872517</v>
          </cell>
          <cell r="DL84">
            <v>0.34575222985729059</v>
          </cell>
          <cell r="DM84">
            <v>0.34409540761651436</v>
          </cell>
          <cell r="DN84">
            <v>0.3369593989801305</v>
          </cell>
          <cell r="DQ84" t="str">
            <v>NA</v>
          </cell>
          <cell r="DR84" t="str">
            <v>NA</v>
          </cell>
          <cell r="DS84" t="str">
            <v>NA</v>
          </cell>
          <cell r="DT84" t="str">
            <v>NA</v>
          </cell>
          <cell r="DU84" t="str">
            <v>NA</v>
          </cell>
          <cell r="DV84" t="str">
            <v>NA</v>
          </cell>
          <cell r="DW84" t="str">
            <v>NA</v>
          </cell>
          <cell r="DX84" t="str">
            <v>NA</v>
          </cell>
          <cell r="DY84" t="str">
            <v>NA</v>
          </cell>
          <cell r="DZ84" t="str">
            <v>NA</v>
          </cell>
          <cell r="EA84" t="str">
            <v>NA</v>
          </cell>
          <cell r="EB84" t="str">
            <v>NA</v>
          </cell>
          <cell r="EC84">
            <v>0.11517714036425453</v>
          </cell>
          <cell r="ED84">
            <v>0.27741156697287339</v>
          </cell>
          <cell r="EE84">
            <v>0.53210914489005523</v>
          </cell>
          <cell r="EF84">
            <v>0.6457506448648993</v>
          </cell>
          <cell r="EG84">
            <v>0.71885779266786787</v>
          </cell>
          <cell r="EH84">
            <v>0.74399690761499637</v>
          </cell>
          <cell r="EI84">
            <v>0.8173342669552619</v>
          </cell>
          <cell r="EJ84">
            <v>0.56294679909725631</v>
          </cell>
          <cell r="EK84">
            <v>0.45772840742793197</v>
          </cell>
          <cell r="EL84">
            <v>0.44258930807632146</v>
          </cell>
          <cell r="EM84">
            <v>0.41651754420538967</v>
          </cell>
          <cell r="EN84">
            <v>0.3854825102196795</v>
          </cell>
          <cell r="EO84">
            <v>0.40809983311950582</v>
          </cell>
          <cell r="EP84">
            <v>0.37964281964070179</v>
          </cell>
          <cell r="EQ84">
            <v>0.3580426226763469</v>
          </cell>
          <cell r="ER84">
            <v>0.34089409126464099</v>
          </cell>
        </row>
        <row r="85">
          <cell r="A85" t="str">
            <v>% growth seq</v>
          </cell>
          <cell r="V85" t="str">
            <v>NA</v>
          </cell>
          <cell r="Z85" t="str">
            <v>NA</v>
          </cell>
          <cell r="AA85" t="str">
            <v>NA</v>
          </cell>
          <cell r="AB85" t="str">
            <v>NA</v>
          </cell>
          <cell r="AC85" t="str">
            <v>NA</v>
          </cell>
          <cell r="AD85" t="str">
            <v>NA</v>
          </cell>
          <cell r="AE85" t="str">
            <v>NA</v>
          </cell>
          <cell r="AF85" t="str">
            <v>NA</v>
          </cell>
          <cell r="AG85" t="str">
            <v>NA</v>
          </cell>
          <cell r="AH85" t="str">
            <v>NA</v>
          </cell>
          <cell r="AI85" t="str">
            <v>NA</v>
          </cell>
          <cell r="AJ85" t="str">
            <v>NA</v>
          </cell>
          <cell r="AK85" t="str">
            <v>NA</v>
          </cell>
          <cell r="AL85" t="str">
            <v>NA</v>
          </cell>
          <cell r="AM85" t="str">
            <v>NA</v>
          </cell>
          <cell r="AN85" t="str">
            <v>NA</v>
          </cell>
          <cell r="AO85" t="str">
            <v>NA</v>
          </cell>
          <cell r="AP85" t="str">
            <v>NA</v>
          </cell>
          <cell r="AQ85" t="str">
            <v>NA</v>
          </cell>
          <cell r="AR85" t="str">
            <v>NA</v>
          </cell>
          <cell r="AS85" t="str">
            <v>NA</v>
          </cell>
          <cell r="AT85" t="str">
            <v>NA</v>
          </cell>
          <cell r="AU85" t="str">
            <v>NA</v>
          </cell>
          <cell r="AV85" t="str">
            <v>NA</v>
          </cell>
          <cell r="AW85" t="str">
            <v>NA</v>
          </cell>
          <cell r="AX85" t="str">
            <v>NA</v>
          </cell>
          <cell r="AY85" t="str">
            <v>NA</v>
          </cell>
          <cell r="AZ85">
            <v>0.11874502888097926</v>
          </cell>
          <cell r="BA85">
            <v>0.48581144711322133</v>
          </cell>
          <cell r="BB85">
            <v>0.19924318977630362</v>
          </cell>
          <cell r="BC85">
            <v>-0.4320359157341902</v>
          </cell>
          <cell r="BD85">
            <v>0.12228549978069103</v>
          </cell>
          <cell r="BE85">
            <v>0.44124339701853366</v>
          </cell>
          <cell r="BF85">
            <v>0.20423570026895588</v>
          </cell>
          <cell r="BG85">
            <v>-0.36162943102075273</v>
          </cell>
          <cell r="BH85">
            <v>0.15269390952152739</v>
          </cell>
          <cell r="BI85">
            <v>0.44178090356295585</v>
          </cell>
          <cell r="BJ85">
            <v>0.22048758441294236</v>
          </cell>
          <cell r="BK85">
            <v>-0.22130927230748831</v>
          </cell>
          <cell r="BL85">
            <v>0.20096423553844245</v>
          </cell>
          <cell r="BM85">
            <v>0.31847423938414243</v>
          </cell>
          <cell r="BN85">
            <v>0.18942376078834311</v>
          </cell>
          <cell r="BO85">
            <v>-8.523748935577069E-2</v>
          </cell>
          <cell r="BP85">
            <v>0.1842920161366981</v>
          </cell>
          <cell r="BQ85">
            <v>0.24079826549594774</v>
          </cell>
          <cell r="BR85">
            <v>0.19798299403409159</v>
          </cell>
          <cell r="BS85">
            <v>3.8317048109912877E-2</v>
          </cell>
          <cell r="BT85">
            <v>0.13193733763678006</v>
          </cell>
          <cell r="BU85">
            <v>0.21100215592182958</v>
          </cell>
          <cell r="BV85">
            <v>0.15890426692701154</v>
          </cell>
          <cell r="BW85">
            <v>0.13062438057482462</v>
          </cell>
          <cell r="BX85">
            <v>0.14007713884992845</v>
          </cell>
          <cell r="BY85">
            <v>0.11214055051514804</v>
          </cell>
          <cell r="BZ85">
            <v>0.21110304538698066</v>
          </cell>
          <cell r="CA85">
            <v>0.53978764699166515</v>
          </cell>
          <cell r="CB85">
            <v>-0.27845332542448176</v>
          </cell>
          <cell r="CC85">
            <v>0.32677678259244325</v>
          </cell>
          <cell r="CD85">
            <v>0.17070709440625942</v>
          </cell>
          <cell r="CE85">
            <v>0.36731761306296362</v>
          </cell>
          <cell r="CF85">
            <v>-0.18537888422364901</v>
          </cell>
          <cell r="CG85">
            <v>0.17979681173150519</v>
          </cell>
          <cell r="CH85">
            <v>0.14411678922438687</v>
          </cell>
          <cell r="CI85">
            <v>0.25788888472636828</v>
          </cell>
          <cell r="CJ85">
            <v>-0.10197997096038258</v>
          </cell>
          <cell r="CK85">
            <v>0.14657013016027043</v>
          </cell>
          <cell r="CL85">
            <v>0.1232404605901678</v>
          </cell>
          <cell r="CM85">
            <v>0.20335946070705946</v>
          </cell>
          <cell r="CN85">
            <v>-5.8221039594517632E-2</v>
          </cell>
          <cell r="CO85">
            <v>0.14173421590494506</v>
          </cell>
          <cell r="CP85">
            <v>0.13127328760170531</v>
          </cell>
          <cell r="CQ85">
            <v>0.18574061554336518</v>
          </cell>
          <cell r="CR85">
            <v>-3.043746370711109E-2</v>
          </cell>
          <cell r="CS85">
            <v>7.76362358756153E-2</v>
          </cell>
          <cell r="CT85">
            <v>9.4171794696505273E-2</v>
          </cell>
          <cell r="CU85">
            <v>0.16961640065754868</v>
          </cell>
          <cell r="CV85">
            <v>7.6419054157588207E-3</v>
          </cell>
          <cell r="CW85">
            <v>8.7307052735641655E-2</v>
          </cell>
          <cell r="CX85">
            <v>9.9547965736003441E-2</v>
          </cell>
          <cell r="CY85">
            <v>0.15546409362154967</v>
          </cell>
          <cell r="CZ85">
            <v>3.0459290149151608E-2</v>
          </cell>
          <cell r="DA85">
            <v>8.3332791584196597E-2</v>
          </cell>
          <cell r="DB85">
            <v>8.4874721284308619E-2</v>
          </cell>
          <cell r="DC85">
            <v>0.13072899472357857</v>
          </cell>
          <cell r="DD85">
            <v>4.5802608172138548E-2</v>
          </cell>
          <cell r="DE85">
            <v>8.071231161247483E-2</v>
          </cell>
          <cell r="DF85">
            <v>7.4528259443539691E-2</v>
          </cell>
          <cell r="DG85">
            <v>0.11287797781091258</v>
          </cell>
          <cell r="DH85">
            <v>5.6210796739453395E-2</v>
          </cell>
          <cell r="DI85">
            <v>7.8901725279330037E-2</v>
          </cell>
          <cell r="DJ85">
            <v>6.6968620159919112E-2</v>
          </cell>
          <cell r="DK85">
            <v>9.9548565709917325E-2</v>
          </cell>
          <cell r="DL85">
            <v>6.3205359691915763E-2</v>
          </cell>
          <cell r="DM85">
            <v>7.7573435914916722E-2</v>
          </cell>
          <cell r="DN85">
            <v>6.1303920135600709E-2</v>
          </cell>
        </row>
        <row r="87">
          <cell r="A87" t="str">
            <v>non-ITSM/ITOM</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0.19020483767266683</v>
          </cell>
          <cell r="BL87">
            <v>0.6115640397912504</v>
          </cell>
          <cell r="BM87">
            <v>0.88589837409250016</v>
          </cell>
          <cell r="BN87">
            <v>1.2382212278425002</v>
          </cell>
          <cell r="BO87">
            <v>1.6782308003097919</v>
          </cell>
          <cell r="BP87">
            <v>2.1516747499404167</v>
          </cell>
          <cell r="BQ87">
            <v>2.6540828784654167</v>
          </cell>
          <cell r="BR87">
            <v>3.2793231470904169</v>
          </cell>
          <cell r="BS87">
            <v>3.9652115604801672</v>
          </cell>
          <cell r="BT87">
            <v>4.5219081591079169</v>
          </cell>
          <cell r="BU87">
            <v>5.0846066348162502</v>
          </cell>
          <cell r="BV87">
            <v>5.58916850381625</v>
          </cell>
          <cell r="BW87">
            <v>6.2180137373995823</v>
          </cell>
          <cell r="BX87">
            <v>6.9584361453995838</v>
          </cell>
          <cell r="BY87">
            <v>7.7319903719829162</v>
          </cell>
          <cell r="BZ87">
            <v>8.7220321567329169</v>
          </cell>
          <cell r="CA87">
            <v>10.081403270844028</v>
          </cell>
          <cell r="CB87">
            <v>11.706989184316249</v>
          </cell>
          <cell r="CC87">
            <v>13.141208392344026</v>
          </cell>
          <cell r="CD87">
            <v>15.124973249899588</v>
          </cell>
          <cell r="CE87">
            <v>17.541018306524588</v>
          </cell>
          <cell r="CF87">
            <v>18.744621564566256</v>
          </cell>
          <cell r="CG87">
            <v>20.006619672982922</v>
          </cell>
          <cell r="CH87">
            <v>21.619891877024585</v>
          </cell>
          <cell r="CI87">
            <v>23.482901546441255</v>
          </cell>
          <cell r="CJ87">
            <v>24.95954933673292</v>
          </cell>
          <cell r="CK87">
            <v>26.426839585899586</v>
          </cell>
          <cell r="CL87">
            <v>28.257665123982918</v>
          </cell>
          <cell r="CM87">
            <v>30.522037704107923</v>
          </cell>
          <cell r="CN87">
            <v>32.203931878232915</v>
          </cell>
          <cell r="CO87">
            <v>33.743678566399581</v>
          </cell>
          <cell r="CP87">
            <v>36.189734337024575</v>
          </cell>
          <cell r="CQ87">
            <v>39.295022187609405</v>
          </cell>
          <cell r="CR87">
            <v>41.046247436822874</v>
          </cell>
          <cell r="CS87">
            <v>42.580337041280252</v>
          </cell>
          <cell r="CT87">
            <v>45.02194420726785</v>
          </cell>
          <cell r="CU87">
            <v>48.91433687807659</v>
          </cell>
          <cell r="CV87">
            <v>51.637408265686837</v>
          </cell>
          <cell r="CW87">
            <v>54.188558664735595</v>
          </cell>
          <cell r="CX87">
            <v>57.689617991274702</v>
          </cell>
          <cell r="CY87">
            <v>62.750503072926485</v>
          </cell>
          <cell r="CZ87">
            <v>66.449817937196315</v>
          </cell>
          <cell r="DA87">
            <v>69.868672164394667</v>
          </cell>
          <cell r="DB87">
            <v>73.866855095844357</v>
          </cell>
          <cell r="DC87">
            <v>79.634933628342111</v>
          </cell>
          <cell r="DD87">
            <v>84.49671540424302</v>
          </cell>
          <cell r="DE87">
            <v>88.971205412033044</v>
          </cell>
          <cell r="DF87">
            <v>93.579211417718113</v>
          </cell>
          <cell r="DG87">
            <v>100.19694242592038</v>
          </cell>
          <cell r="DH87">
            <v>106.44364872998152</v>
          </cell>
          <cell r="DI87">
            <v>112.20228925577635</v>
          </cell>
          <cell r="DJ87">
            <v>117.55505727457066</v>
          </cell>
          <cell r="DK87">
            <v>125.18842465625329</v>
          </cell>
          <cell r="DL87">
            <v>133.07922719314533</v>
          </cell>
          <cell r="DM87">
            <v>140.39576402200538</v>
          </cell>
          <cell r="DN87">
            <v>146.65545058009235</v>
          </cell>
          <cell r="DP87">
            <v>0</v>
          </cell>
          <cell r="DQ87">
            <v>0</v>
          </cell>
          <cell r="DR87">
            <v>0</v>
          </cell>
          <cell r="DS87">
            <v>0</v>
          </cell>
          <cell r="DT87">
            <v>0</v>
          </cell>
          <cell r="DU87">
            <v>0</v>
          </cell>
          <cell r="DV87">
            <v>0</v>
          </cell>
          <cell r="DW87">
            <v>0</v>
          </cell>
          <cell r="DX87">
            <v>0</v>
          </cell>
          <cell r="DY87">
            <v>0</v>
          </cell>
          <cell r="DZ87">
            <v>0</v>
          </cell>
          <cell r="EA87">
            <v>0</v>
          </cell>
          <cell r="EB87">
            <v>0</v>
          </cell>
          <cell r="EC87">
            <v>0</v>
          </cell>
          <cell r="ED87">
            <v>0</v>
          </cell>
          <cell r="EE87">
            <v>2.9258884793989175</v>
          </cell>
          <cell r="EF87">
            <v>9.7633115758060427</v>
          </cell>
          <cell r="EG87">
            <v>19.160894858220583</v>
          </cell>
          <cell r="EH87">
            <v>29.630472411515001</v>
          </cell>
          <cell r="EI87">
            <v>50.054574097403894</v>
          </cell>
          <cell r="EJ87">
            <v>77.912151421098343</v>
          </cell>
          <cell r="EK87">
            <v>103.12695559305668</v>
          </cell>
          <cell r="EL87">
            <v>132.65938248576498</v>
          </cell>
          <cell r="EM87">
            <v>167.94355087298038</v>
          </cell>
          <cell r="EN87">
            <v>212.42992179977372</v>
          </cell>
          <cell r="EO87">
            <v>272.93584827036182</v>
          </cell>
          <cell r="EP87">
            <v>346.68206586233629</v>
          </cell>
          <cell r="EQ87">
            <v>436.39793768624895</v>
          </cell>
          <cell r="ER87">
            <v>545.31886645149632</v>
          </cell>
        </row>
        <row r="88">
          <cell r="A88" t="str">
            <v>% of revenues</v>
          </cell>
          <cell r="AU88" t="str">
            <v>NA</v>
          </cell>
          <cell r="AV88" t="str">
            <v>NA</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2.213254025211683E-3</v>
          </cell>
          <cell r="BL88">
            <v>5.9827046994898395E-3</v>
          </cell>
          <cell r="BM88">
            <v>7.9624872962412042E-3</v>
          </cell>
          <cell r="BN88">
            <v>9.8875766816457732E-3</v>
          </cell>
          <cell r="BO88">
            <v>1.2065790497589992E-2</v>
          </cell>
          <cell r="BP88">
            <v>1.2903055043808755E-2</v>
          </cell>
          <cell r="BQ88">
            <v>1.4851173275803622E-2</v>
          </cell>
          <cell r="BR88">
            <v>1.6561903532708516E-2</v>
          </cell>
          <cell r="BS88">
            <v>1.8707004776660978E-2</v>
          </cell>
          <cell r="BT88">
            <v>1.8328394425606433E-2</v>
          </cell>
          <cell r="BU88">
            <v>1.9470061783711471E-2</v>
          </cell>
          <cell r="BV88">
            <v>1.95664922241073E-2</v>
          </cell>
          <cell r="BW88">
            <v>2.0328344663738215E-2</v>
          </cell>
          <cell r="BX88">
            <v>2.0387317602075475E-2</v>
          </cell>
          <cell r="BY88">
            <v>2.1618511564136814E-2</v>
          </cell>
          <cell r="BZ88">
            <v>2.2615507088343065E-2</v>
          </cell>
          <cell r="CA88">
            <v>2.3512325392444983E-2</v>
          </cell>
          <cell r="CB88">
            <v>2.611663190465368E-2</v>
          </cell>
          <cell r="CC88">
            <v>2.6689593218834597E-2</v>
          </cell>
          <cell r="CD88">
            <v>2.7545376192921033E-2</v>
          </cell>
          <cell r="CE88">
            <v>2.9769795266511748E-2</v>
          </cell>
          <cell r="CF88">
            <v>2.9703578707066022E-2</v>
          </cell>
          <cell r="CG88">
            <v>2.9723234055393091E-2</v>
          </cell>
          <cell r="CH88">
            <v>3.0218972461774744E-2</v>
          </cell>
          <cell r="CI88">
            <v>2.9765658054673388E-2</v>
          </cell>
          <cell r="CJ88">
            <v>2.9930962480972535E-2</v>
          </cell>
          <cell r="CK88">
            <v>2.983275581955017E-2</v>
          </cell>
          <cell r="CL88">
            <v>2.9689469479081083E-2</v>
          </cell>
          <cell r="CM88">
            <v>2.9170286622042477E-2</v>
          </cell>
          <cell r="CN88">
            <v>3.0073467307252529E-2</v>
          </cell>
          <cell r="CO88">
            <v>2.9292099605198373E-2</v>
          </cell>
          <cell r="CP88">
            <v>2.8944146215018896E-2</v>
          </cell>
          <cell r="CQ88">
            <v>2.9290871862096165E-2</v>
          </cell>
          <cell r="CR88">
            <v>2.8858787979709817E-2</v>
          </cell>
          <cell r="CS88">
            <v>2.9166050692420398E-2</v>
          </cell>
          <cell r="CT88">
            <v>2.9326551607402756E-2</v>
          </cell>
          <cell r="CU88">
            <v>2.9947233100327816E-2</v>
          </cell>
          <cell r="CV88">
            <v>2.9624012695930752E-2</v>
          </cell>
          <cell r="CW88">
            <v>2.9299783991489452E-2</v>
          </cell>
          <cell r="CX88">
            <v>2.9288501168976043E-2</v>
          </cell>
          <cell r="CY88">
            <v>2.9913686939333699E-2</v>
          </cell>
          <cell r="CZ88">
            <v>2.9591529027750422E-2</v>
          </cell>
          <cell r="DA88">
            <v>2.9269816494380808E-2</v>
          </cell>
          <cell r="DB88">
            <v>2.926070426635816E-2</v>
          </cell>
          <cell r="DC88">
            <v>2.9890234163329029E-2</v>
          </cell>
          <cell r="DD88">
            <v>2.9573522911347714E-2</v>
          </cell>
          <cell r="DE88">
            <v>2.9257113068358018E-2</v>
          </cell>
          <cell r="DF88">
            <v>2.9250899116552782E-2</v>
          </cell>
          <cell r="DG88">
            <v>2.9884360984822694E-2</v>
          </cell>
          <cell r="DH88">
            <v>2.9571931058467241E-2</v>
          </cell>
          <cell r="DI88">
            <v>2.9259619516353256E-2</v>
          </cell>
          <cell r="DJ88">
            <v>2.9255619110615489E-2</v>
          </cell>
          <cell r="DK88">
            <v>2.9891774122969277E-2</v>
          </cell>
          <cell r="DL88">
            <v>2.9580820977156908E-2</v>
          </cell>
          <cell r="DM88">
            <v>2.9270422229463525E-2</v>
          </cell>
          <cell r="DN88">
            <v>2.9267604043552366E-2</v>
          </cell>
          <cell r="DP88" t="str">
            <v>NA</v>
          </cell>
          <cell r="DQ88" t="str">
            <v>NA</v>
          </cell>
          <cell r="DR88" t="str">
            <v>NA</v>
          </cell>
          <cell r="DS88" t="str">
            <v>NA</v>
          </cell>
          <cell r="DT88" t="str">
            <v>NA</v>
          </cell>
          <cell r="DU88" t="str">
            <v>NA</v>
          </cell>
          <cell r="DV88" t="str">
            <v>NA</v>
          </cell>
          <cell r="DW88" t="str">
            <v>NA</v>
          </cell>
          <cell r="DX88" t="str">
            <v>NA</v>
          </cell>
          <cell r="DY88" t="str">
            <v>NA</v>
          </cell>
          <cell r="DZ88">
            <v>0</v>
          </cell>
          <cell r="EA88">
            <v>0</v>
          </cell>
          <cell r="EB88">
            <v>0</v>
          </cell>
          <cell r="EC88">
            <v>0</v>
          </cell>
          <cell r="ED88">
            <v>0</v>
          </cell>
          <cell r="EE88">
            <v>6.8901176955114031E-3</v>
          </cell>
          <cell r="EF88">
            <v>1.4303898066267938E-2</v>
          </cell>
          <cell r="EG88">
            <v>1.9056465427676916E-2</v>
          </cell>
          <cell r="EH88">
            <v>2.1309022218069879E-2</v>
          </cell>
          <cell r="EI88">
            <v>2.6090555455166344E-2</v>
          </cell>
          <cell r="EJ88">
            <v>2.9864946941868777E-2</v>
          </cell>
          <cell r="EK88">
            <v>2.9801714521332619E-2</v>
          </cell>
          <cell r="EL88">
            <v>2.935277179557777E-2</v>
          </cell>
          <cell r="EM88">
            <v>2.9162027289717386E-2</v>
          </cell>
          <cell r="EN88">
            <v>2.9522204483116394E-2</v>
          </cell>
          <cell r="EO88">
            <v>2.9491332633837773E-2</v>
          </cell>
          <cell r="EP88">
            <v>2.9475701006345674E-2</v>
          </cell>
          <cell r="EQ88">
            <v>2.9475944006420153E-2</v>
          </cell>
          <cell r="ER88">
            <v>2.948587131580056E-2</v>
          </cell>
        </row>
        <row r="89">
          <cell r="A89" t="str">
            <v>% of subscription revenues</v>
          </cell>
          <cell r="AU89" t="str">
            <v>NA</v>
          </cell>
          <cell r="AV89" t="str">
            <v>NA</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2.6580513383921687E-3</v>
          </cell>
          <cell r="BL89">
            <v>7.6087891882060613E-3</v>
          </cell>
          <cell r="BM89">
            <v>9.5266084619375878E-3</v>
          </cell>
          <cell r="BN89">
            <v>1.1806300919568453E-2</v>
          </cell>
          <cell r="BO89">
            <v>1.4298025987729857E-2</v>
          </cell>
          <cell r="BP89">
            <v>1.6211647855251626E-2</v>
          </cell>
          <cell r="BQ89">
            <v>1.7650700475938318E-2</v>
          </cell>
          <cell r="BR89">
            <v>1.966598789266881E-2</v>
          </cell>
          <cell r="BS89">
            <v>2.2040340623100639E-2</v>
          </cell>
          <cell r="BT89">
            <v>2.2557545652809857E-2</v>
          </cell>
          <cell r="BU89">
            <v>2.2779679199743066E-2</v>
          </cell>
          <cell r="BV89">
            <v>2.2840714435583893E-2</v>
          </cell>
          <cell r="BW89">
            <v>2.3251691100207094E-2</v>
          </cell>
          <cell r="BX89">
            <v>2.3938558153150328E-2</v>
          </cell>
          <cell r="BY89">
            <v>2.4243230172960286E-2</v>
          </cell>
          <cell r="BZ89">
            <v>2.5310304455934688E-2</v>
          </cell>
          <cell r="CA89">
            <v>2.6010886081066369E-2</v>
          </cell>
          <cell r="CB89">
            <v>2.907326356020843E-2</v>
          </cell>
          <cell r="CC89">
            <v>2.9234778606612652E-2</v>
          </cell>
          <cell r="CD89">
            <v>3.0265805782028959E-2</v>
          </cell>
          <cell r="CE89">
            <v>3.2284577934982905E-2</v>
          </cell>
          <cell r="CF89">
            <v>3.2026649657030719E-2</v>
          </cell>
          <cell r="CG89">
            <v>3.1930535238821903E-2</v>
          </cell>
          <cell r="CH89">
            <v>3.2455526364654499E-2</v>
          </cell>
          <cell r="CI89">
            <v>3.1734251116157949E-2</v>
          </cell>
          <cell r="CJ89">
            <v>3.1958899980323564E-2</v>
          </cell>
          <cell r="CK89">
            <v>3.165232131115879E-2</v>
          </cell>
          <cell r="CL89">
            <v>3.1425549018324096E-2</v>
          </cell>
          <cell r="CM89">
            <v>3.0684604740020553E-2</v>
          </cell>
          <cell r="CN89">
            <v>3.1711515466075688E-2</v>
          </cell>
          <cell r="CO89">
            <v>3.09181889509299E-2</v>
          </cell>
          <cell r="CP89">
            <v>3.0560982093974294E-2</v>
          </cell>
          <cell r="CQ89">
            <v>3.0718024911839923E-2</v>
          </cell>
          <cell r="CR89">
            <v>3.0223261320213746E-2</v>
          </cell>
          <cell r="CS89">
            <v>3.0552475414956044E-2</v>
          </cell>
          <cell r="CT89">
            <v>3.0691494517109931E-2</v>
          </cell>
          <cell r="CU89">
            <v>3.1295185617354691E-2</v>
          </cell>
          <cell r="CV89">
            <v>3.0904211657432009E-2</v>
          </cell>
          <cell r="CW89">
            <v>3.0529032563377315E-2</v>
          </cell>
          <cell r="CX89">
            <v>3.0480939872663974E-2</v>
          </cell>
          <cell r="CY89">
            <v>3.1097143042063381E-2</v>
          </cell>
          <cell r="CZ89">
            <v>3.0717159276972123E-2</v>
          </cell>
          <cell r="DA89">
            <v>3.0351939287407901E-2</v>
          </cell>
          <cell r="DB89">
            <v>3.0319040799564923E-2</v>
          </cell>
          <cell r="DC89">
            <v>3.095033508852434E-2</v>
          </cell>
          <cell r="DD89">
            <v>3.0579351007471691E-2</v>
          </cell>
          <cell r="DE89">
            <v>3.0221859416277717E-2</v>
          </cell>
          <cell r="DF89">
            <v>3.0198549810866396E-2</v>
          </cell>
          <cell r="DG89">
            <v>3.0839296120741433E-2</v>
          </cell>
          <cell r="DH89">
            <v>3.0475552489477833E-2</v>
          </cell>
          <cell r="DI89">
            <v>3.0124091380661085E-2</v>
          </cell>
          <cell r="DJ89">
            <v>3.0107106526018515E-2</v>
          </cell>
          <cell r="DK89">
            <v>3.0753990537025204E-2</v>
          </cell>
          <cell r="DL89">
            <v>3.039604686738874E-2</v>
          </cell>
          <cell r="DM89">
            <v>3.0049328662182882E-2</v>
          </cell>
          <cell r="DN89">
            <v>3.0036665844816374E-2</v>
          </cell>
          <cell r="DP89" t="str">
            <v>NA</v>
          </cell>
          <cell r="DQ89" t="str">
            <v>NA</v>
          </cell>
          <cell r="DR89" t="str">
            <v>NA</v>
          </cell>
          <cell r="DS89" t="str">
            <v>NA</v>
          </cell>
          <cell r="DT89" t="str">
            <v>NA</v>
          </cell>
          <cell r="DU89" t="str">
            <v>NA</v>
          </cell>
          <cell r="DV89" t="str">
            <v>NA</v>
          </cell>
          <cell r="DW89" t="str">
            <v>NA</v>
          </cell>
          <cell r="DX89" t="str">
            <v>NA</v>
          </cell>
          <cell r="DY89" t="str">
            <v>NA</v>
          </cell>
          <cell r="DZ89" t="str">
            <v>NA</v>
          </cell>
          <cell r="EA89">
            <v>0</v>
          </cell>
          <cell r="EB89">
            <v>0</v>
          </cell>
          <cell r="EC89">
            <v>0</v>
          </cell>
          <cell r="ED89">
            <v>0</v>
          </cell>
          <cell r="EE89">
            <v>8.364365414343225E-3</v>
          </cell>
          <cell r="EF89">
            <v>1.7212656841748473E-2</v>
          </cell>
          <cell r="EG89">
            <v>2.2587989855001052E-2</v>
          </cell>
          <cell r="EH89">
            <v>2.4254687687209557E-2</v>
          </cell>
          <cell r="EI89">
            <v>2.8775265362117785E-2</v>
          </cell>
          <cell r="EJ89">
            <v>3.2177645525835914E-2</v>
          </cell>
          <cell r="EK89">
            <v>3.1681859516483835E-2</v>
          </cell>
          <cell r="EL89">
            <v>3.0953258515455811E-2</v>
          </cell>
          <cell r="EM89">
            <v>3.0546763702888703E-2</v>
          </cell>
          <cell r="EN89">
            <v>3.0780188340622152E-2</v>
          </cell>
          <cell r="EO89">
            <v>3.0600122958834651E-2</v>
          </cell>
          <cell r="EP89">
            <v>3.0467045132939213E-2</v>
          </cell>
          <cell r="EQ89">
            <v>3.0366590421824421E-2</v>
          </cell>
          <cell r="ER89">
            <v>3.0289536492841124E-2</v>
          </cell>
        </row>
        <row r="90">
          <cell r="A90" t="str">
            <v>% growth y-o-y</v>
          </cell>
          <cell r="AU90" t="str">
            <v>NA</v>
          </cell>
          <cell r="AV90" t="str">
            <v>NA</v>
          </cell>
          <cell r="AW90" t="str">
            <v>NA</v>
          </cell>
          <cell r="AX90" t="str">
            <v>NA</v>
          </cell>
          <cell r="AY90" t="str">
            <v>NA</v>
          </cell>
          <cell r="AZ90" t="str">
            <v>NA</v>
          </cell>
          <cell r="BA90" t="str">
            <v>NA</v>
          </cell>
          <cell r="BB90" t="str">
            <v>NA</v>
          </cell>
          <cell r="BC90" t="str">
            <v>NA</v>
          </cell>
          <cell r="BD90" t="str">
            <v>NA</v>
          </cell>
          <cell r="BE90" t="str">
            <v>NA</v>
          </cell>
          <cell r="BF90" t="str">
            <v>NA</v>
          </cell>
          <cell r="BG90" t="str">
            <v>NA</v>
          </cell>
          <cell r="BH90" t="str">
            <v>NA</v>
          </cell>
          <cell r="BI90" t="str">
            <v>NA</v>
          </cell>
          <cell r="BJ90" t="str">
            <v>NA</v>
          </cell>
          <cell r="BK90" t="str">
            <v>NA</v>
          </cell>
          <cell r="BL90" t="str">
            <v>NA</v>
          </cell>
          <cell r="BM90" t="str">
            <v>NA</v>
          </cell>
          <cell r="BN90" t="str">
            <v>NA</v>
          </cell>
          <cell r="BO90">
            <v>7.8232813678374704</v>
          </cell>
          <cell r="BP90">
            <v>2.518314697958473</v>
          </cell>
          <cell r="BQ90">
            <v>1.9959225076851688</v>
          </cell>
          <cell r="BR90">
            <v>1.6484145751598613</v>
          </cell>
          <cell r="BS90">
            <v>1.3627331590793181</v>
          </cell>
          <cell r="BT90">
            <v>1.1015760673090278</v>
          </cell>
          <cell r="BU90">
            <v>0.91576784435464043</v>
          </cell>
          <cell r="BV90">
            <v>0.70436649671907015</v>
          </cell>
          <cell r="BW90">
            <v>0.56814173532940382</v>
          </cell>
          <cell r="BX90">
            <v>0.53882739333926355</v>
          </cell>
          <cell r="BY90">
            <v>0.52066638135564225</v>
          </cell>
          <cell r="BZ90">
            <v>0.56052410135381803</v>
          </cell>
          <cell r="CA90">
            <v>0.62132212899551154</v>
          </cell>
          <cell r="CB90">
            <v>0.68241670106523378</v>
          </cell>
          <cell r="CC90">
            <v>0.69958933730201767</v>
          </cell>
          <cell r="CD90">
            <v>0.73411115415619754</v>
          </cell>
          <cell r="CE90">
            <v>0.73993816488367026</v>
          </cell>
          <cell r="CF90">
            <v>0.60114793560057778</v>
          </cell>
          <cell r="CG90">
            <v>0.52243378810114871</v>
          </cell>
          <cell r="CH90">
            <v>0.42941686704590487</v>
          </cell>
          <cell r="CI90">
            <v>0.33874220618688455</v>
          </cell>
          <cell r="CJ90">
            <v>0.33155792186890576</v>
          </cell>
          <cell r="CK90">
            <v>0.32090478141025369</v>
          </cell>
          <cell r="CL90">
            <v>0.30702157460890356</v>
          </cell>
          <cell r="CM90">
            <v>0.29975580929578194</v>
          </cell>
          <cell r="CN90">
            <v>0.29024492565009785</v>
          </cell>
          <cell r="CO90">
            <v>0.27687150999334764</v>
          </cell>
          <cell r="CP90">
            <v>0.28070504686919562</v>
          </cell>
          <cell r="CQ90">
            <v>0.28743115281325848</v>
          </cell>
          <cell r="CR90">
            <v>0.27457254573832346</v>
          </cell>
          <cell r="CS90">
            <v>0.26187596759767073</v>
          </cell>
          <cell r="CT90">
            <v>0.24405290704793381</v>
          </cell>
          <cell r="CU90">
            <v>0.24479728359843933</v>
          </cell>
          <cell r="CV90">
            <v>0.25802994159613624</v>
          </cell>
          <cell r="CW90">
            <v>0.27261929872000668</v>
          </cell>
          <cell r="CX90">
            <v>0.28136665368533587</v>
          </cell>
          <cell r="CY90">
            <v>0.28286525133393492</v>
          </cell>
          <cell r="CZ90">
            <v>0.28685424325125064</v>
          </cell>
          <cell r="DA90">
            <v>0.28936206989139301</v>
          </cell>
          <cell r="DB90">
            <v>0.28041851667342277</v>
          </cell>
          <cell r="DC90">
            <v>0.26907243334436881</v>
          </cell>
          <cell r="DD90">
            <v>0.27158686099190454</v>
          </cell>
          <cell r="DE90">
            <v>0.27340627288138308</v>
          </cell>
          <cell r="DF90">
            <v>0.26686334887679197</v>
          </cell>
          <cell r="DG90">
            <v>0.25820337709505226</v>
          </cell>
          <cell r="DH90">
            <v>0.25973711783637476</v>
          </cell>
          <cell r="DI90">
            <v>0.26110789143699042</v>
          </cell>
          <cell r="DJ90">
            <v>0.25620910342821079</v>
          </cell>
          <cell r="DK90">
            <v>0.24942360141189046</v>
          </cell>
          <cell r="DL90">
            <v>0.25023173088261008</v>
          </cell>
          <cell r="DM90">
            <v>0.25127361440869689</v>
          </cell>
          <cell r="DN90">
            <v>0.24754692805391243</v>
          </cell>
          <cell r="DQ90" t="str">
            <v>NA</v>
          </cell>
          <cell r="DR90" t="str">
            <v>NA</v>
          </cell>
          <cell r="DS90" t="str">
            <v>NA</v>
          </cell>
          <cell r="DT90" t="str">
            <v>NA</v>
          </cell>
          <cell r="DU90" t="str">
            <v>NA</v>
          </cell>
          <cell r="DV90" t="str">
            <v>NA</v>
          </cell>
          <cell r="DW90" t="str">
            <v>NA</v>
          </cell>
          <cell r="DX90" t="str">
            <v>NA</v>
          </cell>
          <cell r="DY90" t="str">
            <v>NA</v>
          </cell>
          <cell r="DZ90" t="str">
            <v>NA</v>
          </cell>
          <cell r="EA90" t="str">
            <v>NA</v>
          </cell>
          <cell r="EB90" t="str">
            <v>NA</v>
          </cell>
          <cell r="EC90" t="str">
            <v>NA</v>
          </cell>
          <cell r="ED90" t="str">
            <v>NA</v>
          </cell>
          <cell r="EE90" t="str">
            <v>NA</v>
          </cell>
          <cell r="EF90">
            <v>2.3368707127934614</v>
          </cell>
          <cell r="EG90">
            <v>0.96254054881360185</v>
          </cell>
          <cell r="EH90">
            <v>0.54640337159423757</v>
          </cell>
          <cell r="EI90">
            <v>0.68929382570193765</v>
          </cell>
          <cell r="EJ90">
            <v>0.55654408864782035</v>
          </cell>
          <cell r="EK90">
            <v>0.32363121428489072</v>
          </cell>
          <cell r="EL90">
            <v>0.2863696181359654</v>
          </cell>
          <cell r="EM90">
            <v>0.26597567187531257</v>
          </cell>
          <cell r="EN90">
            <v>0.26488883136953212</v>
          </cell>
          <cell r="EO90">
            <v>0.2848277020391603</v>
          </cell>
          <cell r="EP90">
            <v>0.27019615803243169</v>
          </cell>
          <cell r="EQ90">
            <v>0.25878428871350345</v>
          </cell>
          <cell r="ER90">
            <v>0.24959084211703297</v>
          </cell>
        </row>
        <row r="91">
          <cell r="A91" t="str">
            <v>% growth seq</v>
          </cell>
          <cell r="AU91" t="str">
            <v>NA</v>
          </cell>
          <cell r="AV91" t="str">
            <v>NA</v>
          </cell>
          <cell r="AW91" t="str">
            <v>NA</v>
          </cell>
          <cell r="AX91" t="str">
            <v>NA</v>
          </cell>
          <cell r="AY91" t="str">
            <v>NA</v>
          </cell>
          <cell r="AZ91" t="str">
            <v>NA</v>
          </cell>
          <cell r="BA91" t="str">
            <v>NA</v>
          </cell>
          <cell r="BB91" t="str">
            <v>NA</v>
          </cell>
          <cell r="BC91" t="str">
            <v>NA</v>
          </cell>
          <cell r="BD91" t="str">
            <v>NA</v>
          </cell>
          <cell r="BE91" t="str">
            <v>NA</v>
          </cell>
          <cell r="BF91" t="str">
            <v>NA</v>
          </cell>
          <cell r="BG91" t="str">
            <v>NA</v>
          </cell>
          <cell r="BH91" t="str">
            <v>NA</v>
          </cell>
          <cell r="BI91" t="str">
            <v>NA</v>
          </cell>
          <cell r="BJ91" t="str">
            <v>NA</v>
          </cell>
          <cell r="BK91" t="str">
            <v>NA</v>
          </cell>
          <cell r="BL91">
            <v>2.2152917206223854</v>
          </cell>
          <cell r="BM91">
            <v>0.44857826237607146</v>
          </cell>
          <cell r="BN91">
            <v>0.39770120823498956</v>
          </cell>
          <cell r="BO91">
            <v>0.35535618560987881</v>
          </cell>
          <cell r="BP91">
            <v>0.28210896233296978</v>
          </cell>
          <cell r="BQ91">
            <v>0.23349631655012559</v>
          </cell>
          <cell r="BR91">
            <v>0.23557676879574774</v>
          </cell>
          <cell r="BS91">
            <v>0.20915548197752498</v>
          </cell>
          <cell r="BT91">
            <v>0.14039518198124501</v>
          </cell>
          <cell r="BU91">
            <v>0.12443828045798755</v>
          </cell>
          <cell r="BV91">
            <v>9.9233216104677835E-2</v>
          </cell>
          <cell r="BW91">
            <v>0.11251141080358562</v>
          </cell>
          <cell r="BX91">
            <v>0.11907699777930225</v>
          </cell>
          <cell r="BY91">
            <v>0.11116782714098061</v>
          </cell>
          <cell r="BZ91">
            <v>0.12804488069946962</v>
          </cell>
          <cell r="CA91">
            <v>0.15585486153725703</v>
          </cell>
          <cell r="CB91">
            <v>0.16124599619712709</v>
          </cell>
          <cell r="CC91">
            <v>0.12250965516814416</v>
          </cell>
          <cell r="CD91">
            <v>0.15095756785283831</v>
          </cell>
          <cell r="CE91">
            <v>0.15973879865480356</v>
          </cell>
          <cell r="CF91">
            <v>6.8616498598258246E-2</v>
          </cell>
          <cell r="CG91">
            <v>6.7325878202965317E-2</v>
          </cell>
          <cell r="CH91">
            <v>8.0636920699814096E-2</v>
          </cell>
          <cell r="CI91">
            <v>8.617109095704989E-2</v>
          </cell>
          <cell r="CJ91">
            <v>6.2881828609269386E-2</v>
          </cell>
          <cell r="CK91">
            <v>5.8786728452955517E-2</v>
          </cell>
          <cell r="CL91">
            <v>6.9279019616866888E-2</v>
          </cell>
          <cell r="CM91">
            <v>8.0133038953851266E-2</v>
          </cell>
          <cell r="CN91">
            <v>5.5104255830816573E-2</v>
          </cell>
          <cell r="CO91">
            <v>4.7812381854136277E-2</v>
          </cell>
          <cell r="CP91">
            <v>7.2489303909522906E-2</v>
          </cell>
          <cell r="CQ91">
            <v>8.5805765294273195E-2</v>
          </cell>
          <cell r="CR91">
            <v>4.4566083735808837E-2</v>
          </cell>
          <cell r="CS91">
            <v>3.7374661516100804E-2</v>
          </cell>
          <cell r="CT91">
            <v>5.7341189282286376E-2</v>
          </cell>
          <cell r="CU91">
            <v>8.6455454986335223E-2</v>
          </cell>
          <cell r="CV91">
            <v>5.567020962377045E-2</v>
          </cell>
          <cell r="CW91">
            <v>4.9405082182329529E-2</v>
          </cell>
          <cell r="CX91">
            <v>6.4608829110959443E-2</v>
          </cell>
          <cell r="CY91">
            <v>8.7726098002888886E-2</v>
          </cell>
          <cell r="CZ91">
            <v>5.8952752298584876E-2</v>
          </cell>
          <cell r="DA91">
            <v>5.1450166958013632E-2</v>
          </cell>
          <cell r="DB91">
            <v>5.7224258134494388E-2</v>
          </cell>
          <cell r="DC91">
            <v>7.8087506568588871E-2</v>
          </cell>
          <cell r="DD91">
            <v>6.1050867432010936E-2</v>
          </cell>
          <cell r="DE91">
            <v>5.2954602866910117E-2</v>
          </cell>
          <cell r="DF91">
            <v>5.179210492141828E-2</v>
          </cell>
          <cell r="DG91">
            <v>7.0717960837072047E-2</v>
          </cell>
          <cell r="DH91">
            <v>6.2344280701774668E-2</v>
          </cell>
          <cell r="DI91">
            <v>5.4100367607680777E-2</v>
          </cell>
          <cell r="DJ91">
            <v>4.7706406476182739E-2</v>
          </cell>
          <cell r="DK91">
            <v>6.4934402301838556E-2</v>
          </cell>
          <cell r="DL91">
            <v>6.3031406925671218E-2</v>
          </cell>
          <cell r="DM91">
            <v>5.4978804605178233E-2</v>
          </cell>
          <cell r="DN91">
            <v>4.458600728940687E-2</v>
          </cell>
        </row>
        <row r="93">
          <cell r="A93" t="str">
            <v>non-IT</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4.7517119684144647E-2</v>
          </cell>
          <cell r="BL93">
            <v>0.56173100843997337</v>
          </cell>
          <cell r="BM93">
            <v>1.7786475399856629</v>
          </cell>
          <cell r="BN93">
            <v>3.1092548929019457</v>
          </cell>
          <cell r="BO93">
            <v>4.64720938726858</v>
          </cell>
          <cell r="BP93">
            <v>6.26179825530971</v>
          </cell>
          <cell r="BQ93">
            <v>7.9654174691432971</v>
          </cell>
          <cell r="BR93">
            <v>9.7997564226917984</v>
          </cell>
          <cell r="BS93">
            <v>10.435496069335004</v>
          </cell>
          <cell r="BT93">
            <v>11.875104326057119</v>
          </cell>
          <cell r="BU93">
            <v>14.233221735562539</v>
          </cell>
          <cell r="BV93">
            <v>16.251953147827763</v>
          </cell>
          <cell r="BW93">
            <v>19.195164038536777</v>
          </cell>
          <cell r="BX93">
            <v>23.24388031507101</v>
          </cell>
          <cell r="BY93">
            <v>30.049617308909873</v>
          </cell>
          <cell r="BZ93">
            <v>37.098408863824773</v>
          </cell>
          <cell r="CA93">
            <v>45.480032387280254</v>
          </cell>
          <cell r="CB93">
            <v>55.447002354228154</v>
          </cell>
          <cell r="CC93">
            <v>67.904579121872047</v>
          </cell>
          <cell r="CD93">
            <v>82.943837814199341</v>
          </cell>
          <cell r="CE93">
            <v>102.76699186474011</v>
          </cell>
          <cell r="CF93">
            <v>117.09507856548272</v>
          </cell>
          <cell r="CG93">
            <v>131.09522658695684</v>
          </cell>
          <cell r="CH93">
            <v>153.14725218446449</v>
          </cell>
          <cell r="CI93">
            <v>178.75295564056341</v>
          </cell>
          <cell r="CJ93">
            <v>199.35028634117594</v>
          </cell>
          <cell r="CK93">
            <v>219.95965737753068</v>
          </cell>
          <cell r="CL93">
            <v>247.54169367099507</v>
          </cell>
          <cell r="CM93">
            <v>275.40830852357539</v>
          </cell>
          <cell r="CN93">
            <v>293.28001602741199</v>
          </cell>
          <cell r="CO93">
            <v>320.65889085038236</v>
          </cell>
          <cell r="CP93">
            <v>356.23678089768731</v>
          </cell>
          <cell r="CQ93">
            <v>394.5374020754515</v>
          </cell>
          <cell r="CR93">
            <v>417.03051178631523</v>
          </cell>
          <cell r="CS93">
            <v>435.3435587079511</v>
          </cell>
          <cell r="CT93">
            <v>468.11143925410209</v>
          </cell>
          <cell r="CU93">
            <v>516.38205482136914</v>
          </cell>
          <cell r="CV93">
            <v>551.18521561859211</v>
          </cell>
          <cell r="CW93">
            <v>582.38103260505216</v>
          </cell>
          <cell r="CX93">
            <v>628.56864051818889</v>
          </cell>
          <cell r="CY93">
            <v>691.64015995613443</v>
          </cell>
          <cell r="CZ93">
            <v>738.80907145771209</v>
          </cell>
          <cell r="DA93">
            <v>780.99580360073367</v>
          </cell>
          <cell r="DB93">
            <v>833.48031050940449</v>
          </cell>
          <cell r="DC93">
            <v>905.50961365806575</v>
          </cell>
          <cell r="DD93">
            <v>967.40310604030356</v>
          </cell>
          <cell r="DE93">
            <v>1022.9612247374865</v>
          </cell>
          <cell r="DF93">
            <v>1083.1701572531388</v>
          </cell>
          <cell r="DG93">
            <v>1165.9617250940571</v>
          </cell>
          <cell r="DH93">
            <v>1245.3975948329912</v>
          </cell>
          <cell r="DI93">
            <v>1317.2216200915682</v>
          </cell>
          <cell r="DJ93">
            <v>1386.864204773271</v>
          </cell>
          <cell r="DK93">
            <v>1482.5205000116073</v>
          </cell>
          <cell r="DL93">
            <v>1582.7815886997328</v>
          </cell>
          <cell r="DM93">
            <v>1674.3389671304692</v>
          </cell>
          <cell r="DN93">
            <v>1755.4691866432127</v>
          </cell>
          <cell r="DP93">
            <v>0</v>
          </cell>
          <cell r="DQ93">
            <v>0</v>
          </cell>
          <cell r="DR93">
            <v>0</v>
          </cell>
          <cell r="DS93">
            <v>0</v>
          </cell>
          <cell r="DT93">
            <v>0</v>
          </cell>
          <cell r="DU93">
            <v>0</v>
          </cell>
          <cell r="DV93">
            <v>0</v>
          </cell>
          <cell r="DW93">
            <v>0</v>
          </cell>
          <cell r="DX93">
            <v>0</v>
          </cell>
          <cell r="DY93">
            <v>0</v>
          </cell>
          <cell r="DZ93">
            <v>0</v>
          </cell>
          <cell r="EA93">
            <v>0</v>
          </cell>
          <cell r="EB93">
            <v>0</v>
          </cell>
          <cell r="EC93">
            <v>0</v>
          </cell>
          <cell r="ED93">
            <v>0</v>
          </cell>
          <cell r="EE93">
            <v>5.4971505610117273</v>
          </cell>
          <cell r="EF93">
            <v>28.674181534413385</v>
          </cell>
          <cell r="EG93">
            <v>52.795775278782422</v>
          </cell>
          <cell r="EH93">
            <v>109.58707052634243</v>
          </cell>
          <cell r="EI93">
            <v>251.77545167757978</v>
          </cell>
          <cell r="EJ93">
            <v>504.1045492016442</v>
          </cell>
          <cell r="EK93">
            <v>845.60459303026505</v>
          </cell>
          <cell r="EL93">
            <v>1245.5839962990569</v>
          </cell>
          <cell r="EM93">
            <v>1715.0229118238201</v>
          </cell>
          <cell r="EN93">
            <v>2278.5169435632024</v>
          </cell>
          <cell r="EO93">
            <v>3044.925345523985</v>
          </cell>
          <cell r="EP93">
            <v>3979.0441016889945</v>
          </cell>
          <cell r="EQ93">
            <v>5115.4451447918873</v>
          </cell>
          <cell r="ER93">
            <v>6495.1102424850214</v>
          </cell>
        </row>
        <row r="94">
          <cell r="A94" t="str">
            <v>% of revenues</v>
          </cell>
          <cell r="AU94" t="str">
            <v>NA</v>
          </cell>
          <cell r="AV94" t="str">
            <v>NA</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5.5291683268533082E-4</v>
          </cell>
          <cell r="BL94">
            <v>5.4952065938836392E-3</v>
          </cell>
          <cell r="BM94">
            <v>1.5986549762137561E-2</v>
          </cell>
          <cell r="BN94">
            <v>2.4828354970070635E-2</v>
          </cell>
          <cell r="BO94">
            <v>3.3411527696229633E-2</v>
          </cell>
          <cell r="BP94">
            <v>3.7550437194898624E-2</v>
          </cell>
          <cell r="BQ94">
            <v>4.4571251338149077E-2</v>
          </cell>
          <cell r="BR94">
            <v>4.9492719453605977E-2</v>
          </cell>
          <cell r="BS94">
            <v>4.9232398281477061E-2</v>
          </cell>
          <cell r="BT94">
            <v>4.8132688297707157E-2</v>
          </cell>
          <cell r="BU94">
            <v>5.4502093569069654E-2</v>
          </cell>
          <cell r="BV94">
            <v>5.6894637310792105E-2</v>
          </cell>
          <cell r="BW94">
            <v>6.2754108776793355E-2</v>
          </cell>
          <cell r="BX94">
            <v>6.8101561958181997E-2</v>
          </cell>
          <cell r="BY94">
            <v>8.401821109924025E-2</v>
          </cell>
          <cell r="BZ94">
            <v>9.6193101968606962E-2</v>
          </cell>
          <cell r="CA94">
            <v>0.10607068198940751</v>
          </cell>
          <cell r="CB94">
            <v>0.12369439553611569</v>
          </cell>
          <cell r="CC94">
            <v>0.1379131614345902</v>
          </cell>
          <cell r="CD94">
            <v>0.15105608305733154</v>
          </cell>
          <cell r="CE94">
            <v>0.17441132860745201</v>
          </cell>
          <cell r="CF94">
            <v>0.18555417992299053</v>
          </cell>
          <cell r="CG94">
            <v>0.19476424139010698</v>
          </cell>
          <cell r="CH94">
            <v>0.21405993252338695</v>
          </cell>
          <cell r="CI94">
            <v>0.22657759490822135</v>
          </cell>
          <cell r="CJ94">
            <v>0.23905663762396626</v>
          </cell>
          <cell r="CK94">
            <v>0.24830826733428388</v>
          </cell>
          <cell r="CL94">
            <v>0.26008453022565764</v>
          </cell>
          <cell r="CM94">
            <v>0.26321110587722479</v>
          </cell>
          <cell r="CN94">
            <v>0.2738779540094729</v>
          </cell>
          <cell r="CO94">
            <v>0.27835649725026507</v>
          </cell>
          <cell r="CP94">
            <v>0.28491420736740486</v>
          </cell>
          <cell r="CQ94">
            <v>0.29409181737630713</v>
          </cell>
          <cell r="CR94">
            <v>0.2932057343179798</v>
          </cell>
          <cell r="CS94">
            <v>0.29819520426964269</v>
          </cell>
          <cell r="CT94">
            <v>0.30492006782516717</v>
          </cell>
          <cell r="CU94">
            <v>0.3161488993116221</v>
          </cell>
          <cell r="CV94">
            <v>0.31621102556660852</v>
          </cell>
          <cell r="CW94">
            <v>0.31489375020364113</v>
          </cell>
          <cell r="CX94">
            <v>0.31911865607054396</v>
          </cell>
          <cell r="CY94">
            <v>0.32971061914123384</v>
          </cell>
          <cell r="CZ94">
            <v>0.32900752421427409</v>
          </cell>
          <cell r="DA94">
            <v>0.32717959489037329</v>
          </cell>
          <cell r="DB94">
            <v>0.33016460286556998</v>
          </cell>
          <cell r="DC94">
            <v>0.3398746398873424</v>
          </cell>
          <cell r="DD94">
            <v>0.33858733779319455</v>
          </cell>
          <cell r="DE94">
            <v>0.33638852118601131</v>
          </cell>
          <cell r="DF94">
            <v>0.33857627688742459</v>
          </cell>
          <cell r="DG94">
            <v>0.34775533308273338</v>
          </cell>
          <cell r="DH94">
            <v>0.34599351162986508</v>
          </cell>
          <cell r="DI94">
            <v>0.34349926082822352</v>
          </cell>
          <cell r="DJ94">
            <v>0.34514526106883431</v>
          </cell>
          <cell r="DK94">
            <v>0.3539877432015025</v>
          </cell>
          <cell r="DL94">
            <v>0.35182033897232012</v>
          </cell>
          <cell r="DM94">
            <v>0.34907469512734846</v>
          </cell>
          <cell r="DN94">
            <v>0.35033390755068738</v>
          </cell>
          <cell r="DP94" t="str">
            <v>NA</v>
          </cell>
          <cell r="DQ94" t="str">
            <v>NA</v>
          </cell>
          <cell r="DR94" t="str">
            <v>NA</v>
          </cell>
          <cell r="DS94" t="str">
            <v>NA</v>
          </cell>
          <cell r="DT94" t="str">
            <v>NA</v>
          </cell>
          <cell r="DU94" t="str">
            <v>NA</v>
          </cell>
          <cell r="DV94" t="str">
            <v>NA</v>
          </cell>
          <cell r="DW94" t="str">
            <v>NA</v>
          </cell>
          <cell r="DX94" t="str">
            <v>NA</v>
          </cell>
          <cell r="DY94" t="str">
            <v>NA</v>
          </cell>
          <cell r="DZ94">
            <v>0</v>
          </cell>
          <cell r="EA94">
            <v>0</v>
          </cell>
          <cell r="EB94">
            <v>0</v>
          </cell>
          <cell r="EC94">
            <v>0</v>
          </cell>
          <cell r="ED94">
            <v>0</v>
          </cell>
          <cell r="EE94">
            <v>1.2945132605702877E-2</v>
          </cell>
          <cell r="EF94">
            <v>4.2009574990753071E-2</v>
          </cell>
          <cell r="EG94">
            <v>5.2508031267436875E-2</v>
          </cell>
          <cell r="EH94">
            <v>7.8810532894221366E-2</v>
          </cell>
          <cell r="EI94">
            <v>0.13123598597523881</v>
          </cell>
          <cell r="EJ94">
            <v>0.19323116279631991</v>
          </cell>
          <cell r="EK94">
            <v>0.24436352779439854</v>
          </cell>
          <cell r="EL94">
            <v>0.27560314325685348</v>
          </cell>
          <cell r="EM94">
            <v>0.29779973507243052</v>
          </cell>
          <cell r="EN94">
            <v>0.31665427617829067</v>
          </cell>
          <cell r="EO94">
            <v>0.32901103603327048</v>
          </cell>
          <cell r="EP94">
            <v>0.33830741702981765</v>
          </cell>
          <cell r="EQ94">
            <v>0.34551624018948868</v>
          </cell>
          <cell r="ER94">
            <v>0.35119633039302856</v>
          </cell>
        </row>
        <row r="95">
          <cell r="A95" t="str">
            <v>% of subscription revenues</v>
          </cell>
          <cell r="AU95" t="str">
            <v>NA</v>
          </cell>
          <cell r="AV95" t="str">
            <v>NA</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6.640364415459437E-4</v>
          </cell>
          <cell r="BL95">
            <v>6.988790291131349E-3</v>
          </cell>
          <cell r="BM95">
            <v>1.9126887689109418E-2</v>
          </cell>
          <cell r="BN95">
            <v>2.96463976515756E-2</v>
          </cell>
          <cell r="BO95">
            <v>3.9592838230190247E-2</v>
          </cell>
          <cell r="BP95">
            <v>4.7179095380712688E-2</v>
          </cell>
          <cell r="BQ95">
            <v>5.2973175425081953E-2</v>
          </cell>
          <cell r="BR95">
            <v>5.8768801522580363E-2</v>
          </cell>
          <cell r="BS95">
            <v>5.8004947385788229E-2</v>
          </cell>
          <cell r="BT95">
            <v>5.923897579108714E-2</v>
          </cell>
          <cell r="BU95">
            <v>6.376662904359405E-2</v>
          </cell>
          <cell r="BV95">
            <v>6.6415285317765124E-2</v>
          </cell>
          <cell r="BW95">
            <v>7.1778552394854478E-2</v>
          </cell>
          <cell r="BX95">
            <v>7.9964085176676025E-2</v>
          </cell>
          <cell r="BY95">
            <v>9.4218920870493175E-2</v>
          </cell>
          <cell r="BZ95">
            <v>0.10765518932985332</v>
          </cell>
          <cell r="CA95">
            <v>0.11734238871387945</v>
          </cell>
          <cell r="CB95">
            <v>0.13769768534744942</v>
          </cell>
          <cell r="CC95">
            <v>0.15106490040593909</v>
          </cell>
          <cell r="CD95">
            <v>0.16597464634308245</v>
          </cell>
          <cell r="CE95">
            <v>0.18914460380939602</v>
          </cell>
          <cell r="CF95">
            <v>0.20006608534942594</v>
          </cell>
          <cell r="CG95">
            <v>0.20922778663248598</v>
          </cell>
          <cell r="CH95">
            <v>0.2299028463796062</v>
          </cell>
          <cell r="CI95">
            <v>0.24156261826651237</v>
          </cell>
          <cell r="CJ95">
            <v>0.25525364165330872</v>
          </cell>
          <cell r="CK95">
            <v>0.26345313552063176</v>
          </cell>
          <cell r="CL95">
            <v>0.27529286635697647</v>
          </cell>
          <cell r="CM95">
            <v>0.27687519329766641</v>
          </cell>
          <cell r="CN95">
            <v>0.28879559798194832</v>
          </cell>
          <cell r="CO95">
            <v>0.29380887316713095</v>
          </cell>
          <cell r="CP95">
            <v>0.30082967122229398</v>
          </cell>
          <cell r="CQ95">
            <v>0.30842099255584193</v>
          </cell>
          <cell r="CR95">
            <v>0.30706880466040187</v>
          </cell>
          <cell r="CS95">
            <v>0.31237008203080763</v>
          </cell>
          <cell r="CT95">
            <v>0.31911193361890522</v>
          </cell>
          <cell r="CU95">
            <v>0.33037905216596747</v>
          </cell>
          <cell r="CV95">
            <v>0.32987605571295414</v>
          </cell>
          <cell r="CW95">
            <v>0.3281048610038666</v>
          </cell>
          <cell r="CX95">
            <v>0.33211110776248892</v>
          </cell>
          <cell r="CY95">
            <v>0.34275474991484306</v>
          </cell>
          <cell r="CZ95">
            <v>0.34152262004219935</v>
          </cell>
          <cell r="DA95">
            <v>0.33927562211050338</v>
          </cell>
          <cell r="DB95">
            <v>0.34210639544867194</v>
          </cell>
          <cell r="DC95">
            <v>0.35192879169579599</v>
          </cell>
          <cell r="DD95">
            <v>0.35010306618189924</v>
          </cell>
          <cell r="DE95">
            <v>0.34748085269999435</v>
          </cell>
          <cell r="DF95">
            <v>0.34954524035730034</v>
          </cell>
          <cell r="DG95">
            <v>0.35886762644689402</v>
          </cell>
          <cell r="DH95">
            <v>0.35656594098800259</v>
          </cell>
          <cell r="DI95">
            <v>0.35364790429334353</v>
          </cell>
          <cell r="DJ95">
            <v>0.35519074481590246</v>
          </cell>
          <cell r="DK95">
            <v>0.36419837979026287</v>
          </cell>
          <cell r="DL95">
            <v>0.36151625137657217</v>
          </cell>
          <cell r="DM95">
            <v>0.35836381721116145</v>
          </cell>
          <cell r="DN95">
            <v>0.35953959536797025</v>
          </cell>
          <cell r="DP95" t="str">
            <v>NA</v>
          </cell>
          <cell r="DQ95" t="str">
            <v>NA</v>
          </cell>
          <cell r="DR95" t="str">
            <v>NA</v>
          </cell>
          <cell r="DS95" t="str">
            <v>NA</v>
          </cell>
          <cell r="DT95" t="str">
            <v>NA</v>
          </cell>
          <cell r="DU95" t="str">
            <v>NA</v>
          </cell>
          <cell r="DV95" t="str">
            <v>NA</v>
          </cell>
          <cell r="DW95" t="str">
            <v>NA</v>
          </cell>
          <cell r="DX95" t="str">
            <v>NA</v>
          </cell>
          <cell r="DY95" t="str">
            <v>NA</v>
          </cell>
          <cell r="DZ95" t="str">
            <v>NA</v>
          </cell>
          <cell r="EA95">
            <v>0</v>
          </cell>
          <cell r="EB95">
            <v>0</v>
          </cell>
          <cell r="EC95">
            <v>0</v>
          </cell>
          <cell r="ED95">
            <v>0</v>
          </cell>
          <cell r="EE95">
            <v>1.5714944829137822E-2</v>
          </cell>
          <cell r="EF95">
            <v>5.0552401522544962E-2</v>
          </cell>
          <cell r="EG95">
            <v>6.2238765214684834E-2</v>
          </cell>
          <cell r="EH95">
            <v>8.9704954185600178E-2</v>
          </cell>
          <cell r="EI95">
            <v>0.14474012743752787</v>
          </cell>
          <cell r="EJ95">
            <v>0.20819470642649016</v>
          </cell>
          <cell r="EK95">
            <v>0.25978005235211343</v>
          </cell>
          <cell r="EL95">
            <v>0.29063065663144028</v>
          </cell>
          <cell r="EM95">
            <v>0.31194052620779067</v>
          </cell>
          <cell r="EN95">
            <v>0.33014737314773518</v>
          </cell>
          <cell r="EO95">
            <v>0.34138091629945827</v>
          </cell>
          <cell r="EP95">
            <v>0.34968557121801963</v>
          </cell>
          <cell r="EQ95">
            <v>0.35595637403971248</v>
          </cell>
          <cell r="ER95">
            <v>0.36076851695039386</v>
          </cell>
        </row>
        <row r="96">
          <cell r="A96" t="str">
            <v>% growth y-o-y</v>
          </cell>
          <cell r="AU96" t="str">
            <v>NA</v>
          </cell>
          <cell r="AV96" t="str">
            <v>NA</v>
          </cell>
          <cell r="AW96" t="str">
            <v>NA</v>
          </cell>
          <cell r="AX96" t="str">
            <v>NA</v>
          </cell>
          <cell r="AY96" t="str">
            <v>NA</v>
          </cell>
          <cell r="AZ96" t="str">
            <v>NA</v>
          </cell>
          <cell r="BA96" t="str">
            <v>NA</v>
          </cell>
          <cell r="BB96" t="str">
            <v>NA</v>
          </cell>
          <cell r="BC96" t="str">
            <v>NA</v>
          </cell>
          <cell r="BD96" t="str">
            <v>NA</v>
          </cell>
          <cell r="BE96" t="str">
            <v>NA</v>
          </cell>
          <cell r="BF96" t="str">
            <v>NA</v>
          </cell>
          <cell r="BG96" t="str">
            <v>NA</v>
          </cell>
          <cell r="BH96" t="str">
            <v>NA</v>
          </cell>
          <cell r="BI96" t="str">
            <v>NA</v>
          </cell>
          <cell r="BJ96" t="str">
            <v>NA</v>
          </cell>
          <cell r="BK96" t="str">
            <v>NA</v>
          </cell>
          <cell r="BL96" t="str">
            <v>NA</v>
          </cell>
          <cell r="BM96" t="str">
            <v>NA</v>
          </cell>
          <cell r="BN96" t="str">
            <v>NA</v>
          </cell>
          <cell r="BO96">
            <v>96.800738305677342</v>
          </cell>
          <cell r="BP96">
            <v>10.147325252169779</v>
          </cell>
          <cell r="BQ96">
            <v>3.4783563297804934</v>
          </cell>
          <cell r="BR96">
            <v>2.1518022035000932</v>
          </cell>
          <cell r="BS96">
            <v>1.2455403231719924</v>
          </cell>
          <cell r="BT96">
            <v>0.89643674897823322</v>
          </cell>
          <cell r="BU96">
            <v>0.78687705832113308</v>
          </cell>
          <cell r="BV96">
            <v>0.65840378544466671</v>
          </cell>
          <cell r="BW96">
            <v>0.83941078708680661</v>
          </cell>
          <cell r="BX96">
            <v>0.95736219883709062</v>
          </cell>
          <cell r="BY96">
            <v>1.1112308841384197</v>
          </cell>
          <cell r="BZ96">
            <v>1.2827046402593987</v>
          </cell>
          <cell r="CA96">
            <v>1.3693484617257345</v>
          </cell>
          <cell r="CB96">
            <v>1.3854451839642747</v>
          </cell>
          <cell r="CC96">
            <v>1.2597485493347023</v>
          </cell>
          <cell r="CD96">
            <v>1.2357788475149172</v>
          </cell>
          <cell r="CE96">
            <v>1.2596068311833863</v>
          </cell>
          <cell r="CF96">
            <v>1.1118378558575683</v>
          </cell>
          <cell r="CG96">
            <v>0.93058006223222578</v>
          </cell>
          <cell r="CH96">
            <v>0.846396986446736</v>
          </cell>
          <cell r="CI96">
            <v>0.73940048645030432</v>
          </cell>
          <cell r="CJ96">
            <v>0.70246511453249405</v>
          </cell>
          <cell r="CK96">
            <v>0.67786168195551433</v>
          </cell>
          <cell r="CL96">
            <v>0.61636392517727523</v>
          </cell>
          <cell r="CM96">
            <v>0.54072030605953514</v>
          </cell>
          <cell r="CN96">
            <v>0.4711793065874057</v>
          </cell>
          <cell r="CO96">
            <v>0.45780773926200125</v>
          </cell>
          <cell r="CP96">
            <v>0.43909809945454148</v>
          </cell>
          <cell r="CQ96">
            <v>0.43255446500692063</v>
          </cell>
          <cell r="CR96">
            <v>0.42195338582952302</v>
          </cell>
          <cell r="CS96">
            <v>0.35765316705682726</v>
          </cell>
          <cell r="CT96">
            <v>0.31404578178171239</v>
          </cell>
          <cell r="CU96">
            <v>0.3088291556262035</v>
          </cell>
          <cell r="CV96">
            <v>0.32169038005789186</v>
          </cell>
          <cell r="CW96">
            <v>0.33775042941600231</v>
          </cell>
          <cell r="CX96">
            <v>0.34277564658484394</v>
          </cell>
          <cell r="CY96">
            <v>0.33939619608855676</v>
          </cell>
          <cell r="CZ96">
            <v>0.34040074102595574</v>
          </cell>
          <cell r="DA96">
            <v>0.34103921638253998</v>
          </cell>
          <cell r="DB96">
            <v>0.32599728459613808</v>
          </cell>
          <cell r="DC96">
            <v>0.30922069897661153</v>
          </cell>
          <cell r="DD96">
            <v>0.30940880859998443</v>
          </cell>
          <cell r="DE96">
            <v>0.30981654449509977</v>
          </cell>
          <cell r="DF96">
            <v>0.29957497927111132</v>
          </cell>
          <cell r="DG96">
            <v>0.28763042104414582</v>
          </cell>
          <cell r="DH96">
            <v>0.28736158387019484</v>
          </cell>
          <cell r="DI96">
            <v>0.28765547338277186</v>
          </cell>
          <cell r="DJ96">
            <v>0.28037519819626855</v>
          </cell>
          <cell r="DK96">
            <v>0.27150014284732515</v>
          </cell>
          <cell r="DL96">
            <v>0.27090464544536474</v>
          </cell>
          <cell r="DM96">
            <v>0.27111409469127579</v>
          </cell>
          <cell r="DN96">
            <v>0.26578303816717397</v>
          </cell>
          <cell r="DQ96" t="str">
            <v>NA</v>
          </cell>
          <cell r="DR96" t="str">
            <v>NA</v>
          </cell>
          <cell r="DS96" t="str">
            <v>NA</v>
          </cell>
          <cell r="DT96" t="str">
            <v>NA</v>
          </cell>
          <cell r="DU96" t="str">
            <v>NA</v>
          </cell>
          <cell r="DV96" t="str">
            <v>NA</v>
          </cell>
          <cell r="DW96" t="str">
            <v>NA</v>
          </cell>
          <cell r="DX96" t="str">
            <v>NA</v>
          </cell>
          <cell r="DY96" t="str">
            <v>NA</v>
          </cell>
          <cell r="DZ96" t="str">
            <v>NA</v>
          </cell>
          <cell r="EA96" t="str">
            <v>NA</v>
          </cell>
          <cell r="EB96" t="str">
            <v>NA</v>
          </cell>
          <cell r="EC96" t="str">
            <v>NA</v>
          </cell>
          <cell r="ED96" t="str">
            <v>NA</v>
          </cell>
          <cell r="EE96" t="str">
            <v>NA</v>
          </cell>
          <cell r="EF96">
            <v>4.2161899544436023</v>
          </cell>
          <cell r="EG96">
            <v>0.84123041891952344</v>
          </cell>
          <cell r="EH96">
            <v>1.0756787820176839</v>
          </cell>
          <cell r="EI96">
            <v>1.297492308794387</v>
          </cell>
          <cell r="EJ96">
            <v>1.0021989667491238</v>
          </cell>
          <cell r="EK96">
            <v>0.67743892486084123</v>
          </cell>
          <cell r="EL96">
            <v>0.47300997010369383</v>
          </cell>
          <cell r="EM96">
            <v>0.37688258432958688</v>
          </cell>
          <cell r="EN96">
            <v>0.32856355903732015</v>
          </cell>
          <cell r="EO96">
            <v>0.33636282763921588</v>
          </cell>
          <cell r="EP96">
            <v>0.30677886981306668</v>
          </cell>
          <cell r="EQ96">
            <v>0.2855964935448998</v>
          </cell>
          <cell r="ER96">
            <v>0.26970577508739235</v>
          </cell>
        </row>
        <row r="97">
          <cell r="A97" t="str">
            <v>% growth seq</v>
          </cell>
          <cell r="AU97" t="str">
            <v>NA</v>
          </cell>
          <cell r="AV97" t="str">
            <v>NA</v>
          </cell>
          <cell r="AW97" t="str">
            <v>NA</v>
          </cell>
          <cell r="AX97" t="str">
            <v>NA</v>
          </cell>
          <cell r="AY97" t="str">
            <v>NA</v>
          </cell>
          <cell r="AZ97" t="str">
            <v>NA</v>
          </cell>
          <cell r="BA97" t="str">
            <v>NA</v>
          </cell>
          <cell r="BB97" t="str">
            <v>NA</v>
          </cell>
          <cell r="BC97" t="str">
            <v>NA</v>
          </cell>
          <cell r="BD97" t="str">
            <v>NA</v>
          </cell>
          <cell r="BE97" t="str">
            <v>NA</v>
          </cell>
          <cell r="BF97" t="str">
            <v>NA</v>
          </cell>
          <cell r="BG97" t="str">
            <v>NA</v>
          </cell>
          <cell r="BH97" t="str">
            <v>NA</v>
          </cell>
          <cell r="BI97" t="str">
            <v>NA</v>
          </cell>
          <cell r="BJ97" t="str">
            <v>NA</v>
          </cell>
          <cell r="BK97" t="str">
            <v>NA</v>
          </cell>
          <cell r="BL97">
            <v>10.821655272329352</v>
          </cell>
          <cell r="BM97">
            <v>2.1663688015466382</v>
          </cell>
          <cell r="BN97">
            <v>0.74810063433197582</v>
          </cell>
          <cell r="BO97">
            <v>0.49463763742162126</v>
          </cell>
          <cell r="BP97">
            <v>0.34743191741358403</v>
          </cell>
          <cell r="BQ97">
            <v>0.2720654905144857</v>
          </cell>
          <cell r="BR97">
            <v>0.23028786132734735</v>
          </cell>
          <cell r="BS97">
            <v>6.4873004921951027E-2</v>
          </cell>
          <cell r="BT97">
            <v>0.1379530256307071</v>
          </cell>
          <cell r="BU97">
            <v>0.19857656360383191</v>
          </cell>
          <cell r="BV97">
            <v>0.14183235881313538</v>
          </cell>
          <cell r="BW97">
            <v>0.18109890324797084</v>
          </cell>
          <cell r="BX97">
            <v>0.21092376540288527</v>
          </cell>
          <cell r="BY97">
            <v>0.29279693844517518</v>
          </cell>
          <cell r="BZ97">
            <v>0.23457175785146833</v>
          </cell>
          <cell r="CA97">
            <v>0.22592946113191736</v>
          </cell>
          <cell r="CB97">
            <v>0.21915045886676721</v>
          </cell>
          <cell r="CC97">
            <v>0.22467538800488329</v>
          </cell>
          <cell r="CD97">
            <v>0.22147635530345489</v>
          </cell>
          <cell r="CE97">
            <v>0.23899489790846395</v>
          </cell>
          <cell r="CF97">
            <v>0.13942304275677309</v>
          </cell>
          <cell r="CG97">
            <v>0.11956222407455708</v>
          </cell>
          <cell r="CH97">
            <v>0.16821379520542878</v>
          </cell>
          <cell r="CI97">
            <v>0.16719662345137665</v>
          </cell>
          <cell r="CJ97">
            <v>0.11522791680172073</v>
          </cell>
          <cell r="CK97">
            <v>0.10338270094622803</v>
          </cell>
          <cell r="CL97">
            <v>0.12539588678356406</v>
          </cell>
          <cell r="CM97">
            <v>0.11257341920596819</v>
          </cell>
          <cell r="CN97">
            <v>6.4891678830040656E-2</v>
          </cell>
          <cell r="CO97">
            <v>9.3354041621476647E-2</v>
          </cell>
          <cell r="CP97">
            <v>0.11095245153799715</v>
          </cell>
          <cell r="CQ97">
            <v>0.10751450504703586</v>
          </cell>
          <cell r="CR97">
            <v>5.7011349475460271E-2</v>
          </cell>
          <cell r="CS97">
            <v>4.3912966567346556E-2</v>
          </cell>
          <cell r="CT97">
            <v>7.526901430080235E-2</v>
          </cell>
          <cell r="CU97">
            <v>0.10311778674792138</v>
          </cell>
          <cell r="CV97">
            <v>6.7398083400211029E-2</v>
          </cell>
          <cell r="CW97">
            <v>5.6597702736727262E-2</v>
          </cell>
          <cell r="CX97">
            <v>7.9308228337270359E-2</v>
          </cell>
          <cell r="CY97">
            <v>0.10034149871993248</v>
          </cell>
          <cell r="CZ97">
            <v>6.8198630201822263E-2</v>
          </cell>
          <cell r="DA97">
            <v>5.71009937111151E-2</v>
          </cell>
          <cell r="DB97">
            <v>6.7202034462533922E-2</v>
          </cell>
          <cell r="DC97">
            <v>8.6419921671141209E-2</v>
          </cell>
          <cell r="DD97">
            <v>6.8352109628302404E-2</v>
          </cell>
          <cell r="DE97">
            <v>5.7430163651829735E-2</v>
          </cell>
          <cell r="DF97">
            <v>5.885749240505489E-2</v>
          </cell>
          <cell r="DG97">
            <v>7.6434498574880605E-2</v>
          </cell>
          <cell r="DH97">
            <v>6.8129054349983953E-2</v>
          </cell>
          <cell r="DI97">
            <v>5.7671562524744147E-2</v>
          </cell>
          <cell r="DJ97">
            <v>5.2870818106418138E-2</v>
          </cell>
          <cell r="DK97">
            <v>6.8973079634696122E-2</v>
          </cell>
          <cell r="DL97">
            <v>6.7628804247455987E-2</v>
          </cell>
          <cell r="DM97">
            <v>5.7845870260565535E-2</v>
          </cell>
          <cell r="DN97">
            <v>4.8455074572974155E-2</v>
          </cell>
        </row>
        <row r="99">
          <cell r="A99" t="str">
            <v>Emerging Products</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4.7517119684144647E-2</v>
          </cell>
          <cell r="BL99">
            <v>0.55246163284012917</v>
          </cell>
          <cell r="BM99">
            <v>1.7334676037963865</v>
          </cell>
          <cell r="BN99">
            <v>2.9951460565959596</v>
          </cell>
          <cell r="BO99">
            <v>4.4221655263148376</v>
          </cell>
          <cell r="BP99">
            <v>5.8872922556146525</v>
          </cell>
          <cell r="BQ99">
            <v>7.3873025530705885</v>
          </cell>
          <cell r="BR99">
            <v>8.9219910634025474</v>
          </cell>
          <cell r="BS99">
            <v>9.2857472216411132</v>
          </cell>
          <cell r="BT99">
            <v>10.237160625509505</v>
          </cell>
          <cell r="BU99">
            <v>11.769914340626993</v>
          </cell>
          <cell r="BV99">
            <v>12.889027001945692</v>
          </cell>
          <cell r="BW99">
            <v>14.464601864255124</v>
          </cell>
          <cell r="BX99">
            <v>16.80053508733485</v>
          </cell>
          <cell r="BY99">
            <v>21.033089997402286</v>
          </cell>
          <cell r="BZ99">
            <v>25.369585046470874</v>
          </cell>
          <cell r="CA99">
            <v>30.653539720771139</v>
          </cell>
          <cell r="CB99">
            <v>37.254912895040121</v>
          </cell>
          <cell r="CC99">
            <v>45.690637284448719</v>
          </cell>
          <cell r="CD99">
            <v>55.846380469808359</v>
          </cell>
          <cell r="CE99">
            <v>69.738647342785612</v>
          </cell>
          <cell r="CF99">
            <v>80.10282364802039</v>
          </cell>
          <cell r="CG99">
            <v>89.722420822840434</v>
          </cell>
          <cell r="CH99">
            <v>104.82898088990899</v>
          </cell>
          <cell r="CI99">
            <v>122.17266390150849</v>
          </cell>
          <cell r="CJ99">
            <v>135.37232600823361</v>
          </cell>
          <cell r="CK99">
            <v>149.26795397191603</v>
          </cell>
          <cell r="CL99">
            <v>168.05905674515697</v>
          </cell>
          <cell r="CM99">
            <v>187.30644541512925</v>
          </cell>
          <cell r="CN99">
            <v>199.24704886439437</v>
          </cell>
          <cell r="CO99">
            <v>217.58151061734327</v>
          </cell>
          <cell r="CP99">
            <v>240.42434393415789</v>
          </cell>
          <cell r="CQ99">
            <v>263.25351490229616</v>
          </cell>
          <cell r="CR99">
            <v>276.46040554503458</v>
          </cell>
          <cell r="CS99">
            <v>287.07781797575905</v>
          </cell>
          <cell r="CT99">
            <v>305.54646535047141</v>
          </cell>
          <cell r="CU99">
            <v>331.75954976162677</v>
          </cell>
          <cell r="CV99">
            <v>350.37401657587236</v>
          </cell>
          <cell r="CW99">
            <v>366.69340593996998</v>
          </cell>
          <cell r="CX99">
            <v>390.34039136548876</v>
          </cell>
          <cell r="CY99">
            <v>421.30305914420791</v>
          </cell>
          <cell r="CZ99">
            <v>444.05622973795789</v>
          </cell>
          <cell r="DA99">
            <v>463.85060189068054</v>
          </cell>
          <cell r="DB99">
            <v>488.0332171357781</v>
          </cell>
          <cell r="DC99">
            <v>519.56372079451239</v>
          </cell>
          <cell r="DD99">
            <v>546.16393550319424</v>
          </cell>
          <cell r="DE99">
            <v>569.27191386790128</v>
          </cell>
          <cell r="DF99">
            <v>593.90246988088279</v>
          </cell>
          <cell r="DG99">
            <v>625.75876633833718</v>
          </cell>
          <cell r="DH99">
            <v>655.71391923128203</v>
          </cell>
          <cell r="DI99">
            <v>681.78629442245131</v>
          </cell>
          <cell r="DJ99">
            <v>706.65041510617391</v>
          </cell>
          <cell r="DK99">
            <v>738.40592250566908</v>
          </cell>
          <cell r="DL99">
            <v>770.92854649818878</v>
          </cell>
          <cell r="DM99">
            <v>799.33837483594925</v>
          </cell>
          <cell r="DN99">
            <v>824.05441778039631</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5.3285924129166204</v>
          </cell>
          <cell r="EF99">
            <v>26.618751398402626</v>
          </cell>
          <cell r="EG99">
            <v>44.181849189723309</v>
          </cell>
          <cell r="EH99">
            <v>77.667811995463126</v>
          </cell>
          <cell r="EI99">
            <v>169.44547037006834</v>
          </cell>
          <cell r="EJ99">
            <v>344.39287270355544</v>
          </cell>
          <cell r="EK99">
            <v>574.87200062681507</v>
          </cell>
          <cell r="EL99">
            <v>844.55934883102486</v>
          </cell>
          <cell r="EM99">
            <v>1132.3382037735612</v>
          </cell>
          <cell r="EN99">
            <v>1439.167363642958</v>
          </cell>
          <cell r="EO99">
            <v>1817.2431079086246</v>
          </cell>
          <cell r="EP99">
            <v>2228.9020400464906</v>
          </cell>
          <cell r="EQ99">
            <v>2669.9093950982447</v>
          </cell>
          <cell r="ER99">
            <v>3132.7272616202035</v>
          </cell>
        </row>
        <row r="100">
          <cell r="A100" t="str">
            <v>% of revenues</v>
          </cell>
          <cell r="AU100" t="str">
            <v>NA</v>
          </cell>
          <cell r="AV100" t="str">
            <v>NA</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5.5291683268533082E-4</v>
          </cell>
          <cell r="BL100">
            <v>5.4045277224093555E-3</v>
          </cell>
          <cell r="BM100">
            <v>1.5580470827496081E-2</v>
          </cell>
          <cell r="BN100">
            <v>2.3917160876754447E-2</v>
          </cell>
          <cell r="BO100">
            <v>3.1793554722229042E-2</v>
          </cell>
          <cell r="BP100">
            <v>3.5304618430498584E-2</v>
          </cell>
          <cell r="BQ100">
            <v>4.133635431907532E-2</v>
          </cell>
          <cell r="BR100">
            <v>4.5059650630303157E-2</v>
          </cell>
          <cell r="BS100">
            <v>4.3808133558722769E-2</v>
          </cell>
          <cell r="BT100">
            <v>4.1493703795090327E-2</v>
          </cell>
          <cell r="BU100">
            <v>4.5069555200562876E-2</v>
          </cell>
          <cell r="BV100">
            <v>4.5121746899862397E-2</v>
          </cell>
          <cell r="BW100">
            <v>4.728863983553995E-2</v>
          </cell>
          <cell r="BX100">
            <v>4.922339410080763E-2</v>
          </cell>
          <cell r="BY100">
            <v>5.8808156433562658E-2</v>
          </cell>
          <cell r="BZ100">
            <v>6.5781233104476089E-2</v>
          </cell>
          <cell r="CA100">
            <v>7.1491634743886923E-2</v>
          </cell>
          <cell r="CB100">
            <v>8.3110425012024591E-2</v>
          </cell>
          <cell r="CC100">
            <v>9.2796985377821495E-2</v>
          </cell>
          <cell r="CD100">
            <v>0.1017065970059869</v>
          </cell>
          <cell r="CE100">
            <v>0.1183571681688491</v>
          </cell>
          <cell r="CF100">
            <v>0.12693457260214686</v>
          </cell>
          <cell r="CG100">
            <v>0.1332979062792442</v>
          </cell>
          <cell r="CH100">
            <v>0.1465235859978796</v>
          </cell>
          <cell r="CI100">
            <v>0.15485947211970261</v>
          </cell>
          <cell r="CJ100">
            <v>0.16233562377471941</v>
          </cell>
          <cell r="CK100">
            <v>0.16850574992342351</v>
          </cell>
          <cell r="CL100">
            <v>0.17657454053709912</v>
          </cell>
          <cell r="CM100">
            <v>0.17901107232365127</v>
          </cell>
          <cell r="CN100">
            <v>0.18606577708419575</v>
          </cell>
          <cell r="CO100">
            <v>0.18887742984841929</v>
          </cell>
          <cell r="CP100">
            <v>0.19228871092764144</v>
          </cell>
          <cell r="CQ100">
            <v>0.19623159736199375</v>
          </cell>
          <cell r="CR100">
            <v>0.19437373028286492</v>
          </cell>
          <cell r="CS100">
            <v>0.1966383258928445</v>
          </cell>
          <cell r="CT100">
            <v>0.19902792609994824</v>
          </cell>
          <cell r="CU100">
            <v>0.2031159206908156</v>
          </cell>
          <cell r="CV100">
            <v>0.20100707343720586</v>
          </cell>
          <cell r="CW100">
            <v>0.19827132977678913</v>
          </cell>
          <cell r="CX100">
            <v>0.19817231257339574</v>
          </cell>
          <cell r="CY100">
            <v>0.20083867380596082</v>
          </cell>
          <cell r="CZ100">
            <v>0.19774776244930389</v>
          </cell>
          <cell r="DA100">
            <v>0.19431916447765421</v>
          </cell>
          <cell r="DB100">
            <v>0.19332345502242376</v>
          </cell>
          <cell r="DC100">
            <v>0.19501342651702025</v>
          </cell>
          <cell r="DD100">
            <v>0.19115526068300254</v>
          </cell>
          <cell r="DE100">
            <v>0.18719823648046463</v>
          </cell>
          <cell r="DF100">
            <v>0.18564145784485647</v>
          </cell>
          <cell r="DG100">
            <v>0.18663644228962514</v>
          </cell>
          <cell r="DH100">
            <v>0.18216894145346152</v>
          </cell>
          <cell r="DI100">
            <v>0.17779323130199259</v>
          </cell>
          <cell r="DJ100">
            <v>0.1758622373890554</v>
          </cell>
          <cell r="DK100">
            <v>0.17631233164894439</v>
          </cell>
          <cell r="DL100">
            <v>0.17136182559164528</v>
          </cell>
          <cell r="DM100">
            <v>0.16665012579720151</v>
          </cell>
          <cell r="DN100">
            <v>0.16445415642267722</v>
          </cell>
          <cell r="DP100" t="str">
            <v>NA</v>
          </cell>
          <cell r="DQ100" t="str">
            <v>NA</v>
          </cell>
          <cell r="DR100" t="str">
            <v>NA</v>
          </cell>
          <cell r="DS100" t="str">
            <v>NA</v>
          </cell>
          <cell r="DT100" t="str">
            <v>NA</v>
          </cell>
          <cell r="DU100" t="str">
            <v>NA</v>
          </cell>
          <cell r="DV100" t="str">
            <v>NA</v>
          </cell>
          <cell r="DW100" t="str">
            <v>NA</v>
          </cell>
          <cell r="DX100" t="str">
            <v>NA</v>
          </cell>
          <cell r="DY100" t="str">
            <v>NA</v>
          </cell>
          <cell r="DZ100">
            <v>0</v>
          </cell>
          <cell r="EA100">
            <v>0</v>
          </cell>
          <cell r="EB100">
            <v>0</v>
          </cell>
          <cell r="EC100">
            <v>0</v>
          </cell>
          <cell r="ED100">
            <v>0</v>
          </cell>
          <cell r="EE100">
            <v>1.2548198311354338E-2</v>
          </cell>
          <cell r="EF100">
            <v>3.8998233713814882E-2</v>
          </cell>
          <cell r="EG100">
            <v>4.3941052223538321E-2</v>
          </cell>
          <cell r="EH100">
            <v>5.585550943821678E-2</v>
          </cell>
          <cell r="EI100">
            <v>8.8322126819301155E-2</v>
          </cell>
          <cell r="EJ100">
            <v>0.13201117775402918</v>
          </cell>
          <cell r="EK100">
            <v>0.16612699512426179</v>
          </cell>
          <cell r="EL100">
            <v>0.18687074649031282</v>
          </cell>
          <cell r="EM100">
            <v>0.19662128987976987</v>
          </cell>
          <cell r="EN100">
            <v>0.20000663199858218</v>
          </cell>
          <cell r="EO100">
            <v>0.19635720742258417</v>
          </cell>
          <cell r="EP100">
            <v>0.18950634190270579</v>
          </cell>
          <cell r="EQ100">
            <v>0.18033563643628273</v>
          </cell>
          <cell r="ER100">
            <v>0.16938932170953891</v>
          </cell>
        </row>
        <row r="101">
          <cell r="A101" t="str">
            <v>% of subscription revenues</v>
          </cell>
          <cell r="AU101" t="str">
            <v>NA</v>
          </cell>
          <cell r="AV101" t="str">
            <v>NA</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6.640364415459437E-4</v>
          </cell>
          <cell r="BL101">
            <v>6.8734651244168549E-3</v>
          </cell>
          <cell r="BM101">
            <v>1.8641040130294932E-2</v>
          </cell>
          <cell r="BN101">
            <v>2.8558382659813874E-2</v>
          </cell>
          <cell r="BO101">
            <v>3.7675531640594999E-2</v>
          </cell>
          <cell r="BP101">
            <v>4.4357405259144188E-2</v>
          </cell>
          <cell r="BQ101">
            <v>4.9128482666213925E-2</v>
          </cell>
          <cell r="BR101">
            <v>5.3504872914720433E-2</v>
          </cell>
          <cell r="BS101">
            <v>5.1614151876475695E-2</v>
          </cell>
          <cell r="BT101">
            <v>5.1068091177383652E-2</v>
          </cell>
          <cell r="BU101">
            <v>5.2730701142553106E-2</v>
          </cell>
          <cell r="BV101">
            <v>5.2672340242195373E-2</v>
          </cell>
          <cell r="BW101">
            <v>5.4089049757518541E-2</v>
          </cell>
          <cell r="BX101">
            <v>5.7797553615276137E-2</v>
          </cell>
          <cell r="BY101">
            <v>6.594809583613627E-2</v>
          </cell>
          <cell r="BZ101">
            <v>7.3619531539015431E-2</v>
          </cell>
          <cell r="CA101">
            <v>7.908876455367389E-2</v>
          </cell>
          <cell r="CB101">
            <v>9.2519253623396011E-2</v>
          </cell>
          <cell r="CC101">
            <v>0.10164633460832274</v>
          </cell>
          <cell r="CD101">
            <v>0.11175131863057915</v>
          </cell>
          <cell r="CE101">
            <v>0.1283553073073862</v>
          </cell>
          <cell r="CF101">
            <v>0.13686192920339321</v>
          </cell>
          <cell r="CG101">
            <v>0.14319685017378897</v>
          </cell>
          <cell r="CH101">
            <v>0.1573680281291277</v>
          </cell>
          <cell r="CI101">
            <v>0.1651013179999466</v>
          </cell>
          <cell r="CJ101">
            <v>0.17333448487524614</v>
          </cell>
          <cell r="CK101">
            <v>0.17878328678769692</v>
          </cell>
          <cell r="CL101">
            <v>0.18689966430509652</v>
          </cell>
          <cell r="CM101">
            <v>0.18830408043326469</v>
          </cell>
          <cell r="CN101">
            <v>0.19620044830314315</v>
          </cell>
          <cell r="CO101">
            <v>0.19936256339859892</v>
          </cell>
          <cell r="CP101">
            <v>0.20303006376065641</v>
          </cell>
          <cell r="CQ101">
            <v>0.20579268260212485</v>
          </cell>
          <cell r="CR101">
            <v>0.2035639212656512</v>
          </cell>
          <cell r="CS101">
            <v>0.20598563997697963</v>
          </cell>
          <cell r="CT101">
            <v>0.2082912639857184</v>
          </cell>
          <cell r="CU101">
            <v>0.21225835517303224</v>
          </cell>
          <cell r="CV101">
            <v>0.20969357547560341</v>
          </cell>
          <cell r="CW101">
            <v>0.20658964192015575</v>
          </cell>
          <cell r="CX101">
            <v>0.20624060989419446</v>
          </cell>
          <cell r="CY101">
            <v>0.20878432606413394</v>
          </cell>
          <cell r="CZ101">
            <v>0.20526987673140479</v>
          </cell>
          <cell r="DA101">
            <v>0.20150326134562122</v>
          </cell>
          <cell r="DB101">
            <v>0.2003158115054911</v>
          </cell>
          <cell r="DC101">
            <v>0.20192986326176254</v>
          </cell>
          <cell r="DD101">
            <v>0.19765666169948715</v>
          </cell>
          <cell r="DE101">
            <v>0.19337105382438965</v>
          </cell>
          <cell r="DF101">
            <v>0.19165574327653118</v>
          </cell>
          <cell r="DG101">
            <v>0.19260028727449024</v>
          </cell>
          <cell r="DH101">
            <v>0.18773542810718746</v>
          </cell>
          <cell r="DI101">
            <v>0.18304611048037853</v>
          </cell>
          <cell r="DJ101">
            <v>0.18098072356482958</v>
          </cell>
          <cell r="DK101">
            <v>0.18139799119269753</v>
          </cell>
          <cell r="DL101">
            <v>0.17608443274739596</v>
          </cell>
          <cell r="DM101">
            <v>0.17108480234471882</v>
          </cell>
          <cell r="DN101">
            <v>0.16877550126442006</v>
          </cell>
          <cell r="DP101" t="str">
            <v>NA</v>
          </cell>
          <cell r="DQ101" t="str">
            <v>NA</v>
          </cell>
          <cell r="DR101" t="str">
            <v>NA</v>
          </cell>
          <cell r="DS101" t="str">
            <v>NA</v>
          </cell>
          <cell r="DT101" t="str">
            <v>NA</v>
          </cell>
          <cell r="DU101" t="str">
            <v>NA</v>
          </cell>
          <cell r="DV101" t="str">
            <v>NA</v>
          </cell>
          <cell r="DW101" t="str">
            <v>NA</v>
          </cell>
          <cell r="DX101" t="str">
            <v>NA</v>
          </cell>
          <cell r="DY101" t="str">
            <v>NA</v>
          </cell>
          <cell r="DZ101" t="str">
            <v>NA</v>
          </cell>
          <cell r="EA101">
            <v>0</v>
          </cell>
          <cell r="EB101">
            <v>0</v>
          </cell>
          <cell r="EC101">
            <v>0</v>
          </cell>
          <cell r="ED101">
            <v>0</v>
          </cell>
          <cell r="EE101">
            <v>1.5233080276144983E-2</v>
          </cell>
          <cell r="EF101">
            <v>4.6928691133027792E-2</v>
          </cell>
          <cell r="EG101">
            <v>5.2084162491215509E-2</v>
          </cell>
          <cell r="EH101">
            <v>6.3576729291929215E-2</v>
          </cell>
          <cell r="EI101">
            <v>9.7410445743068882E-2</v>
          </cell>
          <cell r="EJ101">
            <v>0.14223393369777282</v>
          </cell>
          <cell r="EK101">
            <v>0.17660769542822621</v>
          </cell>
          <cell r="EL101">
            <v>0.19706004480170777</v>
          </cell>
          <cell r="EM101">
            <v>0.20595770044534237</v>
          </cell>
          <cell r="EN101">
            <v>0.20852920403727268</v>
          </cell>
          <cell r="EO101">
            <v>0.20373968058976008</v>
          </cell>
          <cell r="EP101">
            <v>0.19587993074312149</v>
          </cell>
          <cell r="EQ101">
            <v>0.18578466592713261</v>
          </cell>
          <cell r="ER101">
            <v>0.17400618711475177</v>
          </cell>
        </row>
        <row r="102">
          <cell r="A102" t="str">
            <v>% growth y-o-y</v>
          </cell>
          <cell r="AU102" t="str">
            <v>NA</v>
          </cell>
          <cell r="AV102" t="str">
            <v>NA</v>
          </cell>
          <cell r="AW102" t="str">
            <v>NA</v>
          </cell>
          <cell r="AX102" t="str">
            <v>NA</v>
          </cell>
          <cell r="AY102" t="str">
            <v>NA</v>
          </cell>
          <cell r="AZ102" t="str">
            <v>NA</v>
          </cell>
          <cell r="BA102" t="str">
            <v>NA</v>
          </cell>
          <cell r="BB102" t="str">
            <v>NA</v>
          </cell>
          <cell r="BC102" t="str">
            <v>NA</v>
          </cell>
          <cell r="BD102" t="str">
            <v>NA</v>
          </cell>
          <cell r="BE102" t="str">
            <v>NA</v>
          </cell>
          <cell r="BF102" t="str">
            <v>NA</v>
          </cell>
          <cell r="BG102" t="str">
            <v>NA</v>
          </cell>
          <cell r="BH102" t="str">
            <v>NA</v>
          </cell>
          <cell r="BI102" t="str">
            <v>NA</v>
          </cell>
          <cell r="BJ102" t="str">
            <v>NA</v>
          </cell>
          <cell r="BK102" t="str">
            <v>NA</v>
          </cell>
          <cell r="BL102" t="str">
            <v>NA</v>
          </cell>
          <cell r="BM102" t="str">
            <v>NA</v>
          </cell>
          <cell r="BN102" t="str">
            <v>NA</v>
          </cell>
          <cell r="BO102">
            <v>92.064679755629442</v>
          </cell>
          <cell r="BP102">
            <v>9.6564726048918441</v>
          </cell>
          <cell r="BQ102">
            <v>3.2615752015740025</v>
          </cell>
          <cell r="BR102">
            <v>1.9788166903428275</v>
          </cell>
          <cell r="BS102">
            <v>1.0998190064086741</v>
          </cell>
          <cell r="BT102">
            <v>0.73885721670202908</v>
          </cell>
          <cell r="BU102">
            <v>0.59326279871057119</v>
          </cell>
          <cell r="BV102">
            <v>0.44463572204366786</v>
          </cell>
          <cell r="BW102">
            <v>0.55772082946047807</v>
          </cell>
          <cell r="BX102">
            <v>0.64113231216382194</v>
          </cell>
          <cell r="BY102">
            <v>0.78702150149053973</v>
          </cell>
          <cell r="BZ102">
            <v>0.96830878255132458</v>
          </cell>
          <cell r="CA102">
            <v>1.1192107469284767</v>
          </cell>
          <cell r="CB102">
            <v>1.2174837111661332</v>
          </cell>
          <cell r="CC102">
            <v>1.1723216745657337</v>
          </cell>
          <cell r="CD102">
            <v>1.2013123339428473</v>
          </cell>
          <cell r="CE102">
            <v>1.2750601717794443</v>
          </cell>
          <cell r="CF102">
            <v>1.1501277931771723</v>
          </cell>
          <cell r="CG102">
            <v>0.96369379276262324</v>
          </cell>
          <cell r="CH102">
            <v>0.87709534634176656</v>
          </cell>
          <cell r="CI102">
            <v>0.75186454794562518</v>
          </cell>
          <cell r="CJ102">
            <v>0.68998194873969498</v>
          </cell>
          <cell r="CK102">
            <v>0.66366391591963403</v>
          </cell>
          <cell r="CL102">
            <v>0.60317361972307992</v>
          </cell>
          <cell r="CM102">
            <v>0.53312892944799373</v>
          </cell>
          <cell r="CN102">
            <v>0.4718447613308776</v>
          </cell>
          <cell r="CO102">
            <v>0.45765721863033026</v>
          </cell>
          <cell r="CP102">
            <v>0.43059439098682373</v>
          </cell>
          <cell r="CQ102">
            <v>0.40546959993205056</v>
          </cell>
          <cell r="CR102">
            <v>0.38752572306950883</v>
          </cell>
          <cell r="CS102">
            <v>0.31940355208139759</v>
          </cell>
          <cell r="CT102">
            <v>0.27086325931349009</v>
          </cell>
          <cell r="CU102">
            <v>0.26022837675977817</v>
          </cell>
          <cell r="CV102">
            <v>0.26735695075437294</v>
          </cell>
          <cell r="CW102">
            <v>0.27733103353507338</v>
          </cell>
          <cell r="CX102">
            <v>0.27751565025553826</v>
          </cell>
          <cell r="CY102">
            <v>0.26990484357396571</v>
          </cell>
          <cell r="CZ102">
            <v>0.26737774129948622</v>
          </cell>
          <cell r="DA102">
            <v>0.26495484886525555</v>
          </cell>
          <cell r="DB102">
            <v>0.25027598457986966</v>
          </cell>
          <cell r="DC102">
            <v>0.23323035405890757</v>
          </cell>
          <cell r="DD102">
            <v>0.229943189459342</v>
          </cell>
          <cell r="DE102">
            <v>0.22727428087301749</v>
          </cell>
          <cell r="DF102">
            <v>0.21693042405277563</v>
          </cell>
          <cell r="DG102">
            <v>0.20439272661576946</v>
          </cell>
          <cell r="DH102">
            <v>0.20058077182843781</v>
          </cell>
          <cell r="DI102">
            <v>0.19764611218929518</v>
          </cell>
          <cell r="DJ102">
            <v>0.18984252624493148</v>
          </cell>
          <cell r="DK102">
            <v>0.18001690463961562</v>
          </cell>
          <cell r="DL102">
            <v>0.17570868009325946</v>
          </cell>
          <cell r="DM102">
            <v>0.17241778160571219</v>
          </cell>
          <cell r="DN102">
            <v>0.16614156047241901</v>
          </cell>
          <cell r="DQ102" t="str">
            <v>NA</v>
          </cell>
          <cell r="DR102" t="str">
            <v>NA</v>
          </cell>
          <cell r="DS102" t="str">
            <v>NA</v>
          </cell>
          <cell r="DT102" t="str">
            <v>NA</v>
          </cell>
          <cell r="DU102" t="str">
            <v>NA</v>
          </cell>
          <cell r="DV102" t="str">
            <v>NA</v>
          </cell>
          <cell r="DW102" t="str">
            <v>NA</v>
          </cell>
          <cell r="DX102" t="str">
            <v>NA</v>
          </cell>
          <cell r="DY102" t="str">
            <v>NA</v>
          </cell>
          <cell r="DZ102" t="str">
            <v>NA</v>
          </cell>
          <cell r="EA102" t="str">
            <v>NA</v>
          </cell>
          <cell r="EB102" t="str">
            <v>NA</v>
          </cell>
          <cell r="EC102" t="str">
            <v>NA</v>
          </cell>
          <cell r="ED102" t="str">
            <v>NA</v>
          </cell>
          <cell r="EE102" t="str">
            <v>NA</v>
          </cell>
          <cell r="EF102">
            <v>3.9954564612369694</v>
          </cell>
          <cell r="EG102">
            <v>0.65980171377890517</v>
          </cell>
          <cell r="EH102">
            <v>0.75791220647977431</v>
          </cell>
          <cell r="EI102">
            <v>1.1816691627667621</v>
          </cell>
          <cell r="EJ102">
            <v>1.0324702215491661</v>
          </cell>
          <cell r="EK102">
            <v>0.66923315257354399</v>
          </cell>
          <cell r="EL102">
            <v>0.46912590613241667</v>
          </cell>
          <cell r="EM102">
            <v>0.34074438385041628</v>
          </cell>
          <cell r="EN102">
            <v>0.27096953794094092</v>
          </cell>
          <cell r="EO102">
            <v>0.26270450110030641</v>
          </cell>
          <cell r="EP102">
            <v>0.22652936767036302</v>
          </cell>
          <cell r="EQ102">
            <v>0.19785856315271499</v>
          </cell>
          <cell r="ER102">
            <v>0.17334590730743815</v>
          </cell>
        </row>
        <row r="103">
          <cell r="A103" t="str">
            <v>% growth seq</v>
          </cell>
          <cell r="AU103" t="str">
            <v>NA</v>
          </cell>
          <cell r="AV103" t="str">
            <v>NA</v>
          </cell>
          <cell r="AW103" t="str">
            <v>NA</v>
          </cell>
          <cell r="AX103" t="str">
            <v>NA</v>
          </cell>
          <cell r="AY103" t="str">
            <v>NA</v>
          </cell>
          <cell r="AZ103" t="str">
            <v>NA</v>
          </cell>
          <cell r="BA103" t="str">
            <v>NA</v>
          </cell>
          <cell r="BB103" t="str">
            <v>NA</v>
          </cell>
          <cell r="BC103" t="str">
            <v>NA</v>
          </cell>
          <cell r="BD103" t="str">
            <v>NA</v>
          </cell>
          <cell r="BE103" t="str">
            <v>NA</v>
          </cell>
          <cell r="BF103" t="str">
            <v>NA</v>
          </cell>
          <cell r="BG103" t="str">
            <v>NA</v>
          </cell>
          <cell r="BH103" t="str">
            <v>NA</v>
          </cell>
          <cell r="BI103" t="str">
            <v>NA</v>
          </cell>
          <cell r="BJ103" t="str">
            <v>NA</v>
          </cell>
          <cell r="BK103" t="str">
            <v>NA</v>
          </cell>
          <cell r="BL103">
            <v>10.626580830497449</v>
          </cell>
          <cell r="BM103">
            <v>2.1377158172683743</v>
          </cell>
          <cell r="BN103">
            <v>0.72783503426105556</v>
          </cell>
          <cell r="BO103">
            <v>0.47644403403175373</v>
          </cell>
          <cell r="BP103">
            <v>0.33131431209015871</v>
          </cell>
          <cell r="BQ103">
            <v>0.25478780945949997</v>
          </cell>
          <cell r="BR103">
            <v>0.20774680599673756</v>
          </cell>
          <cell r="BS103">
            <v>4.0770737793122347E-2</v>
          </cell>
          <cell r="BT103">
            <v>0.10245954161352278</v>
          </cell>
          <cell r="BU103">
            <v>0.14972449599922166</v>
          </cell>
          <cell r="BV103">
            <v>9.5082481395449392E-2</v>
          </cell>
          <cell r="BW103">
            <v>0.12224156734806968</v>
          </cell>
          <cell r="BX103">
            <v>0.1614930880919907</v>
          </cell>
          <cell r="BY103">
            <v>0.25192976819280966</v>
          </cell>
          <cell r="BZ103">
            <v>0.20617489154490243</v>
          </cell>
          <cell r="CA103">
            <v>0.20827911314360681</v>
          </cell>
          <cell r="CB103">
            <v>0.21535435171279182</v>
          </cell>
          <cell r="CC103">
            <v>0.22643253557389675</v>
          </cell>
          <cell r="CD103">
            <v>0.22227186550572031</v>
          </cell>
          <cell r="CE103">
            <v>0.24875859019167201</v>
          </cell>
          <cell r="CF103">
            <v>0.14861453010827486</v>
          </cell>
          <cell r="CG103">
            <v>0.12009061274905219</v>
          </cell>
          <cell r="CH103">
            <v>0.16836995623309026</v>
          </cell>
          <cell r="CI103">
            <v>0.16544740647449174</v>
          </cell>
          <cell r="CJ103">
            <v>0.10804104359520439</v>
          </cell>
          <cell r="CK103">
            <v>0.1026474787973819</v>
          </cell>
          <cell r="CL103">
            <v>0.12588839247288397</v>
          </cell>
          <cell r="CM103">
            <v>0.11452753004057858</v>
          </cell>
          <cell r="CN103">
            <v>6.374902594943288E-2</v>
          </cell>
          <cell r="CO103">
            <v>9.2018736826697811E-2</v>
          </cell>
          <cell r="CP103">
            <v>0.10498517659888806</v>
          </cell>
          <cell r="CQ103">
            <v>9.4953658163626775E-2</v>
          </cell>
          <cell r="CR103">
            <v>5.0167955583195312E-2</v>
          </cell>
          <cell r="CS103">
            <v>3.84048211525716E-2</v>
          </cell>
          <cell r="CT103">
            <v>6.4333244222553931E-2</v>
          </cell>
          <cell r="CU103">
            <v>8.5790828511428385E-2</v>
          </cell>
          <cell r="CV103">
            <v>5.6108307440193572E-2</v>
          </cell>
          <cell r="CW103">
            <v>4.6577053639945687E-2</v>
          </cell>
          <cell r="CX103">
            <v>6.4487075694483309E-2</v>
          </cell>
          <cell r="CY103">
            <v>7.9322223535221559E-2</v>
          </cell>
          <cell r="CZ103">
            <v>5.4006658864448998E-2</v>
          </cell>
          <cell r="DA103">
            <v>4.4576273965131641E-2</v>
          </cell>
          <cell r="DB103">
            <v>5.2134491464553179E-2</v>
          </cell>
          <cell r="DC103">
            <v>6.4607290142634E-2</v>
          </cell>
          <cell r="DD103">
            <v>5.119721343900796E-2</v>
          </cell>
          <cell r="DE103">
            <v>4.2309601316712797E-2</v>
          </cell>
          <cell r="DF103">
            <v>4.326676832803833E-2</v>
          </cell>
          <cell r="DG103">
            <v>5.3638935806823218E-2</v>
          </cell>
          <cell r="DH103">
            <v>4.787012904066712E-2</v>
          </cell>
          <cell r="DI103">
            <v>3.9761814453679545E-2</v>
          </cell>
          <cell r="DJ103">
            <v>3.6469082595427249E-2</v>
          </cell>
          <cell r="DK103">
            <v>4.4938072235794158E-2</v>
          </cell>
          <cell r="DL103">
            <v>4.4044370448924841E-2</v>
          </cell>
          <cell r="DM103">
            <v>3.6851441637240301E-2</v>
          </cell>
          <cell r="DN103">
            <v>3.0920626010880081E-2</v>
          </cell>
        </row>
        <row r="105">
          <cell r="A105" t="str">
            <v>Platform Add-ons &amp; Other</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9.2693755998442488E-3</v>
          </cell>
          <cell r="BM105">
            <v>4.5179936189276432E-2</v>
          </cell>
          <cell r="BN105">
            <v>0.11410883630598612</v>
          </cell>
          <cell r="BO105">
            <v>0.22504386095374262</v>
          </cell>
          <cell r="BP105">
            <v>0.37450599969505755</v>
          </cell>
          <cell r="BQ105">
            <v>0.57811491607270871</v>
          </cell>
          <cell r="BR105">
            <v>0.87776535928925015</v>
          </cell>
          <cell r="BS105">
            <v>1.1497488476938915</v>
          </cell>
          <cell r="BT105">
            <v>1.6379437005476143</v>
          </cell>
          <cell r="BU105">
            <v>2.4633073949355464</v>
          </cell>
          <cell r="BV105">
            <v>3.3629261458820707</v>
          </cell>
          <cell r="BW105">
            <v>4.7305621742816539</v>
          </cell>
          <cell r="BX105">
            <v>6.4433452277361605</v>
          </cell>
          <cell r="BY105">
            <v>9.0165273115075877</v>
          </cell>
          <cell r="BZ105">
            <v>11.7288238173539</v>
          </cell>
          <cell r="CA105">
            <v>14.826492666509116</v>
          </cell>
          <cell r="CB105">
            <v>18.192089459188033</v>
          </cell>
          <cell r="CC105">
            <v>22.21394183742332</v>
          </cell>
          <cell r="CD105">
            <v>27.097457344390982</v>
          </cell>
          <cell r="CE105">
            <v>33.028344521954487</v>
          </cell>
          <cell r="CF105">
            <v>36.992254917462333</v>
          </cell>
          <cell r="CG105">
            <v>41.372805764116414</v>
          </cell>
          <cell r="CH105">
            <v>48.318271294555501</v>
          </cell>
          <cell r="CI105">
            <v>56.580291739054942</v>
          </cell>
          <cell r="CJ105">
            <v>63.977960332942317</v>
          </cell>
          <cell r="CK105">
            <v>70.691703405614632</v>
          </cell>
          <cell r="CL105">
            <v>79.482636925838108</v>
          </cell>
          <cell r="CM105">
            <v>88.101863108446139</v>
          </cell>
          <cell r="CN105">
            <v>94.032967163017588</v>
          </cell>
          <cell r="CO105">
            <v>103.07738023303909</v>
          </cell>
          <cell r="CP105">
            <v>115.81243696352941</v>
          </cell>
          <cell r="CQ105">
            <v>131.28388717315531</v>
          </cell>
          <cell r="CR105">
            <v>140.57010624128066</v>
          </cell>
          <cell r="CS105">
            <v>148.26574073219206</v>
          </cell>
          <cell r="CT105">
            <v>162.56497390363069</v>
          </cell>
          <cell r="CU105">
            <v>184.62250505974234</v>
          </cell>
          <cell r="CV105">
            <v>200.81119904271972</v>
          </cell>
          <cell r="CW105">
            <v>215.68762666508218</v>
          </cell>
          <cell r="CX105">
            <v>238.22824915270007</v>
          </cell>
          <cell r="CY105">
            <v>270.33710081192652</v>
          </cell>
          <cell r="CZ105">
            <v>294.7528417197542</v>
          </cell>
          <cell r="DA105">
            <v>317.14520171005313</v>
          </cell>
          <cell r="DB105">
            <v>345.44709337362639</v>
          </cell>
          <cell r="DC105">
            <v>385.94589286355335</v>
          </cell>
          <cell r="DD105">
            <v>421.23917053710932</v>
          </cell>
          <cell r="DE105">
            <v>453.68931086958526</v>
          </cell>
          <cell r="DF105">
            <v>489.26768737225598</v>
          </cell>
          <cell r="DG105">
            <v>540.20295875571992</v>
          </cell>
          <cell r="DH105">
            <v>589.68367560170918</v>
          </cell>
          <cell r="DI105">
            <v>635.43532566911699</v>
          </cell>
          <cell r="DJ105">
            <v>680.21378966709722</v>
          </cell>
          <cell r="DK105">
            <v>744.1145775059382</v>
          </cell>
          <cell r="DL105">
            <v>811.85304220154387</v>
          </cell>
          <cell r="DM105">
            <v>875.00059229451995</v>
          </cell>
          <cell r="DN105">
            <v>931.41476886281646</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cell r="EC105">
            <v>0</v>
          </cell>
          <cell r="ED105">
            <v>0</v>
          </cell>
          <cell r="EE105">
            <v>0.1685581480951068</v>
          </cell>
          <cell r="EF105">
            <v>2.055430136010759</v>
          </cell>
          <cell r="EG105">
            <v>8.6139260890591238</v>
          </cell>
          <cell r="EH105">
            <v>31.919258530879304</v>
          </cell>
          <cell r="EI105">
            <v>82.329981307511446</v>
          </cell>
          <cell r="EJ105">
            <v>159.71167649808874</v>
          </cell>
          <cell r="EK105">
            <v>270.73259240344998</v>
          </cell>
          <cell r="EL105">
            <v>401.02464746803224</v>
          </cell>
          <cell r="EM105">
            <v>582.68470805025868</v>
          </cell>
          <cell r="EN105">
            <v>839.34957992024431</v>
          </cell>
          <cell r="EO105">
            <v>1227.6822376153602</v>
          </cell>
          <cell r="EP105">
            <v>1750.1420616425039</v>
          </cell>
          <cell r="EQ105">
            <v>2445.5357496936431</v>
          </cell>
          <cell r="ER105">
            <v>3362.3829808648184</v>
          </cell>
        </row>
        <row r="106">
          <cell r="A106" t="str">
            <v>% of revenues</v>
          </cell>
          <cell r="AU106" t="str">
            <v>NA</v>
          </cell>
          <cell r="AV106" t="str">
            <v>NA</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9.0678871474283892E-5</v>
          </cell>
          <cell r="BM106">
            <v>4.0607893464148008E-4</v>
          </cell>
          <cell r="BN106">
            <v>9.1119409331618707E-4</v>
          </cell>
          <cell r="BO106">
            <v>1.617972974000594E-3</v>
          </cell>
          <cell r="BP106">
            <v>2.2458187644000403E-3</v>
          </cell>
          <cell r="BQ106">
            <v>3.2348970190737539E-3</v>
          </cell>
          <cell r="BR106">
            <v>4.4330688233028123E-3</v>
          </cell>
          <cell r="BS106">
            <v>5.4242647227542955E-3</v>
          </cell>
          <cell r="BT106">
            <v>6.6389845026168315E-3</v>
          </cell>
          <cell r="BU106">
            <v>9.4325383685067831E-3</v>
          </cell>
          <cell r="BV106">
            <v>1.1772890410929708E-2</v>
          </cell>
          <cell r="BW106">
            <v>1.5465468941253417E-2</v>
          </cell>
          <cell r="BX106">
            <v>1.8878167857374371E-2</v>
          </cell>
          <cell r="BY106">
            <v>2.5210054665677599E-2</v>
          </cell>
          <cell r="BZ106">
            <v>3.041186886413088E-2</v>
          </cell>
          <cell r="CA106">
            <v>3.4579047245520605E-2</v>
          </cell>
          <cell r="CB106">
            <v>4.0583970524091108E-2</v>
          </cell>
          <cell r="CC106">
            <v>4.5116176056768709E-2</v>
          </cell>
          <cell r="CD106">
            <v>4.9349486051344642E-2</v>
          </cell>
          <cell r="CE106">
            <v>5.605416043860291E-2</v>
          </cell>
          <cell r="CF106">
            <v>5.8619607320843682E-2</v>
          </cell>
          <cell r="CG106">
            <v>6.1466335110862795E-2</v>
          </cell>
          <cell r="CH106">
            <v>6.7536346525507343E-2</v>
          </cell>
          <cell r="CI106">
            <v>7.1718122788518759E-2</v>
          </cell>
          <cell r="CJ106">
            <v>7.6721013849246816E-2</v>
          </cell>
          <cell r="CK106">
            <v>7.9802517410860321E-2</v>
          </cell>
          <cell r="CL106">
            <v>8.3509989688558536E-2</v>
          </cell>
          <cell r="CM106">
            <v>8.4200033553573542E-2</v>
          </cell>
          <cell r="CN106">
            <v>8.7812176925277097E-2</v>
          </cell>
          <cell r="CO106">
            <v>8.9479067401845788E-2</v>
          </cell>
          <cell r="CP106">
            <v>9.2625496439763436E-2</v>
          </cell>
          <cell r="CQ106">
            <v>9.7860220014313382E-2</v>
          </cell>
          <cell r="CR106">
            <v>9.883200403511487E-2</v>
          </cell>
          <cell r="CS106">
            <v>0.10155687837679818</v>
          </cell>
          <cell r="CT106">
            <v>0.10589214172521895</v>
          </cell>
          <cell r="CU106">
            <v>0.11303297862080644</v>
          </cell>
          <cell r="CV106">
            <v>0.11520395212940264</v>
          </cell>
          <cell r="CW106">
            <v>0.116622420426852</v>
          </cell>
          <cell r="CX106">
            <v>0.12094634349714822</v>
          </cell>
          <cell r="CY106">
            <v>0.12887194533527302</v>
          </cell>
          <cell r="CZ106">
            <v>0.1312597617649702</v>
          </cell>
          <cell r="DA106">
            <v>0.13286043041271911</v>
          </cell>
          <cell r="DB106">
            <v>0.13684114784314622</v>
          </cell>
          <cell r="DC106">
            <v>0.14486121337032212</v>
          </cell>
          <cell r="DD106">
            <v>0.14743207711019204</v>
          </cell>
          <cell r="DE106">
            <v>0.14919028470554671</v>
          </cell>
          <cell r="DF106">
            <v>0.15293481904256814</v>
          </cell>
          <cell r="DG106">
            <v>0.16111889079310823</v>
          </cell>
          <cell r="DH106">
            <v>0.16382457017640353</v>
          </cell>
          <cell r="DI106">
            <v>0.16570602952623095</v>
          </cell>
          <cell r="DJ106">
            <v>0.16928302367977893</v>
          </cell>
          <cell r="DK106">
            <v>0.17767541155255814</v>
          </cell>
          <cell r="DL106">
            <v>0.18045851338067481</v>
          </cell>
          <cell r="DM106">
            <v>0.18242456933014692</v>
          </cell>
          <cell r="DN106">
            <v>0.18587975112801017</v>
          </cell>
          <cell r="DP106" t="str">
            <v>NA</v>
          </cell>
          <cell r="DQ106" t="str">
            <v>NA</v>
          </cell>
          <cell r="DR106" t="str">
            <v>NA</v>
          </cell>
          <cell r="DS106" t="str">
            <v>NA</v>
          </cell>
          <cell r="DT106" t="str">
            <v>NA</v>
          </cell>
          <cell r="DU106" t="str">
            <v>NA</v>
          </cell>
          <cell r="DV106" t="str">
            <v>NA</v>
          </cell>
          <cell r="DW106" t="str">
            <v>NA</v>
          </cell>
          <cell r="DX106" t="str">
            <v>NA</v>
          </cell>
          <cell r="DY106" t="str">
            <v>NA</v>
          </cell>
          <cell r="DZ106">
            <v>0</v>
          </cell>
          <cell r="EA106">
            <v>0</v>
          </cell>
          <cell r="EB106">
            <v>0</v>
          </cell>
          <cell r="EC106">
            <v>0</v>
          </cell>
          <cell r="ED106">
            <v>0</v>
          </cell>
          <cell r="EE106">
            <v>3.9693429434853832E-4</v>
          </cell>
          <cell r="EF106">
            <v>3.0113412769381858E-3</v>
          </cell>
          <cell r="EG106">
            <v>8.5669790438985607E-3</v>
          </cell>
          <cell r="EH106">
            <v>2.2955023456004586E-2</v>
          </cell>
          <cell r="EI106">
            <v>4.2913859155937657E-2</v>
          </cell>
          <cell r="EJ106">
            <v>6.1219985042290724E-2</v>
          </cell>
          <cell r="EK106">
            <v>7.8236532670136749E-2</v>
          </cell>
          <cell r="EL106">
            <v>8.8732396766540669E-2</v>
          </cell>
          <cell r="EM106">
            <v>0.10117844519266059</v>
          </cell>
          <cell r="EN106">
            <v>0.11664764417970845</v>
          </cell>
          <cell r="EO106">
            <v>0.13265382861068628</v>
          </cell>
          <cell r="EP106">
            <v>0.14880107512711188</v>
          </cell>
          <cell r="EQ106">
            <v>0.16518060375320595</v>
          </cell>
          <cell r="ER106">
            <v>0.18180700868348967</v>
          </cell>
        </row>
        <row r="107">
          <cell r="A107" t="str">
            <v>% of subscription revenues</v>
          </cell>
          <cell r="AU107" t="str">
            <v>NA</v>
          </cell>
          <cell r="AV107" t="str">
            <v>NA</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1.1532516671449498E-4</v>
          </cell>
          <cell r="BM107">
            <v>4.8584755881448327E-4</v>
          </cell>
          <cell r="BN107">
            <v>1.0880149917617242E-3</v>
          </cell>
          <cell r="BO107">
            <v>1.9173065895952512E-3</v>
          </cell>
          <cell r="BP107">
            <v>2.8216901215685E-3</v>
          </cell>
          <cell r="BQ107">
            <v>3.8446927588680277E-3</v>
          </cell>
          <cell r="BR107">
            <v>5.263928607859924E-3</v>
          </cell>
          <cell r="BS107">
            <v>6.3907955093125421E-3</v>
          </cell>
          <cell r="BT107">
            <v>8.1708846137034837E-3</v>
          </cell>
          <cell r="BU107">
            <v>1.1035927901040941E-2</v>
          </cell>
          <cell r="BV107">
            <v>1.3742945075569757E-2</v>
          </cell>
          <cell r="BW107">
            <v>1.7689502637335947E-2</v>
          </cell>
          <cell r="BX107">
            <v>2.2166531561399899E-2</v>
          </cell>
          <cell r="BY107">
            <v>2.8270825034356909E-2</v>
          </cell>
          <cell r="BZ107">
            <v>3.4035657790837892E-2</v>
          </cell>
          <cell r="CA107">
            <v>3.8253624160205571E-2</v>
          </cell>
          <cell r="CB107">
            <v>4.5178431724053399E-2</v>
          </cell>
          <cell r="CC107">
            <v>4.9418565797616318E-2</v>
          </cell>
          <cell r="CD107">
            <v>5.4223327712503315E-2</v>
          </cell>
          <cell r="CE107">
            <v>6.0789296502009815E-2</v>
          </cell>
          <cell r="CF107">
            <v>6.3204156146032739E-2</v>
          </cell>
          <cell r="CG107">
            <v>6.6030936458697023E-2</v>
          </cell>
          <cell r="CH107">
            <v>7.25348182504785E-2</v>
          </cell>
          <cell r="CI107">
            <v>7.6461300266565779E-2</v>
          </cell>
          <cell r="CJ107">
            <v>8.191915677806258E-2</v>
          </cell>
          <cell r="CK107">
            <v>8.4669848732934844E-2</v>
          </cell>
          <cell r="CL107">
            <v>8.8393202051879921E-2</v>
          </cell>
          <cell r="CM107">
            <v>8.8571112864401738E-2</v>
          </cell>
          <cell r="CN107">
            <v>9.2595149678805097E-2</v>
          </cell>
          <cell r="CO107">
            <v>9.4446309768532022E-2</v>
          </cell>
          <cell r="CP107">
            <v>9.7799607461637544E-2</v>
          </cell>
          <cell r="CQ107">
            <v>0.10262830995371705</v>
          </cell>
          <cell r="CR107">
            <v>0.10350488339475065</v>
          </cell>
          <cell r="CS107">
            <v>0.10638444205382799</v>
          </cell>
          <cell r="CT107">
            <v>0.11082066963318683</v>
          </cell>
          <cell r="CU107">
            <v>0.11812069699293522</v>
          </cell>
          <cell r="CV107">
            <v>0.1201824802373507</v>
          </cell>
          <cell r="CW107">
            <v>0.12151521908371084</v>
          </cell>
          <cell r="CX107">
            <v>0.12587049786829446</v>
          </cell>
          <cell r="CY107">
            <v>0.13397042385070915</v>
          </cell>
          <cell r="CZ107">
            <v>0.13625274331079459</v>
          </cell>
          <cell r="DA107">
            <v>0.1377723607648822</v>
          </cell>
          <cell r="DB107">
            <v>0.14179058394318081</v>
          </cell>
          <cell r="DC107">
            <v>0.14999892843403342</v>
          </cell>
          <cell r="DD107">
            <v>0.15244640448241212</v>
          </cell>
          <cell r="DE107">
            <v>0.15410979887560469</v>
          </cell>
          <cell r="DF107">
            <v>0.15788949708076913</v>
          </cell>
          <cell r="DG107">
            <v>0.16626733917240377</v>
          </cell>
          <cell r="DH107">
            <v>0.16883051288081513</v>
          </cell>
          <cell r="DI107">
            <v>0.17060179381296503</v>
          </cell>
          <cell r="DJ107">
            <v>0.17421002125107293</v>
          </cell>
          <cell r="DK107">
            <v>0.18280038859756534</v>
          </cell>
          <cell r="DL107">
            <v>0.18543181862917618</v>
          </cell>
          <cell r="DM107">
            <v>0.18727901486644263</v>
          </cell>
          <cell r="DN107">
            <v>0.19076409410355022</v>
          </cell>
          <cell r="DP107" t="str">
            <v>NA</v>
          </cell>
          <cell r="DQ107" t="str">
            <v>NA</v>
          </cell>
          <cell r="DR107" t="str">
            <v>NA</v>
          </cell>
          <cell r="DS107" t="str">
            <v>NA</v>
          </cell>
          <cell r="DT107" t="str">
            <v>NA</v>
          </cell>
          <cell r="DU107" t="str">
            <v>NA</v>
          </cell>
          <cell r="DV107" t="str">
            <v>NA</v>
          </cell>
          <cell r="DW107" t="str">
            <v>NA</v>
          </cell>
          <cell r="DX107" t="str">
            <v>NA</v>
          </cell>
          <cell r="DY107" t="str">
            <v>NA</v>
          </cell>
          <cell r="DZ107" t="str">
            <v>NA</v>
          </cell>
          <cell r="EA107">
            <v>0</v>
          </cell>
          <cell r="EB107">
            <v>0</v>
          </cell>
          <cell r="EC107">
            <v>0</v>
          </cell>
          <cell r="ED107">
            <v>0</v>
          </cell>
          <cell r="EE107">
            <v>4.8186455299283824E-4</v>
          </cell>
          <cell r="EF107">
            <v>3.6237103895171673E-3</v>
          </cell>
          <cell r="EG107">
            <v>1.0154602723469339E-2</v>
          </cell>
          <cell r="EH107">
            <v>2.6128224893670962E-2</v>
          </cell>
          <cell r="EI107">
            <v>4.7329681694459003E-2</v>
          </cell>
          <cell r="EJ107">
            <v>6.5960772728717323E-2</v>
          </cell>
          <cell r="EK107">
            <v>8.3172356923887261E-2</v>
          </cell>
          <cell r="EL107">
            <v>9.3570611829732531E-2</v>
          </cell>
          <cell r="EM107">
            <v>0.10598282576244825</v>
          </cell>
          <cell r="EN107">
            <v>0.1216181691104625</v>
          </cell>
          <cell r="EO107">
            <v>0.13764123570969816</v>
          </cell>
          <cell r="EP107">
            <v>0.15380564047489814</v>
          </cell>
          <cell r="EQ107">
            <v>0.17017170811257989</v>
          </cell>
          <cell r="ER107">
            <v>0.18676232983564212</v>
          </cell>
        </row>
        <row r="108">
          <cell r="A108" t="str">
            <v>% growth y-o-y</v>
          </cell>
          <cell r="AU108" t="str">
            <v>NA</v>
          </cell>
          <cell r="AV108" t="str">
            <v>NA</v>
          </cell>
          <cell r="AW108" t="str">
            <v>NA</v>
          </cell>
          <cell r="AX108" t="str">
            <v>NA</v>
          </cell>
          <cell r="AY108" t="str">
            <v>NA</v>
          </cell>
          <cell r="AZ108" t="str">
            <v>NA</v>
          </cell>
          <cell r="BA108" t="str">
            <v>NA</v>
          </cell>
          <cell r="BB108" t="str">
            <v>NA</v>
          </cell>
          <cell r="BC108" t="str">
            <v>NA</v>
          </cell>
          <cell r="BD108" t="str">
            <v>NA</v>
          </cell>
          <cell r="BE108" t="str">
            <v>NA</v>
          </cell>
          <cell r="BF108" t="str">
            <v>NA</v>
          </cell>
          <cell r="BG108" t="str">
            <v>NA</v>
          </cell>
          <cell r="BH108" t="str">
            <v>NA</v>
          </cell>
          <cell r="BI108" t="str">
            <v>NA</v>
          </cell>
          <cell r="BJ108" t="str">
            <v>NA</v>
          </cell>
          <cell r="BK108" t="str">
            <v>NA</v>
          </cell>
          <cell r="BL108" t="str">
            <v>NA</v>
          </cell>
          <cell r="BM108" t="str">
            <v>NA</v>
          </cell>
          <cell r="BN108" t="str">
            <v>NA</v>
          </cell>
          <cell r="BO108" t="str">
            <v>NA</v>
          </cell>
          <cell r="BP108">
            <v>39.402505612282049</v>
          </cell>
          <cell r="BQ108">
            <v>11.795832947854532</v>
          </cell>
          <cell r="BR108">
            <v>6.6923522113177736</v>
          </cell>
          <cell r="BS108">
            <v>4.1089989427892917</v>
          </cell>
          <cell r="BT108">
            <v>3.3736113757358073</v>
          </cell>
          <cell r="BU108">
            <v>3.2609303556280143</v>
          </cell>
          <cell r="BV108">
            <v>2.8312358881479684</v>
          </cell>
          <cell r="BW108">
            <v>3.1144308896416621</v>
          </cell>
          <cell r="BX108">
            <v>2.9338014032972897</v>
          </cell>
          <cell r="BY108">
            <v>2.6603337975784824</v>
          </cell>
          <cell r="BZ108">
            <v>2.4876840312761361</v>
          </cell>
          <cell r="CA108">
            <v>2.1341925378584738</v>
          </cell>
          <cell r="CB108">
            <v>1.8233920139616266</v>
          </cell>
          <cell r="CC108">
            <v>1.4636915155874006</v>
          </cell>
          <cell r="CD108">
            <v>1.3103303252196303</v>
          </cell>
          <cell r="CE108">
            <v>1.2276572932559229</v>
          </cell>
          <cell r="CF108">
            <v>1.0334252973222466</v>
          </cell>
          <cell r="CG108">
            <v>0.86247024805010497</v>
          </cell>
          <cell r="CH108">
            <v>0.78312934237562715</v>
          </cell>
          <cell r="CI108">
            <v>0.71308288556349186</v>
          </cell>
          <cell r="CJ108">
            <v>0.72949609251155123</v>
          </cell>
          <cell r="CK108">
            <v>0.70865142211184451</v>
          </cell>
          <cell r="CL108">
            <v>0.64498097295948176</v>
          </cell>
          <cell r="CM108">
            <v>0.55711220993286625</v>
          </cell>
          <cell r="CN108">
            <v>0.46977125675261511</v>
          </cell>
          <cell r="CO108">
            <v>0.45812556873332122</v>
          </cell>
          <cell r="CP108">
            <v>0.45707844433481881</v>
          </cell>
          <cell r="CQ108">
            <v>0.4901374674852863</v>
          </cell>
          <cell r="CR108">
            <v>0.49490237820088434</v>
          </cell>
          <cell r="CS108">
            <v>0.43839259784242035</v>
          </cell>
          <cell r="CT108">
            <v>0.40369185008017894</v>
          </cell>
          <cell r="CU108">
            <v>0.40628457181677358</v>
          </cell>
          <cell r="CV108">
            <v>0.42854839063747052</v>
          </cell>
          <cell r="CW108">
            <v>0.45473678275193885</v>
          </cell>
          <cell r="CX108">
            <v>0.46543405650175873</v>
          </cell>
          <cell r="CY108">
            <v>0.4642694872136397</v>
          </cell>
          <cell r="CZ108">
            <v>0.46781077512041414</v>
          </cell>
          <cell r="DA108">
            <v>0.4703912626500053</v>
          </cell>
          <cell r="DB108">
            <v>0.45006771699942671</v>
          </cell>
          <cell r="DC108">
            <v>0.42764678508576548</v>
          </cell>
          <cell r="DD108">
            <v>0.42912674931092298</v>
          </cell>
          <cell r="DE108">
            <v>0.43054130544395308</v>
          </cell>
          <cell r="DF108">
            <v>0.41633175313209847</v>
          </cell>
          <cell r="DG108">
            <v>0.39968572990282425</v>
          </cell>
          <cell r="DH108">
            <v>0.39987854132800948</v>
          </cell>
          <cell r="DI108">
            <v>0.40059576111938711</v>
          </cell>
          <cell r="DJ108">
            <v>0.3902691864250607</v>
          </cell>
          <cell r="DK108">
            <v>0.37747223602754687</v>
          </cell>
          <cell r="DL108">
            <v>0.37676024586085854</v>
          </cell>
          <cell r="DM108">
            <v>0.37700967659161755</v>
          </cell>
          <cell r="DN108">
            <v>0.3692970989586366</v>
          </cell>
          <cell r="DQ108" t="str">
            <v>NA</v>
          </cell>
          <cell r="DR108" t="str">
            <v>NA</v>
          </cell>
          <cell r="DS108" t="str">
            <v>NA</v>
          </cell>
          <cell r="DT108" t="str">
            <v>NA</v>
          </cell>
          <cell r="DU108" t="str">
            <v>NA</v>
          </cell>
          <cell r="DV108" t="str">
            <v>NA</v>
          </cell>
          <cell r="DW108" t="str">
            <v>NA</v>
          </cell>
          <cell r="DX108" t="str">
            <v>NA</v>
          </cell>
          <cell r="DY108" t="str">
            <v>NA</v>
          </cell>
          <cell r="DZ108" t="str">
            <v>NA</v>
          </cell>
          <cell r="EA108" t="str">
            <v>NA</v>
          </cell>
          <cell r="EB108" t="str">
            <v>NA</v>
          </cell>
          <cell r="EC108" t="str">
            <v>NA</v>
          </cell>
          <cell r="ED108" t="str">
            <v>NA</v>
          </cell>
          <cell r="EE108" t="str">
            <v>NA</v>
          </cell>
          <cell r="EF108">
            <v>11.194190309038092</v>
          </cell>
          <cell r="EG108">
            <v>3.1908143400958853</v>
          </cell>
          <cell r="EH108">
            <v>2.7055412596842654</v>
          </cell>
          <cell r="EI108">
            <v>1.5793199810034384</v>
          </cell>
          <cell r="EJ108">
            <v>0.93989691193476932</v>
          </cell>
          <cell r="EK108">
            <v>0.69513336995551378</v>
          </cell>
          <cell r="EL108">
            <v>0.48125736878557634</v>
          </cell>
          <cell r="EM108">
            <v>0.45298976441767835</v>
          </cell>
          <cell r="EN108">
            <v>0.44048671318116583</v>
          </cell>
          <cell r="EO108">
            <v>0.46265902430309858</v>
          </cell>
          <cell r="EP108">
            <v>0.42556600398647548</v>
          </cell>
          <cell r="EQ108">
            <v>0.39733556680451065</v>
          </cell>
          <cell r="ER108">
            <v>0.37490649289671207</v>
          </cell>
        </row>
        <row r="109">
          <cell r="A109" t="str">
            <v>% growth seq</v>
          </cell>
          <cell r="AU109" t="str">
            <v>NA</v>
          </cell>
          <cell r="AV109" t="str">
            <v>NA</v>
          </cell>
          <cell r="AW109" t="str">
            <v>NA</v>
          </cell>
          <cell r="AX109" t="str">
            <v>NA</v>
          </cell>
          <cell r="AY109" t="str">
            <v>NA</v>
          </cell>
          <cell r="AZ109" t="str">
            <v>NA</v>
          </cell>
          <cell r="BA109" t="str">
            <v>NA</v>
          </cell>
          <cell r="BB109" t="str">
            <v>NA</v>
          </cell>
          <cell r="BC109" t="str">
            <v>NA</v>
          </cell>
          <cell r="BD109" t="str">
            <v>NA</v>
          </cell>
          <cell r="BE109" t="str">
            <v>NA</v>
          </cell>
          <cell r="BF109" t="str">
            <v>NA</v>
          </cell>
          <cell r="BG109" t="str">
            <v>NA</v>
          </cell>
          <cell r="BH109" t="str">
            <v>NA</v>
          </cell>
          <cell r="BI109" t="str">
            <v>NA</v>
          </cell>
          <cell r="BJ109" t="str">
            <v>NA</v>
          </cell>
          <cell r="BK109" t="str">
            <v>NA</v>
          </cell>
          <cell r="BL109" t="str">
            <v>NA</v>
          </cell>
          <cell r="BM109">
            <v>3.8741078298775138</v>
          </cell>
          <cell r="BN109">
            <v>1.5256528877761037</v>
          </cell>
          <cell r="BO109">
            <v>0.97218610091054702</v>
          </cell>
          <cell r="BP109">
            <v>0.66414670503736417</v>
          </cell>
          <cell r="BQ109">
            <v>0.54367330975589234</v>
          </cell>
          <cell r="BR109">
            <v>0.5183233209967113</v>
          </cell>
          <cell r="BS109">
            <v>0.30985899081831336</v>
          </cell>
          <cell r="BT109">
            <v>0.42460999533325872</v>
          </cell>
          <cell r="BU109">
            <v>0.5039023588612892</v>
          </cell>
          <cell r="BV109">
            <v>0.36520766867996324</v>
          </cell>
          <cell r="BW109">
            <v>0.40668036378802563</v>
          </cell>
          <cell r="BX109">
            <v>0.36206754934250407</v>
          </cell>
          <cell r="BY109">
            <v>0.39935499229419724</v>
          </cell>
          <cell r="BZ109">
            <v>0.30081387347262512</v>
          </cell>
          <cell r="CA109">
            <v>0.26410737320241129</v>
          </cell>
          <cell r="CB109">
            <v>0.22699885052931701</v>
          </cell>
          <cell r="CC109">
            <v>0.22107698993333758</v>
          </cell>
          <cell r="CD109">
            <v>0.21984011404677917</v>
          </cell>
          <cell r="CE109">
            <v>0.2188724610647339</v>
          </cell>
          <cell r="CF109">
            <v>0.12001541260637416</v>
          </cell>
          <cell r="CG109">
            <v>0.11841805416912354</v>
          </cell>
          <cell r="CH109">
            <v>0.16787513928927322</v>
          </cell>
          <cell r="CI109">
            <v>0.17099163987330823</v>
          </cell>
          <cell r="CJ109">
            <v>0.13074638476600642</v>
          </cell>
          <cell r="CK109">
            <v>0.10493837311683407</v>
          </cell>
          <cell r="CL109">
            <v>0.12435594414499929</v>
          </cell>
          <cell r="CM109">
            <v>0.10844162342840069</v>
          </cell>
          <cell r="CN109">
            <v>6.7320983294879344E-2</v>
          </cell>
          <cell r="CO109">
            <v>9.6183427396711929E-2</v>
          </cell>
          <cell r="CP109">
            <v>0.12354850988353294</v>
          </cell>
          <cell r="CQ109">
            <v>0.13359057641191008</v>
          </cell>
          <cell r="CR109">
            <v>7.073388264225744E-2</v>
          </cell>
          <cell r="CS109">
            <v>5.474588229806332E-2</v>
          </cell>
          <cell r="CT109">
            <v>9.6443272065573904E-2</v>
          </cell>
          <cell r="CU109">
            <v>0.1356844012978311</v>
          </cell>
          <cell r="CV109">
            <v>8.768537713069624E-2</v>
          </cell>
          <cell r="CW109">
            <v>7.4081663240294304E-2</v>
          </cell>
          <cell r="CX109">
            <v>0.10450586728657729</v>
          </cell>
          <cell r="CY109">
            <v>0.13478188155026594</v>
          </cell>
          <cell r="CZ109">
            <v>9.0315908672904399E-2</v>
          </cell>
          <cell r="DA109">
            <v>7.5969954554633956E-2</v>
          </cell>
          <cell r="DB109">
            <v>8.9239539210963725E-2</v>
          </cell>
          <cell r="DC109">
            <v>0.11723589593537143</v>
          </cell>
          <cell r="DD109">
            <v>9.144618021892903E-2</v>
          </cell>
          <cell r="DE109">
            <v>7.7034954491767005E-2</v>
          </cell>
          <cell r="DF109">
            <v>7.8420133889594457E-2</v>
          </cell>
          <cell r="DG109">
            <v>0.10410512015830342</v>
          </cell>
          <cell r="DH109">
            <v>9.1596530607608972E-2</v>
          </cell>
          <cell r="DI109">
            <v>7.7586767211629493E-2</v>
          </cell>
          <cell r="DJ109">
            <v>7.0468955988287618E-2</v>
          </cell>
          <cell r="DK109">
            <v>9.3942211712753743E-2</v>
          </cell>
          <cell r="DL109">
            <v>9.1032304356468696E-2</v>
          </cell>
          <cell r="DM109">
            <v>7.7781996014618215E-2</v>
          </cell>
          <cell r="DN109">
            <v>6.4473301006987116E-2</v>
          </cell>
        </row>
        <row r="110">
          <cell r="BK110" t="str">
            <v>January 2013 - Licenes platform seperately</v>
          </cell>
        </row>
        <row r="111">
          <cell r="BL111" t="str">
            <v>June 2013 - HR Service Automation, Facility Service Automation, and Field Service Automation</v>
          </cell>
        </row>
        <row r="112">
          <cell r="BL112" t="str">
            <v>July 9, 2013 - ServiceNow Acquires Mirror42 (Announces New ServiceNow Performance Analytics Product)</v>
          </cell>
        </row>
        <row r="113">
          <cell r="BU113" t="str">
            <v>ITOM products represented 14% of our net new ACV, and grew 170% year-over-year. And from performance analytics, which represented 5% of our net new ACV and grew 179% year-over-year.</v>
          </cell>
        </row>
        <row r="114">
          <cell r="BV114" t="str">
            <v>Dec 2015 New SOAR</v>
          </cell>
        </row>
        <row r="115">
          <cell r="BX115" t="str">
            <v>Customer service management officially launched in May at Knowledge16</v>
          </cell>
        </row>
        <row r="116">
          <cell r="C116" t="str">
            <v>Fiscal 1999 by Quarter</v>
          </cell>
          <cell r="G116" t="str">
            <v>Fiscal 2000 by Quarter</v>
          </cell>
          <cell r="K116" t="str">
            <v>Fiscal 2001 by Quarter</v>
          </cell>
          <cell r="O116" t="str">
            <v>Fiscal 2002 by Quarter</v>
          </cell>
          <cell r="S116" t="str">
            <v>Fiscal 2003 by Quarter</v>
          </cell>
          <cell r="W116" t="str">
            <v>Fiscal 2004 by Quarter</v>
          </cell>
          <cell r="AA116" t="str">
            <v>Fiscal 2005 by Quarter</v>
          </cell>
          <cell r="AE116" t="str">
            <v>Fiscal 2006 by Quarter</v>
          </cell>
          <cell r="AI116" t="str">
            <v>Fiscal 2006 by Quarter</v>
          </cell>
          <cell r="AM116" t="str">
            <v>Fiscal 2007 by Quarter</v>
          </cell>
          <cell r="AQ116" t="str">
            <v>Fiscal 2008 by Quarter</v>
          </cell>
          <cell r="AU116" t="str">
            <v>Fiscal 2009 by Quarter</v>
          </cell>
          <cell r="AY116" t="str">
            <v>Fiscal 2010 by Quarter</v>
          </cell>
          <cell r="BC116" t="str">
            <v>Fiscal 2011 by Quarter</v>
          </cell>
          <cell r="BG116" t="str">
            <v>Fiscal 2012 by Quarter</v>
          </cell>
          <cell r="BK116" t="str">
            <v>Fiscal 2013 by Quarter</v>
          </cell>
          <cell r="BO116" t="str">
            <v>Fiscal 2014 by Quarter</v>
          </cell>
          <cell r="BS116" t="str">
            <v>Fiscal 2015 by Quarter</v>
          </cell>
          <cell r="BW116" t="str">
            <v>Fiscal 2016 by Quarter</v>
          </cell>
          <cell r="CA116" t="str">
            <v>Fiscal 2017 by Quarter</v>
          </cell>
          <cell r="CE116" t="str">
            <v>Fiscal 2018 by Quarter</v>
          </cell>
          <cell r="CI116" t="str">
            <v>Fiscal 2019 by Quarter</v>
          </cell>
          <cell r="CM116" t="str">
            <v>Fiscal 2020 by Quarter</v>
          </cell>
          <cell r="CQ116" t="str">
            <v>Fiscal 2021 by Quarter</v>
          </cell>
          <cell r="CU116" t="str">
            <v>Fiscal 2022 by Quarter</v>
          </cell>
          <cell r="CY116" t="str">
            <v>Fiscal 2023 by Quarter</v>
          </cell>
          <cell r="DC116" t="str">
            <v>Fiscal 2024 by Quarter</v>
          </cell>
          <cell r="DG116" t="str">
            <v>Fiscal 2025 by Quarter</v>
          </cell>
          <cell r="DK116" t="str">
            <v>Fiscal 2026 by Quarter</v>
          </cell>
          <cell r="DP116" t="str">
            <v xml:space="preserve"> Fiscal Year Ends December</v>
          </cell>
        </row>
        <row r="117">
          <cell r="C117">
            <v>35886</v>
          </cell>
          <cell r="D117">
            <v>35977</v>
          </cell>
          <cell r="E117">
            <v>36069</v>
          </cell>
          <cell r="F117">
            <v>36161</v>
          </cell>
          <cell r="G117">
            <v>36251</v>
          </cell>
          <cell r="H117">
            <v>36342</v>
          </cell>
          <cell r="I117">
            <v>36434</v>
          </cell>
          <cell r="J117">
            <v>36526</v>
          </cell>
          <cell r="K117">
            <v>36617</v>
          </cell>
          <cell r="L117">
            <v>36708</v>
          </cell>
          <cell r="M117">
            <v>36800</v>
          </cell>
          <cell r="N117">
            <v>36892</v>
          </cell>
          <cell r="O117">
            <v>36982</v>
          </cell>
          <cell r="P117">
            <v>37073</v>
          </cell>
          <cell r="Q117">
            <v>37165</v>
          </cell>
          <cell r="R117">
            <v>37257</v>
          </cell>
          <cell r="S117">
            <v>37348</v>
          </cell>
          <cell r="T117">
            <v>37439</v>
          </cell>
          <cell r="U117">
            <v>37531</v>
          </cell>
          <cell r="V117">
            <v>37623</v>
          </cell>
          <cell r="W117">
            <v>37715</v>
          </cell>
          <cell r="X117">
            <v>37806</v>
          </cell>
          <cell r="Y117">
            <v>37898</v>
          </cell>
          <cell r="Z117">
            <v>37990</v>
          </cell>
          <cell r="AA117">
            <v>38081</v>
          </cell>
          <cell r="AB117">
            <v>38172</v>
          </cell>
          <cell r="AC117">
            <v>38264</v>
          </cell>
          <cell r="AD117">
            <v>38356</v>
          </cell>
          <cell r="AE117">
            <v>38447</v>
          </cell>
          <cell r="AF117">
            <v>38538</v>
          </cell>
          <cell r="AG117">
            <v>38630</v>
          </cell>
          <cell r="AH117">
            <v>38722</v>
          </cell>
          <cell r="AI117">
            <v>38807</v>
          </cell>
          <cell r="AJ117">
            <v>38898</v>
          </cell>
          <cell r="AK117">
            <v>38990</v>
          </cell>
          <cell r="AL117">
            <v>39082</v>
          </cell>
          <cell r="AM117">
            <v>39172</v>
          </cell>
          <cell r="AN117">
            <v>39263</v>
          </cell>
          <cell r="AO117">
            <v>39355</v>
          </cell>
          <cell r="AP117">
            <v>39447</v>
          </cell>
          <cell r="AQ117">
            <v>39538</v>
          </cell>
          <cell r="AR117">
            <v>39629</v>
          </cell>
          <cell r="AS117">
            <v>39721</v>
          </cell>
          <cell r="AT117">
            <v>39813</v>
          </cell>
          <cell r="AU117">
            <v>39903</v>
          </cell>
          <cell r="AV117">
            <v>39994</v>
          </cell>
          <cell r="AW117">
            <v>40086</v>
          </cell>
          <cell r="AX117">
            <v>40178</v>
          </cell>
          <cell r="AY117">
            <v>40268</v>
          </cell>
          <cell r="AZ117">
            <v>40359</v>
          </cell>
          <cell r="BA117">
            <v>40451</v>
          </cell>
          <cell r="BB117">
            <v>40543</v>
          </cell>
          <cell r="BC117">
            <v>40633</v>
          </cell>
          <cell r="BD117">
            <v>40724</v>
          </cell>
          <cell r="BE117">
            <v>40816</v>
          </cell>
          <cell r="BF117">
            <v>40908</v>
          </cell>
          <cell r="BG117">
            <v>40999</v>
          </cell>
          <cell r="BH117">
            <v>41072</v>
          </cell>
          <cell r="BI117">
            <v>41164</v>
          </cell>
          <cell r="BJ117">
            <v>41255</v>
          </cell>
          <cell r="BK117">
            <v>41346</v>
          </cell>
          <cell r="BL117">
            <v>41438</v>
          </cell>
          <cell r="BM117">
            <v>41529</v>
          </cell>
          <cell r="BN117">
            <v>41621</v>
          </cell>
          <cell r="BO117">
            <v>41712</v>
          </cell>
          <cell r="BP117">
            <v>41804</v>
          </cell>
          <cell r="BQ117">
            <v>41894</v>
          </cell>
          <cell r="BR117">
            <v>41987</v>
          </cell>
          <cell r="BS117">
            <v>42078</v>
          </cell>
          <cell r="BT117">
            <v>42170</v>
          </cell>
          <cell r="BU117">
            <v>42262</v>
          </cell>
          <cell r="BV117">
            <v>42353</v>
          </cell>
          <cell r="BW117">
            <v>42445</v>
          </cell>
          <cell r="BX117">
            <v>42537</v>
          </cell>
          <cell r="BY117">
            <v>42629</v>
          </cell>
          <cell r="BZ117">
            <v>42720</v>
          </cell>
          <cell r="CA117">
            <v>42811</v>
          </cell>
          <cell r="CB117">
            <v>42903</v>
          </cell>
          <cell r="CC117">
            <v>42995</v>
          </cell>
          <cell r="CD117">
            <v>43086</v>
          </cell>
          <cell r="CE117">
            <v>43177</v>
          </cell>
          <cell r="CF117">
            <v>43269</v>
          </cell>
          <cell r="CG117">
            <v>43361</v>
          </cell>
          <cell r="CH117">
            <v>43452</v>
          </cell>
          <cell r="CI117">
            <v>43543</v>
          </cell>
          <cell r="CJ117">
            <v>43635</v>
          </cell>
          <cell r="CK117">
            <v>43727</v>
          </cell>
          <cell r="CL117">
            <v>43818</v>
          </cell>
          <cell r="CM117">
            <v>43910</v>
          </cell>
          <cell r="CN117">
            <v>44002</v>
          </cell>
          <cell r="CO117">
            <v>44094</v>
          </cell>
          <cell r="CP117">
            <v>44185</v>
          </cell>
          <cell r="CQ117" t="str">
            <v>Mar-21E</v>
          </cell>
          <cell r="CR117" t="str">
            <v>Jun-21E</v>
          </cell>
          <cell r="CS117" t="str">
            <v>Sep-21E</v>
          </cell>
          <cell r="CT117" t="str">
            <v>Dec-21E</v>
          </cell>
          <cell r="CU117" t="str">
            <v>Mar-22E</v>
          </cell>
          <cell r="CV117" t="str">
            <v>Jun-22E</v>
          </cell>
          <cell r="CW117" t="str">
            <v>Sep-22E</v>
          </cell>
          <cell r="CX117" t="str">
            <v>Dec-22E</v>
          </cell>
          <cell r="CY117" t="str">
            <v>Mar-23E</v>
          </cell>
          <cell r="CZ117" t="str">
            <v>Jun-23E</v>
          </cell>
          <cell r="DA117" t="str">
            <v>Sep-23E</v>
          </cell>
          <cell r="DB117" t="str">
            <v>Dec-23E</v>
          </cell>
          <cell r="DC117" t="str">
            <v>Mar-24E</v>
          </cell>
          <cell r="DD117" t="str">
            <v>Jun-24E</v>
          </cell>
          <cell r="DE117" t="str">
            <v>Sep-24E</v>
          </cell>
          <cell r="DF117" t="str">
            <v>Dec-24E</v>
          </cell>
          <cell r="DG117" t="str">
            <v>Mar-25E</v>
          </cell>
          <cell r="DH117" t="str">
            <v>Jun-25E</v>
          </cell>
          <cell r="DI117" t="str">
            <v>Sep-25E</v>
          </cell>
          <cell r="DJ117" t="str">
            <v>Dec-25E</v>
          </cell>
          <cell r="DK117" t="str">
            <v>Mar-26E</v>
          </cell>
          <cell r="DL117" t="str">
            <v>Jun-26E</v>
          </cell>
          <cell r="DM117" t="str">
            <v>Sep-26E</v>
          </cell>
          <cell r="DN117" t="str">
            <v>Dec-26E</v>
          </cell>
          <cell r="DP117">
            <v>1998</v>
          </cell>
          <cell r="DQ117">
            <v>1999</v>
          </cell>
          <cell r="DR117">
            <v>2000</v>
          </cell>
          <cell r="DS117">
            <v>2001</v>
          </cell>
          <cell r="DT117">
            <v>2002</v>
          </cell>
          <cell r="DU117">
            <v>2003</v>
          </cell>
          <cell r="DV117">
            <v>2004</v>
          </cell>
          <cell r="DW117">
            <v>2005</v>
          </cell>
          <cell r="DX117">
            <v>2006</v>
          </cell>
          <cell r="DY117">
            <v>2007</v>
          </cell>
          <cell r="DZ117">
            <v>2008</v>
          </cell>
          <cell r="EA117">
            <v>2009</v>
          </cell>
          <cell r="EB117">
            <v>2010</v>
          </cell>
          <cell r="EC117">
            <v>2011</v>
          </cell>
          <cell r="ED117">
            <v>2012</v>
          </cell>
          <cell r="EE117">
            <v>2013</v>
          </cell>
          <cell r="EF117">
            <v>2014</v>
          </cell>
          <cell r="EG117">
            <v>2015</v>
          </cell>
          <cell r="EH117">
            <v>2016</v>
          </cell>
          <cell r="EI117">
            <v>2017</v>
          </cell>
          <cell r="EJ117">
            <v>2018</v>
          </cell>
          <cell r="EK117">
            <v>2019</v>
          </cell>
          <cell r="EL117">
            <v>2020</v>
          </cell>
          <cell r="EM117" t="str">
            <v>2021E</v>
          </cell>
          <cell r="EN117" t="str">
            <v>2022E</v>
          </cell>
          <cell r="EO117" t="str">
            <v>2023E</v>
          </cell>
          <cell r="EP117" t="str">
            <v>2024E</v>
          </cell>
          <cell r="EQ117" t="str">
            <v>2025E</v>
          </cell>
          <cell r="ER117" t="str">
            <v>2026E</v>
          </cell>
        </row>
        <row r="118">
          <cell r="A118" t="str">
            <v>Cumulative number of customers</v>
          </cell>
          <cell r="AV118">
            <v>281</v>
          </cell>
          <cell r="AZ118">
            <v>460</v>
          </cell>
          <cell r="BB118">
            <v>568</v>
          </cell>
          <cell r="BC118">
            <v>630</v>
          </cell>
          <cell r="BD118">
            <v>771</v>
          </cell>
          <cell r="BE118">
            <v>801</v>
          </cell>
          <cell r="BF118">
            <v>914</v>
          </cell>
          <cell r="BG118">
            <v>1074</v>
          </cell>
          <cell r="BH118">
            <v>1201</v>
          </cell>
          <cell r="BI118">
            <v>1346</v>
          </cell>
          <cell r="BJ118">
            <v>1512</v>
          </cell>
          <cell r="BK118">
            <v>1640</v>
          </cell>
          <cell r="BL118">
            <v>1778</v>
          </cell>
          <cell r="BM118">
            <v>1900</v>
          </cell>
          <cell r="BN118">
            <v>2060</v>
          </cell>
          <cell r="BO118">
            <v>2195</v>
          </cell>
          <cell r="BP118">
            <v>2364</v>
          </cell>
          <cell r="BQ118">
            <v>2176</v>
          </cell>
          <cell r="BR118">
            <v>2347</v>
          </cell>
          <cell r="BS118">
            <v>2872</v>
          </cell>
          <cell r="BT118">
            <v>2628</v>
          </cell>
          <cell r="BU118">
            <v>2804</v>
          </cell>
          <cell r="BV118">
            <v>2978</v>
          </cell>
          <cell r="BW118">
            <v>2978</v>
          </cell>
          <cell r="BX118">
            <v>2978</v>
          </cell>
          <cell r="BY118">
            <v>2978</v>
          </cell>
          <cell r="BZ118">
            <v>2978</v>
          </cell>
          <cell r="CA118">
            <v>2978</v>
          </cell>
          <cell r="CB118">
            <v>2978</v>
          </cell>
          <cell r="CC118">
            <v>2978</v>
          </cell>
          <cell r="CD118">
            <v>2978</v>
          </cell>
          <cell r="CE118">
            <v>2978</v>
          </cell>
          <cell r="CF118">
            <v>2978</v>
          </cell>
          <cell r="CG118">
            <v>2978</v>
          </cell>
          <cell r="CH118">
            <v>2978</v>
          </cell>
          <cell r="CI118">
            <v>2978</v>
          </cell>
          <cell r="CJ118">
            <v>2978</v>
          </cell>
          <cell r="CK118">
            <v>2978</v>
          </cell>
          <cell r="CL118">
            <v>2978</v>
          </cell>
          <cell r="CM118">
            <v>2978</v>
          </cell>
          <cell r="CN118">
            <v>2978</v>
          </cell>
          <cell r="CO118">
            <v>2978</v>
          </cell>
          <cell r="CP118">
            <v>2978</v>
          </cell>
          <cell r="CQ118">
            <v>2978</v>
          </cell>
          <cell r="CR118">
            <v>2978</v>
          </cell>
          <cell r="CS118">
            <v>2978</v>
          </cell>
          <cell r="CT118">
            <v>2978</v>
          </cell>
          <cell r="CU118">
            <v>2978</v>
          </cell>
          <cell r="CV118">
            <v>2978</v>
          </cell>
          <cell r="CW118">
            <v>2978</v>
          </cell>
          <cell r="CX118">
            <v>2978</v>
          </cell>
          <cell r="CY118">
            <v>2978</v>
          </cell>
          <cell r="CZ118">
            <v>2978</v>
          </cell>
          <cell r="DA118">
            <v>2978</v>
          </cell>
          <cell r="DB118">
            <v>2978</v>
          </cell>
          <cell r="DC118">
            <v>2978</v>
          </cell>
          <cell r="DD118">
            <v>2978</v>
          </cell>
          <cell r="DE118">
            <v>2978</v>
          </cell>
          <cell r="DF118">
            <v>2978</v>
          </cell>
          <cell r="DG118">
            <v>2978</v>
          </cell>
          <cell r="DH118">
            <v>2978</v>
          </cell>
          <cell r="DI118">
            <v>2978</v>
          </cell>
          <cell r="DJ118">
            <v>2978</v>
          </cell>
          <cell r="DK118">
            <v>2978</v>
          </cell>
          <cell r="DL118">
            <v>2978</v>
          </cell>
          <cell r="DM118">
            <v>2978</v>
          </cell>
          <cell r="DN118">
            <v>2978</v>
          </cell>
          <cell r="DP118">
            <v>0</v>
          </cell>
          <cell r="DQ118">
            <v>0</v>
          </cell>
          <cell r="DR118">
            <v>0</v>
          </cell>
          <cell r="DS118">
            <v>0</v>
          </cell>
          <cell r="DT118">
            <v>0</v>
          </cell>
          <cell r="DU118">
            <v>0</v>
          </cell>
          <cell r="DV118">
            <v>0</v>
          </cell>
          <cell r="DW118">
            <v>0</v>
          </cell>
          <cell r="DX118">
            <v>0</v>
          </cell>
          <cell r="DY118">
            <v>0</v>
          </cell>
          <cell r="DZ118">
            <v>0</v>
          </cell>
          <cell r="EA118">
            <v>0</v>
          </cell>
          <cell r="EB118">
            <v>568</v>
          </cell>
          <cell r="EC118">
            <v>914</v>
          </cell>
          <cell r="ED118">
            <v>1512</v>
          </cell>
          <cell r="EE118">
            <v>2060</v>
          </cell>
          <cell r="EF118">
            <v>2347</v>
          </cell>
          <cell r="EG118">
            <v>2978</v>
          </cell>
          <cell r="EH118">
            <v>2978</v>
          </cell>
          <cell r="EI118">
            <v>2978</v>
          </cell>
          <cell r="EJ118">
            <v>2978</v>
          </cell>
          <cell r="EK118">
            <v>2978</v>
          </cell>
          <cell r="EL118">
            <v>2978</v>
          </cell>
          <cell r="EM118">
            <v>2978</v>
          </cell>
          <cell r="EN118">
            <v>2978</v>
          </cell>
          <cell r="EO118">
            <v>2978</v>
          </cell>
          <cell r="EP118">
            <v>2978</v>
          </cell>
          <cell r="EQ118">
            <v>2978</v>
          </cell>
          <cell r="ER118">
            <v>2978</v>
          </cell>
        </row>
        <row r="119">
          <cell r="A119" t="str">
            <v>% growth y-o-y</v>
          </cell>
          <cell r="V119" t="str">
            <v>NA</v>
          </cell>
          <cell r="Z119" t="str">
            <v>NA</v>
          </cell>
          <cell r="AA119" t="str">
            <v>NA</v>
          </cell>
          <cell r="AB119" t="str">
            <v>NA</v>
          </cell>
          <cell r="AC119" t="str">
            <v>NA</v>
          </cell>
          <cell r="AD119" t="str">
            <v>NA</v>
          </cell>
          <cell r="AE119" t="str">
            <v>NA</v>
          </cell>
          <cell r="AF119" t="str">
            <v>NA</v>
          </cell>
          <cell r="AG119" t="str">
            <v>NA</v>
          </cell>
          <cell r="AH119" t="str">
            <v>NA</v>
          </cell>
          <cell r="AI119" t="str">
            <v>NA</v>
          </cell>
          <cell r="AJ119" t="str">
            <v>NA</v>
          </cell>
          <cell r="AK119" t="str">
            <v>NA</v>
          </cell>
          <cell r="AL119" t="str">
            <v>NA</v>
          </cell>
          <cell r="AM119" t="str">
            <v>NA</v>
          </cell>
          <cell r="AN119" t="str">
            <v>NA</v>
          </cell>
          <cell r="AO119" t="str">
            <v>NA</v>
          </cell>
          <cell r="AP119" t="str">
            <v>NA</v>
          </cell>
          <cell r="AQ119" t="str">
            <v>NA</v>
          </cell>
          <cell r="AR119" t="str">
            <v>NA</v>
          </cell>
          <cell r="AS119" t="str">
            <v>NA</v>
          </cell>
          <cell r="AT119" t="str">
            <v>NA</v>
          </cell>
          <cell r="AU119" t="str">
            <v>NA</v>
          </cell>
          <cell r="AV119" t="str">
            <v>NA</v>
          </cell>
          <cell r="AW119" t="str">
            <v>NA</v>
          </cell>
          <cell r="AX119" t="str">
            <v>NA</v>
          </cell>
          <cell r="AY119" t="str">
            <v>NA</v>
          </cell>
          <cell r="AZ119">
            <v>0.63701067615658369</v>
          </cell>
          <cell r="BA119" t="str">
            <v>NA</v>
          </cell>
          <cell r="BB119" t="str">
            <v>NA</v>
          </cell>
          <cell r="BC119" t="str">
            <v>NA</v>
          </cell>
          <cell r="BD119">
            <v>0.67608695652173911</v>
          </cell>
          <cell r="BE119" t="str">
            <v>NA</v>
          </cell>
          <cell r="BF119">
            <v>0.60915492957746475</v>
          </cell>
          <cell r="BG119">
            <v>0.7047619047619047</v>
          </cell>
          <cell r="BH119">
            <v>0.55771725032425423</v>
          </cell>
          <cell r="BI119">
            <v>0.68039950062421983</v>
          </cell>
          <cell r="BJ119">
            <v>0.65426695842450755</v>
          </cell>
          <cell r="BK119">
            <v>0.52700186219739287</v>
          </cell>
          <cell r="BL119">
            <v>0.48043297252289752</v>
          </cell>
          <cell r="BM119">
            <v>0.41158989598811302</v>
          </cell>
          <cell r="BN119">
            <v>0.36243386243386233</v>
          </cell>
          <cell r="BO119">
            <v>0.33841463414634143</v>
          </cell>
          <cell r="BP119">
            <v>0.3295838020247468</v>
          </cell>
          <cell r="BQ119">
            <v>0.14526315789473676</v>
          </cell>
          <cell r="BR119">
            <v>0.13932038834951466</v>
          </cell>
          <cell r="BS119">
            <v>0.30842824601366736</v>
          </cell>
          <cell r="BT119">
            <v>0.11167512690355319</v>
          </cell>
          <cell r="BU119">
            <v>0.28860294117647056</v>
          </cell>
          <cell r="BV119">
            <v>0.26885385598636558</v>
          </cell>
          <cell r="BW119">
            <v>3.6908077994429078E-2</v>
          </cell>
          <cell r="BX119">
            <v>0.13318112633181123</v>
          </cell>
          <cell r="BY119">
            <v>6.2054208273894407E-2</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Q119" t="str">
            <v>NA</v>
          </cell>
          <cell r="DR119" t="str">
            <v>NA</v>
          </cell>
          <cell r="DS119" t="str">
            <v>NA</v>
          </cell>
          <cell r="DT119" t="str">
            <v>NA</v>
          </cell>
          <cell r="DU119" t="str">
            <v>NA</v>
          </cell>
          <cell r="DV119" t="str">
            <v>NA</v>
          </cell>
          <cell r="DW119" t="str">
            <v>NA</v>
          </cell>
          <cell r="DX119" t="str">
            <v>NA</v>
          </cell>
          <cell r="DY119" t="str">
            <v>NA</v>
          </cell>
          <cell r="DZ119" t="str">
            <v>NA</v>
          </cell>
          <cell r="EA119" t="str">
            <v>NA</v>
          </cell>
          <cell r="EB119" t="str">
            <v>NA</v>
          </cell>
          <cell r="EC119">
            <v>0.60915492957746475</v>
          </cell>
          <cell r="ED119">
            <v>0.65426695842450755</v>
          </cell>
          <cell r="EE119">
            <v>0.36243386243386233</v>
          </cell>
          <cell r="EF119">
            <v>0.13932038834951466</v>
          </cell>
          <cell r="EG119">
            <v>0.26885385598636558</v>
          </cell>
          <cell r="EH119">
            <v>0</v>
          </cell>
          <cell r="EI119">
            <v>0</v>
          </cell>
          <cell r="EJ119">
            <v>0</v>
          </cell>
          <cell r="EK119">
            <v>0</v>
          </cell>
          <cell r="EL119">
            <v>0</v>
          </cell>
          <cell r="EM119">
            <v>0</v>
          </cell>
          <cell r="EN119">
            <v>0</v>
          </cell>
          <cell r="EO119">
            <v>0</v>
          </cell>
          <cell r="EP119">
            <v>0</v>
          </cell>
          <cell r="EQ119">
            <v>0</v>
          </cell>
          <cell r="ER119">
            <v>0</v>
          </cell>
        </row>
        <row r="120">
          <cell r="A120" t="str">
            <v>% growth seq</v>
          </cell>
          <cell r="V120" t="str">
            <v>NA</v>
          </cell>
          <cell r="Z120" t="str">
            <v>NA</v>
          </cell>
          <cell r="AA120" t="str">
            <v>NA</v>
          </cell>
          <cell r="AB120" t="str">
            <v>NA</v>
          </cell>
          <cell r="AC120" t="str">
            <v>NA</v>
          </cell>
          <cell r="AD120" t="str">
            <v>NA</v>
          </cell>
          <cell r="AE120" t="str">
            <v>NA</v>
          </cell>
          <cell r="AF120" t="str">
            <v>NA</v>
          </cell>
          <cell r="AG120" t="str">
            <v>NA</v>
          </cell>
          <cell r="AH120" t="str">
            <v>NA</v>
          </cell>
          <cell r="AI120" t="str">
            <v>NA</v>
          </cell>
          <cell r="AJ120" t="str">
            <v>NA</v>
          </cell>
          <cell r="AK120" t="str">
            <v>NA</v>
          </cell>
          <cell r="AL120" t="str">
            <v>NA</v>
          </cell>
          <cell r="AM120" t="str">
            <v>NA</v>
          </cell>
          <cell r="AN120" t="str">
            <v>NA</v>
          </cell>
          <cell r="AO120" t="str">
            <v>NA</v>
          </cell>
          <cell r="AP120" t="str">
            <v>NA</v>
          </cell>
          <cell r="AQ120" t="str">
            <v>NA</v>
          </cell>
          <cell r="AR120" t="str">
            <v>NA</v>
          </cell>
          <cell r="AS120" t="str">
            <v>NA</v>
          </cell>
          <cell r="AT120" t="str">
            <v>NA</v>
          </cell>
          <cell r="AU120" t="str">
            <v>NA</v>
          </cell>
          <cell r="AV120" t="str">
            <v>NA</v>
          </cell>
          <cell r="AW120">
            <v>-1</v>
          </cell>
          <cell r="AX120" t="str">
            <v>NA</v>
          </cell>
          <cell r="AY120" t="str">
            <v>NA</v>
          </cell>
          <cell r="AZ120" t="str">
            <v>NA</v>
          </cell>
          <cell r="BA120">
            <v>-1</v>
          </cell>
          <cell r="BB120" t="str">
            <v>NA</v>
          </cell>
          <cell r="BC120">
            <v>0.10915492957746475</v>
          </cell>
          <cell r="BD120">
            <v>0.2238095238095239</v>
          </cell>
          <cell r="BE120">
            <v>3.8910505836575959E-2</v>
          </cell>
          <cell r="BF120">
            <v>0.14107365792759041</v>
          </cell>
          <cell r="BG120">
            <v>0.17505470459518602</v>
          </cell>
          <cell r="BH120">
            <v>0.11824953445065178</v>
          </cell>
          <cell r="BI120">
            <v>0.12073272273105751</v>
          </cell>
          <cell r="BJ120">
            <v>0.12332838038632987</v>
          </cell>
          <cell r="BK120">
            <v>8.4656084656084651E-2</v>
          </cell>
          <cell r="BL120">
            <v>8.4146341463414709E-2</v>
          </cell>
          <cell r="BM120">
            <v>6.861642294713155E-2</v>
          </cell>
          <cell r="BN120">
            <v>8.4210526315789513E-2</v>
          </cell>
          <cell r="BO120">
            <v>6.5533980582524354E-2</v>
          </cell>
          <cell r="BP120">
            <v>7.6993166287016024E-2</v>
          </cell>
          <cell r="BQ120">
            <v>-7.9526226734348615E-2</v>
          </cell>
          <cell r="BR120">
            <v>7.8584558823529438E-2</v>
          </cell>
          <cell r="BS120">
            <v>0.2236898167873882</v>
          </cell>
          <cell r="BT120">
            <v>-8.4958217270195036E-2</v>
          </cell>
          <cell r="BU120">
            <v>6.6971080669710803E-2</v>
          </cell>
          <cell r="BV120">
            <v>6.2054208273894407E-2</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row>
        <row r="122">
          <cell r="A122" t="str">
            <v>Net new customers</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281</v>
          </cell>
          <cell r="AW122">
            <v>-281</v>
          </cell>
          <cell r="AX122">
            <v>0</v>
          </cell>
          <cell r="AY122">
            <v>0</v>
          </cell>
          <cell r="AZ122">
            <v>460</v>
          </cell>
          <cell r="BA122">
            <v>-460</v>
          </cell>
          <cell r="BB122">
            <v>568</v>
          </cell>
          <cell r="BC122">
            <v>62</v>
          </cell>
          <cell r="BD122">
            <v>141</v>
          </cell>
          <cell r="BE122">
            <v>30</v>
          </cell>
          <cell r="BF122">
            <v>113</v>
          </cell>
          <cell r="BG122">
            <v>160</v>
          </cell>
          <cell r="BH122">
            <v>127</v>
          </cell>
          <cell r="BI122">
            <v>127</v>
          </cell>
          <cell r="BJ122">
            <v>166</v>
          </cell>
          <cell r="BK122">
            <v>128</v>
          </cell>
          <cell r="BL122">
            <v>138</v>
          </cell>
          <cell r="BM122">
            <v>122</v>
          </cell>
          <cell r="BN122">
            <v>160</v>
          </cell>
          <cell r="BO122">
            <v>135</v>
          </cell>
          <cell r="BP122">
            <v>169</v>
          </cell>
          <cell r="BQ122">
            <v>130</v>
          </cell>
          <cell r="BR122">
            <v>171</v>
          </cell>
          <cell r="BS122">
            <v>114</v>
          </cell>
          <cell r="BT122">
            <v>167</v>
          </cell>
          <cell r="BU122">
            <v>176</v>
          </cell>
          <cell r="BV122">
            <v>174</v>
          </cell>
          <cell r="DP122">
            <v>0</v>
          </cell>
          <cell r="DQ122">
            <v>0</v>
          </cell>
          <cell r="DR122">
            <v>0</v>
          </cell>
          <cell r="DS122">
            <v>0</v>
          </cell>
          <cell r="DT122">
            <v>0</v>
          </cell>
          <cell r="DU122">
            <v>0</v>
          </cell>
          <cell r="DV122">
            <v>0</v>
          </cell>
          <cell r="DW122">
            <v>0</v>
          </cell>
          <cell r="DX122">
            <v>0</v>
          </cell>
          <cell r="DY122">
            <v>0</v>
          </cell>
          <cell r="DZ122">
            <v>0</v>
          </cell>
          <cell r="EA122">
            <v>0</v>
          </cell>
          <cell r="EB122">
            <v>568</v>
          </cell>
          <cell r="EC122">
            <v>346</v>
          </cell>
          <cell r="ED122">
            <v>598</v>
          </cell>
          <cell r="EE122">
            <v>548</v>
          </cell>
          <cell r="EF122">
            <v>287</v>
          </cell>
          <cell r="EG122">
            <v>631</v>
          </cell>
          <cell r="EH122">
            <v>0</v>
          </cell>
          <cell r="EI122">
            <v>0</v>
          </cell>
          <cell r="EJ122">
            <v>0</v>
          </cell>
          <cell r="EK122">
            <v>0</v>
          </cell>
          <cell r="EL122">
            <v>0</v>
          </cell>
          <cell r="EM122">
            <v>0</v>
          </cell>
          <cell r="EN122">
            <v>0</v>
          </cell>
          <cell r="EO122">
            <v>0</v>
          </cell>
          <cell r="EP122">
            <v>0</v>
          </cell>
          <cell r="EQ122">
            <v>0</v>
          </cell>
          <cell r="ER122">
            <v>0</v>
          </cell>
        </row>
        <row r="123">
          <cell r="A123" t="str">
            <v>% growth y-o-y</v>
          </cell>
          <cell r="V123" t="str">
            <v>NA</v>
          </cell>
          <cell r="Z123" t="str">
            <v>NA</v>
          </cell>
          <cell r="AA123" t="str">
            <v>NA</v>
          </cell>
          <cell r="AB123" t="str">
            <v>NA</v>
          </cell>
          <cell r="AC123" t="str">
            <v>NA</v>
          </cell>
          <cell r="AD123" t="str">
            <v>NA</v>
          </cell>
          <cell r="AE123" t="str">
            <v>NA</v>
          </cell>
          <cell r="AF123" t="str">
            <v>NA</v>
          </cell>
          <cell r="AG123" t="str">
            <v>NA</v>
          </cell>
          <cell r="AH123" t="str">
            <v>NA</v>
          </cell>
          <cell r="AI123" t="str">
            <v>NA</v>
          </cell>
          <cell r="AJ123" t="str">
            <v>NA</v>
          </cell>
          <cell r="AK123" t="str">
            <v>NA</v>
          </cell>
          <cell r="AL123" t="str">
            <v>NA</v>
          </cell>
          <cell r="AM123" t="str">
            <v>NA</v>
          </cell>
          <cell r="AN123" t="str">
            <v>NA</v>
          </cell>
          <cell r="AO123" t="str">
            <v>NA</v>
          </cell>
          <cell r="AP123" t="str">
            <v>NA</v>
          </cell>
          <cell r="AQ123" t="str">
            <v>NA</v>
          </cell>
          <cell r="AR123" t="str">
            <v>NA</v>
          </cell>
          <cell r="AS123" t="str">
            <v>NA</v>
          </cell>
          <cell r="AT123" t="str">
            <v>NA</v>
          </cell>
          <cell r="AU123" t="str">
            <v>NA</v>
          </cell>
          <cell r="AV123" t="str">
            <v>NA</v>
          </cell>
          <cell r="AW123" t="str">
            <v>NA</v>
          </cell>
          <cell r="AX123" t="str">
            <v>NA</v>
          </cell>
          <cell r="AY123" t="str">
            <v>NA</v>
          </cell>
          <cell r="AZ123">
            <v>0.63701067615658369</v>
          </cell>
          <cell r="BA123">
            <v>0.63701067615658369</v>
          </cell>
          <cell r="BB123" t="str">
            <v>NA</v>
          </cell>
          <cell r="BC123" t="str">
            <v>NA</v>
          </cell>
          <cell r="BD123">
            <v>-0.69347826086956521</v>
          </cell>
          <cell r="BE123">
            <v>-1.0652173913043479</v>
          </cell>
          <cell r="BF123">
            <v>-0.801056338028169</v>
          </cell>
          <cell r="BG123">
            <v>1.5806451612903225</v>
          </cell>
          <cell r="BH123">
            <v>-9.9290780141844004E-2</v>
          </cell>
          <cell r="BI123">
            <v>3.2333333333333334</v>
          </cell>
          <cell r="BJ123">
            <v>0.46902654867256643</v>
          </cell>
          <cell r="BK123">
            <v>-0.19999999999999996</v>
          </cell>
          <cell r="BL123">
            <v>8.6614173228346525E-2</v>
          </cell>
          <cell r="BM123">
            <v>-3.9370078740157521E-2</v>
          </cell>
          <cell r="BN123">
            <v>-3.6144578313253017E-2</v>
          </cell>
          <cell r="BO123">
            <v>5.46875E-2</v>
          </cell>
          <cell r="BP123">
            <v>0.2246376811594204</v>
          </cell>
          <cell r="BQ123">
            <v>6.5573770491803351E-2</v>
          </cell>
          <cell r="BR123">
            <v>6.8750000000000089E-2</v>
          </cell>
          <cell r="BS123">
            <v>-0.15555555555555556</v>
          </cell>
          <cell r="BT123">
            <v>-1.1834319526627168E-2</v>
          </cell>
          <cell r="BU123">
            <v>0.35384615384615392</v>
          </cell>
          <cell r="BV123">
            <v>1.7543859649122862E-2</v>
          </cell>
          <cell r="BW123">
            <v>-1</v>
          </cell>
          <cell r="BX123">
            <v>-1</v>
          </cell>
          <cell r="BY123">
            <v>-1</v>
          </cell>
          <cell r="BZ123">
            <v>-1</v>
          </cell>
          <cell r="CA123" t="str">
            <v>NA</v>
          </cell>
          <cell r="CB123" t="str">
            <v>NA</v>
          </cell>
          <cell r="CC123" t="str">
            <v>NA</v>
          </cell>
          <cell r="CD123" t="str">
            <v>NA</v>
          </cell>
          <cell r="CE123" t="str">
            <v>NA</v>
          </cell>
          <cell r="CF123" t="str">
            <v>NA</v>
          </cell>
          <cell r="CG123" t="str">
            <v>NA</v>
          </cell>
          <cell r="CH123" t="str">
            <v>NA</v>
          </cell>
          <cell r="CI123" t="str">
            <v>NA</v>
          </cell>
          <cell r="CJ123" t="str">
            <v>NA</v>
          </cell>
          <cell r="CK123" t="str">
            <v>NA</v>
          </cell>
          <cell r="CL123" t="str">
            <v>NA</v>
          </cell>
          <cell r="CM123" t="str">
            <v>NA</v>
          </cell>
          <cell r="CN123" t="str">
            <v>NA</v>
          </cell>
          <cell r="CO123" t="str">
            <v>NA</v>
          </cell>
          <cell r="CP123" t="str">
            <v>NA</v>
          </cell>
          <cell r="CQ123" t="str">
            <v>NA</v>
          </cell>
          <cell r="CR123" t="str">
            <v>NA</v>
          </cell>
          <cell r="CS123" t="str">
            <v>NA</v>
          </cell>
          <cell r="CT123" t="str">
            <v>NA</v>
          </cell>
          <cell r="CU123" t="str">
            <v>NA</v>
          </cell>
          <cell r="CV123" t="str">
            <v>NA</v>
          </cell>
          <cell r="CW123" t="str">
            <v>NA</v>
          </cell>
          <cell r="CX123" t="str">
            <v>NA</v>
          </cell>
          <cell r="CY123" t="str">
            <v>NA</v>
          </cell>
          <cell r="CZ123" t="str">
            <v>NA</v>
          </cell>
          <cell r="DA123" t="str">
            <v>NA</v>
          </cell>
          <cell r="DB123" t="str">
            <v>NA</v>
          </cell>
          <cell r="DC123" t="str">
            <v>NA</v>
          </cell>
          <cell r="DD123" t="str">
            <v>NA</v>
          </cell>
          <cell r="DE123" t="str">
            <v>NA</v>
          </cell>
          <cell r="DF123" t="str">
            <v>NA</v>
          </cell>
          <cell r="DG123" t="str">
            <v>NA</v>
          </cell>
          <cell r="DH123" t="str">
            <v>NA</v>
          </cell>
          <cell r="DI123" t="str">
            <v>NA</v>
          </cell>
          <cell r="DJ123" t="str">
            <v>NA</v>
          </cell>
          <cell r="DK123" t="str">
            <v>NA</v>
          </cell>
          <cell r="DL123" t="str">
            <v>NA</v>
          </cell>
          <cell r="DM123" t="str">
            <v>NA</v>
          </cell>
          <cell r="DN123" t="str">
            <v>NA</v>
          </cell>
          <cell r="DQ123" t="str">
            <v>NA</v>
          </cell>
          <cell r="DR123" t="str">
            <v>NA</v>
          </cell>
          <cell r="DS123" t="str">
            <v>NA</v>
          </cell>
          <cell r="DT123" t="str">
            <v>NA</v>
          </cell>
          <cell r="DU123" t="str">
            <v>NA</v>
          </cell>
          <cell r="DV123" t="str">
            <v>NA</v>
          </cell>
          <cell r="DW123" t="str">
            <v>NA</v>
          </cell>
          <cell r="DX123" t="str">
            <v>NA</v>
          </cell>
          <cell r="DY123" t="str">
            <v>NA</v>
          </cell>
          <cell r="DZ123" t="str">
            <v>NA</v>
          </cell>
          <cell r="EA123" t="str">
            <v>NA</v>
          </cell>
          <cell r="EB123" t="str">
            <v>NA</v>
          </cell>
          <cell r="EC123">
            <v>-0.39084507042253525</v>
          </cell>
          <cell r="ED123">
            <v>0.72832369942196529</v>
          </cell>
          <cell r="EE123">
            <v>-8.361204013377932E-2</v>
          </cell>
          <cell r="EF123">
            <v>-0.47627737226277367</v>
          </cell>
          <cell r="EG123">
            <v>1.1986062717770034</v>
          </cell>
          <cell r="EH123">
            <v>-1</v>
          </cell>
          <cell r="EI123" t="str">
            <v>NA</v>
          </cell>
          <cell r="EJ123" t="str">
            <v>NA</v>
          </cell>
          <cell r="EK123" t="str">
            <v>NA</v>
          </cell>
          <cell r="EL123" t="str">
            <v>NA</v>
          </cell>
          <cell r="EM123" t="str">
            <v>NA</v>
          </cell>
          <cell r="EN123" t="str">
            <v>NA</v>
          </cell>
          <cell r="EO123" t="str">
            <v>NA</v>
          </cell>
          <cell r="EP123" t="str">
            <v>NA</v>
          </cell>
          <cell r="EQ123" t="str">
            <v>NA</v>
          </cell>
          <cell r="ER123" t="str">
            <v>NA</v>
          </cell>
        </row>
        <row r="124">
          <cell r="A124" t="str">
            <v>% growth seq</v>
          </cell>
          <cell r="V124" t="str">
            <v>NA</v>
          </cell>
          <cell r="Z124" t="str">
            <v>NA</v>
          </cell>
          <cell r="AA124" t="str">
            <v>NA</v>
          </cell>
          <cell r="AB124" t="str">
            <v>NA</v>
          </cell>
          <cell r="AC124" t="str">
            <v>NA</v>
          </cell>
          <cell r="AD124" t="str">
            <v>NA</v>
          </cell>
          <cell r="AE124" t="str">
            <v>NA</v>
          </cell>
          <cell r="AF124" t="str">
            <v>NA</v>
          </cell>
          <cell r="AG124" t="str">
            <v>NA</v>
          </cell>
          <cell r="AH124" t="str">
            <v>NA</v>
          </cell>
          <cell r="AI124" t="str">
            <v>NA</v>
          </cell>
          <cell r="AJ124" t="str">
            <v>NA</v>
          </cell>
          <cell r="AK124" t="str">
            <v>NA</v>
          </cell>
          <cell r="AL124" t="str">
            <v>NA</v>
          </cell>
          <cell r="AM124" t="str">
            <v>NA</v>
          </cell>
          <cell r="AN124" t="str">
            <v>NA</v>
          </cell>
          <cell r="AO124" t="str">
            <v>NA</v>
          </cell>
          <cell r="AP124" t="str">
            <v>NA</v>
          </cell>
          <cell r="AQ124" t="str">
            <v>NA</v>
          </cell>
          <cell r="AR124" t="str">
            <v>NA</v>
          </cell>
          <cell r="AS124" t="str">
            <v>NA</v>
          </cell>
          <cell r="AT124" t="str">
            <v>NA</v>
          </cell>
          <cell r="AU124" t="str">
            <v>NA</v>
          </cell>
          <cell r="AV124" t="str">
            <v>NA</v>
          </cell>
          <cell r="AW124">
            <v>-2</v>
          </cell>
          <cell r="AX124">
            <v>-1</v>
          </cell>
          <cell r="AY124" t="str">
            <v>NA</v>
          </cell>
          <cell r="AZ124" t="str">
            <v>NA</v>
          </cell>
          <cell r="BA124">
            <v>-2</v>
          </cell>
          <cell r="BB124">
            <v>-2.2347826086956522</v>
          </cell>
          <cell r="BC124">
            <v>-0.89084507042253525</v>
          </cell>
          <cell r="BD124">
            <v>1.274193548387097</v>
          </cell>
          <cell r="BE124">
            <v>-0.78723404255319152</v>
          </cell>
          <cell r="BF124">
            <v>2.7666666666666666</v>
          </cell>
          <cell r="BG124">
            <v>0.41592920353982299</v>
          </cell>
          <cell r="BH124">
            <v>-0.20625000000000004</v>
          </cell>
          <cell r="BI124">
            <v>0</v>
          </cell>
          <cell r="BJ124">
            <v>0.30708661417322825</v>
          </cell>
          <cell r="BK124">
            <v>-0.22891566265060237</v>
          </cell>
          <cell r="BL124">
            <v>7.8125E-2</v>
          </cell>
          <cell r="BM124">
            <v>-0.11594202898550721</v>
          </cell>
          <cell r="BN124">
            <v>0.31147540983606548</v>
          </cell>
          <cell r="BO124">
            <v>-0.15625</v>
          </cell>
          <cell r="BP124">
            <v>0.25185185185185177</v>
          </cell>
          <cell r="BQ124">
            <v>-0.23076923076923073</v>
          </cell>
          <cell r="BR124">
            <v>0.31538461538461537</v>
          </cell>
          <cell r="BS124">
            <v>-0.33333333333333337</v>
          </cell>
          <cell r="BT124">
            <v>0.46491228070175428</v>
          </cell>
          <cell r="BU124">
            <v>5.3892215568862367E-2</v>
          </cell>
          <cell r="BV124">
            <v>-1.1363636363636354E-2</v>
          </cell>
          <cell r="BW124">
            <v>-1</v>
          </cell>
          <cell r="BX124" t="str">
            <v>NA</v>
          </cell>
          <cell r="BY124" t="str">
            <v>NA</v>
          </cell>
          <cell r="BZ124" t="str">
            <v>NA</v>
          </cell>
          <cell r="CA124" t="str">
            <v>NA</v>
          </cell>
          <cell r="CB124" t="str">
            <v>NA</v>
          </cell>
          <cell r="CC124" t="str">
            <v>NA</v>
          </cell>
          <cell r="CD124" t="str">
            <v>NA</v>
          </cell>
          <cell r="CE124" t="str">
            <v>NA</v>
          </cell>
          <cell r="CF124" t="str">
            <v>NA</v>
          </cell>
          <cell r="CG124" t="str">
            <v>NA</v>
          </cell>
          <cell r="CH124" t="str">
            <v>NA</v>
          </cell>
          <cell r="CI124" t="str">
            <v>NA</v>
          </cell>
          <cell r="CJ124" t="str">
            <v>NA</v>
          </cell>
          <cell r="CK124" t="str">
            <v>NA</v>
          </cell>
          <cell r="CL124" t="str">
            <v>NA</v>
          </cell>
          <cell r="CM124" t="str">
            <v>NA</v>
          </cell>
          <cell r="CN124" t="str">
            <v>NA</v>
          </cell>
          <cell r="CO124" t="str">
            <v>NA</v>
          </cell>
          <cell r="CP124" t="str">
            <v>NA</v>
          </cell>
          <cell r="CQ124" t="str">
            <v>NA</v>
          </cell>
          <cell r="CR124" t="str">
            <v>NA</v>
          </cell>
          <cell r="CS124" t="str">
            <v>NA</v>
          </cell>
          <cell r="CT124" t="str">
            <v>NA</v>
          </cell>
          <cell r="CU124" t="str">
            <v>NA</v>
          </cell>
          <cell r="CV124" t="str">
            <v>NA</v>
          </cell>
          <cell r="CW124" t="str">
            <v>NA</v>
          </cell>
          <cell r="CX124" t="str">
            <v>NA</v>
          </cell>
          <cell r="CY124" t="str">
            <v>NA</v>
          </cell>
          <cell r="CZ124" t="str">
            <v>NA</v>
          </cell>
          <cell r="DA124" t="str">
            <v>NA</v>
          </cell>
          <cell r="DB124" t="str">
            <v>NA</v>
          </cell>
          <cell r="DC124" t="str">
            <v>NA</v>
          </cell>
          <cell r="DD124" t="str">
            <v>NA</v>
          </cell>
          <cell r="DE124" t="str">
            <v>NA</v>
          </cell>
          <cell r="DF124" t="str">
            <v>NA</v>
          </cell>
          <cell r="DG124" t="str">
            <v>NA</v>
          </cell>
          <cell r="DH124" t="str">
            <v>NA</v>
          </cell>
          <cell r="DI124" t="str">
            <v>NA</v>
          </cell>
          <cell r="DJ124" t="str">
            <v>NA</v>
          </cell>
          <cell r="DK124" t="str">
            <v>NA</v>
          </cell>
          <cell r="DL124" t="str">
            <v>NA</v>
          </cell>
          <cell r="DM124" t="str">
            <v>NA</v>
          </cell>
          <cell r="DN124" t="str">
            <v>NA</v>
          </cell>
        </row>
        <row r="126">
          <cell r="A126" t="str">
            <v>Customers with &gt;$1M in ACV</v>
          </cell>
          <cell r="BX126">
            <v>283</v>
          </cell>
          <cell r="BY126">
            <v>314</v>
          </cell>
          <cell r="BZ126">
            <v>353</v>
          </cell>
          <cell r="CA126">
            <v>379</v>
          </cell>
          <cell r="CB126">
            <v>410</v>
          </cell>
          <cell r="CC126">
            <v>445</v>
          </cell>
          <cell r="CD126">
            <v>506</v>
          </cell>
          <cell r="CE126">
            <v>542</v>
          </cell>
          <cell r="CF126">
            <v>575</v>
          </cell>
          <cell r="DP126">
            <v>0</v>
          </cell>
          <cell r="DQ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353</v>
          </cell>
          <cell r="EI126">
            <v>506</v>
          </cell>
          <cell r="EJ126">
            <v>0</v>
          </cell>
          <cell r="EK126">
            <v>0</v>
          </cell>
          <cell r="EL126">
            <v>0</v>
          </cell>
          <cell r="EM126">
            <v>0</v>
          </cell>
          <cell r="EN126">
            <v>0</v>
          </cell>
          <cell r="EO126">
            <v>0</v>
          </cell>
          <cell r="EP126">
            <v>0</v>
          </cell>
          <cell r="EQ126">
            <v>0</v>
          </cell>
          <cell r="ER126">
            <v>0</v>
          </cell>
        </row>
        <row r="127">
          <cell r="A127" t="str">
            <v>% growth y-o-y</v>
          </cell>
          <cell r="V127" t="str">
            <v>NA</v>
          </cell>
          <cell r="Z127" t="str">
            <v>NA</v>
          </cell>
          <cell r="AA127" t="str">
            <v>NA</v>
          </cell>
          <cell r="AB127" t="str">
            <v>NA</v>
          </cell>
          <cell r="AC127" t="str">
            <v>NA</v>
          </cell>
          <cell r="AD127" t="str">
            <v>NA</v>
          </cell>
          <cell r="AE127" t="str">
            <v>NA</v>
          </cell>
          <cell r="AF127" t="str">
            <v>NA</v>
          </cell>
          <cell r="AG127" t="str">
            <v>NA</v>
          </cell>
          <cell r="AH127" t="str">
            <v>NA</v>
          </cell>
          <cell r="AI127" t="str">
            <v>NA</v>
          </cell>
          <cell r="AJ127" t="str">
            <v>NA</v>
          </cell>
          <cell r="AK127" t="str">
            <v>NA</v>
          </cell>
          <cell r="AL127" t="str">
            <v>NA</v>
          </cell>
          <cell r="AM127" t="str">
            <v>NA</v>
          </cell>
          <cell r="AN127" t="str">
            <v>NA</v>
          </cell>
          <cell r="AO127" t="str">
            <v>NA</v>
          </cell>
          <cell r="AP127" t="str">
            <v>NA</v>
          </cell>
          <cell r="AQ127" t="str">
            <v>NA</v>
          </cell>
          <cell r="AR127" t="str">
            <v>NA</v>
          </cell>
          <cell r="AS127" t="str">
            <v>NA</v>
          </cell>
          <cell r="AT127" t="str">
            <v>NA</v>
          </cell>
          <cell r="AU127" t="str">
            <v>NA</v>
          </cell>
          <cell r="AV127" t="str">
            <v>NA</v>
          </cell>
          <cell r="AW127" t="str">
            <v>NA</v>
          </cell>
          <cell r="AX127" t="str">
            <v>NA</v>
          </cell>
          <cell r="AY127" t="str">
            <v>NA</v>
          </cell>
          <cell r="AZ127" t="str">
            <v>NA</v>
          </cell>
          <cell r="BA127" t="str">
            <v>NA</v>
          </cell>
          <cell r="BB127" t="str">
            <v>NA</v>
          </cell>
          <cell r="BC127" t="str">
            <v>NA</v>
          </cell>
          <cell r="BD127" t="str">
            <v>NA</v>
          </cell>
          <cell r="BE127" t="str">
            <v>NA</v>
          </cell>
          <cell r="BF127" t="str">
            <v>NA</v>
          </cell>
          <cell r="BG127" t="str">
            <v>NA</v>
          </cell>
          <cell r="BH127" t="str">
            <v>NA</v>
          </cell>
          <cell r="BI127" t="str">
            <v>NA</v>
          </cell>
          <cell r="BJ127" t="str">
            <v>NA</v>
          </cell>
          <cell r="BK127" t="str">
            <v>NA</v>
          </cell>
          <cell r="BL127" t="str">
            <v>NA</v>
          </cell>
          <cell r="BM127" t="str">
            <v>NA</v>
          </cell>
          <cell r="BN127" t="str">
            <v>NA</v>
          </cell>
          <cell r="BO127" t="str">
            <v>NA</v>
          </cell>
          <cell r="BP127" t="str">
            <v>NA</v>
          </cell>
          <cell r="BQ127" t="str">
            <v>NA</v>
          </cell>
          <cell r="BR127" t="str">
            <v>NA</v>
          </cell>
          <cell r="BS127" t="str">
            <v>NA</v>
          </cell>
          <cell r="BT127" t="str">
            <v>NA</v>
          </cell>
          <cell r="BU127" t="str">
            <v>NA</v>
          </cell>
          <cell r="BV127" t="str">
            <v>NA</v>
          </cell>
          <cell r="BW127" t="str">
            <v>NA</v>
          </cell>
          <cell r="BX127" t="str">
            <v>NA</v>
          </cell>
          <cell r="BY127" t="str">
            <v>NA</v>
          </cell>
          <cell r="BZ127" t="str">
            <v>NA</v>
          </cell>
          <cell r="CA127" t="str">
            <v>NA</v>
          </cell>
          <cell r="CB127">
            <v>0.44876325088339231</v>
          </cell>
          <cell r="CC127">
            <v>0.41719745222929938</v>
          </cell>
          <cell r="CD127">
            <v>0.43342776203966005</v>
          </cell>
          <cell r="CE127">
            <v>0.43007915567282318</v>
          </cell>
          <cell r="CF127">
            <v>0.40243902439024382</v>
          </cell>
          <cell r="CG127">
            <v>-1</v>
          </cell>
          <cell r="CH127">
            <v>-1</v>
          </cell>
          <cell r="CI127">
            <v>-1</v>
          </cell>
          <cell r="CJ127">
            <v>-1</v>
          </cell>
          <cell r="CK127" t="str">
            <v>NA</v>
          </cell>
          <cell r="CL127" t="str">
            <v>NA</v>
          </cell>
          <cell r="CM127" t="str">
            <v>NA</v>
          </cell>
          <cell r="CN127" t="str">
            <v>NA</v>
          </cell>
          <cell r="CO127" t="str">
            <v>NA</v>
          </cell>
          <cell r="CP127" t="str">
            <v>NA</v>
          </cell>
          <cell r="CQ127" t="str">
            <v>NA</v>
          </cell>
          <cell r="CR127" t="str">
            <v>NA</v>
          </cell>
          <cell r="CS127" t="str">
            <v>NA</v>
          </cell>
          <cell r="CT127" t="str">
            <v>NA</v>
          </cell>
          <cell r="CU127" t="str">
            <v>NA</v>
          </cell>
          <cell r="CV127" t="str">
            <v>NA</v>
          </cell>
          <cell r="CW127" t="str">
            <v>NA</v>
          </cell>
          <cell r="CX127" t="str">
            <v>NA</v>
          </cell>
          <cell r="CY127" t="str">
            <v>NA</v>
          </cell>
          <cell r="CZ127" t="str">
            <v>NA</v>
          </cell>
          <cell r="DA127" t="str">
            <v>NA</v>
          </cell>
          <cell r="DB127" t="str">
            <v>NA</v>
          </cell>
          <cell r="DC127" t="str">
            <v>NA</v>
          </cell>
          <cell r="DD127" t="str">
            <v>NA</v>
          </cell>
          <cell r="DE127" t="str">
            <v>NA</v>
          </cell>
          <cell r="DF127" t="str">
            <v>NA</v>
          </cell>
          <cell r="DG127" t="str">
            <v>NA</v>
          </cell>
          <cell r="DH127" t="str">
            <v>NA</v>
          </cell>
          <cell r="DI127" t="str">
            <v>NA</v>
          </cell>
          <cell r="DJ127" t="str">
            <v>NA</v>
          </cell>
          <cell r="DK127" t="str">
            <v>NA</v>
          </cell>
          <cell r="DL127" t="str">
            <v>NA</v>
          </cell>
          <cell r="DM127" t="str">
            <v>NA</v>
          </cell>
          <cell r="DN127" t="str">
            <v>NA</v>
          </cell>
          <cell r="DQ127" t="str">
            <v>NA</v>
          </cell>
          <cell r="DR127" t="str">
            <v>NA</v>
          </cell>
          <cell r="DS127" t="str">
            <v>NA</v>
          </cell>
          <cell r="DT127" t="str">
            <v>NA</v>
          </cell>
          <cell r="DU127" t="str">
            <v>NA</v>
          </cell>
          <cell r="DV127" t="str">
            <v>NA</v>
          </cell>
          <cell r="DW127" t="str">
            <v>NA</v>
          </cell>
          <cell r="DX127" t="str">
            <v>NA</v>
          </cell>
          <cell r="DY127" t="str">
            <v>NA</v>
          </cell>
          <cell r="DZ127" t="str">
            <v>NA</v>
          </cell>
          <cell r="EA127" t="str">
            <v>NA</v>
          </cell>
          <cell r="EB127" t="str">
            <v>NA</v>
          </cell>
          <cell r="EC127" t="str">
            <v>NA</v>
          </cell>
          <cell r="ED127" t="str">
            <v>NA</v>
          </cell>
          <cell r="EE127" t="str">
            <v>NA</v>
          </cell>
          <cell r="EF127" t="str">
            <v>NA</v>
          </cell>
          <cell r="EG127" t="str">
            <v>NA</v>
          </cell>
          <cell r="EH127" t="str">
            <v>NA</v>
          </cell>
          <cell r="EI127">
            <v>0.43342776203966005</v>
          </cell>
          <cell r="EJ127">
            <v>-1</v>
          </cell>
          <cell r="EK127" t="str">
            <v>NA</v>
          </cell>
          <cell r="EL127" t="str">
            <v>NA</v>
          </cell>
          <cell r="EM127" t="str">
            <v>NA</v>
          </cell>
          <cell r="EN127" t="str">
            <v>NA</v>
          </cell>
          <cell r="EO127" t="str">
            <v>NA</v>
          </cell>
          <cell r="EP127" t="str">
            <v>NA</v>
          </cell>
          <cell r="EQ127" t="str">
            <v>NA</v>
          </cell>
          <cell r="ER127" t="str">
            <v>NA</v>
          </cell>
        </row>
        <row r="128">
          <cell r="A128" t="str">
            <v>% growth seq</v>
          </cell>
          <cell r="V128" t="str">
            <v>NA</v>
          </cell>
          <cell r="Z128" t="str">
            <v>NA</v>
          </cell>
          <cell r="AA128" t="str">
            <v>NA</v>
          </cell>
          <cell r="AB128" t="str">
            <v>NA</v>
          </cell>
          <cell r="AC128" t="str">
            <v>NA</v>
          </cell>
          <cell r="AD128" t="str">
            <v>NA</v>
          </cell>
          <cell r="AE128" t="str">
            <v>NA</v>
          </cell>
          <cell r="AF128" t="str">
            <v>NA</v>
          </cell>
          <cell r="AG128" t="str">
            <v>NA</v>
          </cell>
          <cell r="AH128" t="str">
            <v>NA</v>
          </cell>
          <cell r="AI128" t="str">
            <v>NA</v>
          </cell>
          <cell r="AJ128" t="str">
            <v>NA</v>
          </cell>
          <cell r="AK128" t="str">
            <v>NA</v>
          </cell>
          <cell r="AL128" t="str">
            <v>NA</v>
          </cell>
          <cell r="AM128" t="str">
            <v>NA</v>
          </cell>
          <cell r="AN128" t="str">
            <v>NA</v>
          </cell>
          <cell r="AO128" t="str">
            <v>NA</v>
          </cell>
          <cell r="AP128" t="str">
            <v>NA</v>
          </cell>
          <cell r="AQ128" t="str">
            <v>NA</v>
          </cell>
          <cell r="AR128" t="str">
            <v>NA</v>
          </cell>
          <cell r="AS128" t="str">
            <v>NA</v>
          </cell>
          <cell r="AT128" t="str">
            <v>NA</v>
          </cell>
          <cell r="AU128" t="str">
            <v>NA</v>
          </cell>
          <cell r="AV128" t="str">
            <v>NA</v>
          </cell>
          <cell r="AW128" t="str">
            <v>NA</v>
          </cell>
          <cell r="AX128" t="str">
            <v>NA</v>
          </cell>
          <cell r="AY128" t="str">
            <v>NA</v>
          </cell>
          <cell r="AZ128" t="str">
            <v>NA</v>
          </cell>
          <cell r="BA128" t="str">
            <v>NA</v>
          </cell>
          <cell r="BB128" t="str">
            <v>NA</v>
          </cell>
          <cell r="BC128" t="str">
            <v>NA</v>
          </cell>
          <cell r="BD128" t="str">
            <v>NA</v>
          </cell>
          <cell r="BE128" t="str">
            <v>NA</v>
          </cell>
          <cell r="BF128" t="str">
            <v>NA</v>
          </cell>
          <cell r="BG128" t="str">
            <v>NA</v>
          </cell>
          <cell r="BH128" t="str">
            <v>NA</v>
          </cell>
          <cell r="BI128" t="str">
            <v>NA</v>
          </cell>
          <cell r="BJ128" t="str">
            <v>NA</v>
          </cell>
          <cell r="BK128" t="str">
            <v>NA</v>
          </cell>
          <cell r="BL128" t="str">
            <v>NA</v>
          </cell>
          <cell r="BM128" t="str">
            <v>NA</v>
          </cell>
          <cell r="BN128" t="str">
            <v>NA</v>
          </cell>
          <cell r="BO128" t="str">
            <v>NA</v>
          </cell>
          <cell r="BP128" t="str">
            <v>NA</v>
          </cell>
          <cell r="BQ128" t="str">
            <v>NA</v>
          </cell>
          <cell r="BR128" t="str">
            <v>NA</v>
          </cell>
          <cell r="BS128" t="str">
            <v>NA</v>
          </cell>
          <cell r="BT128" t="str">
            <v>NA</v>
          </cell>
          <cell r="BU128" t="str">
            <v>NA</v>
          </cell>
          <cell r="BV128" t="str">
            <v>NA</v>
          </cell>
          <cell r="BW128" t="str">
            <v>NA</v>
          </cell>
          <cell r="BX128" t="str">
            <v>NA</v>
          </cell>
          <cell r="BY128">
            <v>0.10954063604240272</v>
          </cell>
          <cell r="BZ128">
            <v>0.12420382165605104</v>
          </cell>
          <cell r="CA128">
            <v>7.3654390934844161E-2</v>
          </cell>
          <cell r="CB128">
            <v>8.1794195250659563E-2</v>
          </cell>
          <cell r="CC128">
            <v>8.5365853658536661E-2</v>
          </cell>
          <cell r="CD128">
            <v>0.13707865168539324</v>
          </cell>
          <cell r="CE128">
            <v>7.1146245059288571E-2</v>
          </cell>
          <cell r="CF128">
            <v>6.0885608856088513E-2</v>
          </cell>
          <cell r="CG128">
            <v>-1</v>
          </cell>
          <cell r="CH128" t="str">
            <v>NA</v>
          </cell>
          <cell r="CI128" t="str">
            <v>NA</v>
          </cell>
          <cell r="CJ128" t="str">
            <v>NA</v>
          </cell>
          <cell r="CK128" t="str">
            <v>NA</v>
          </cell>
          <cell r="CL128" t="str">
            <v>NA</v>
          </cell>
          <cell r="CM128" t="str">
            <v>NA</v>
          </cell>
          <cell r="CN128" t="str">
            <v>NA</v>
          </cell>
          <cell r="CO128" t="str">
            <v>NA</v>
          </cell>
          <cell r="CP128" t="str">
            <v>NA</v>
          </cell>
          <cell r="CQ128" t="str">
            <v>NA</v>
          </cell>
          <cell r="CR128" t="str">
            <v>NA</v>
          </cell>
          <cell r="CS128" t="str">
            <v>NA</v>
          </cell>
          <cell r="CT128" t="str">
            <v>NA</v>
          </cell>
          <cell r="CU128" t="str">
            <v>NA</v>
          </cell>
          <cell r="CV128" t="str">
            <v>NA</v>
          </cell>
          <cell r="CW128" t="str">
            <v>NA</v>
          </cell>
          <cell r="CX128" t="str">
            <v>NA</v>
          </cell>
          <cell r="CY128" t="str">
            <v>NA</v>
          </cell>
          <cell r="CZ128" t="str">
            <v>NA</v>
          </cell>
          <cell r="DA128" t="str">
            <v>NA</v>
          </cell>
          <cell r="DB128" t="str">
            <v>NA</v>
          </cell>
          <cell r="DC128" t="str">
            <v>NA</v>
          </cell>
          <cell r="DD128" t="str">
            <v>NA</v>
          </cell>
          <cell r="DE128" t="str">
            <v>NA</v>
          </cell>
          <cell r="DF128" t="str">
            <v>NA</v>
          </cell>
          <cell r="DG128" t="str">
            <v>NA</v>
          </cell>
          <cell r="DH128" t="str">
            <v>NA</v>
          </cell>
          <cell r="DI128" t="str">
            <v>NA</v>
          </cell>
          <cell r="DJ128" t="str">
            <v>NA</v>
          </cell>
          <cell r="DK128" t="str">
            <v>NA</v>
          </cell>
          <cell r="DL128" t="str">
            <v>NA</v>
          </cell>
          <cell r="DM128" t="str">
            <v>NA</v>
          </cell>
          <cell r="DN128" t="str">
            <v>NA</v>
          </cell>
        </row>
        <row r="130">
          <cell r="A130" t="str">
            <v>Customers with &gt;$1M in ACV</v>
          </cell>
          <cell r="BM130">
            <v>67</v>
          </cell>
          <cell r="BN130">
            <v>81</v>
          </cell>
          <cell r="BO130">
            <v>96</v>
          </cell>
          <cell r="BP130">
            <v>111</v>
          </cell>
          <cell r="BQ130">
            <v>127</v>
          </cell>
          <cell r="BR130">
            <v>153</v>
          </cell>
          <cell r="BS130">
            <v>169</v>
          </cell>
          <cell r="BT130">
            <v>193</v>
          </cell>
          <cell r="BU130">
            <v>209</v>
          </cell>
          <cell r="BV130">
            <v>232</v>
          </cell>
          <cell r="BW130">
            <v>252</v>
          </cell>
          <cell r="BX130">
            <v>280</v>
          </cell>
          <cell r="BY130">
            <v>308</v>
          </cell>
          <cell r="BZ130">
            <v>346</v>
          </cell>
          <cell r="CA130">
            <v>370</v>
          </cell>
          <cell r="CB130">
            <v>401</v>
          </cell>
          <cell r="CC130">
            <v>436</v>
          </cell>
          <cell r="CD130">
            <v>500</v>
          </cell>
          <cell r="CE130">
            <v>536</v>
          </cell>
          <cell r="CF130">
            <v>579</v>
          </cell>
          <cell r="CG130">
            <v>610</v>
          </cell>
          <cell r="CH130">
            <v>678</v>
          </cell>
          <cell r="CI130">
            <v>718</v>
          </cell>
          <cell r="CJ130">
            <v>764</v>
          </cell>
          <cell r="CK130">
            <v>806</v>
          </cell>
          <cell r="CL130">
            <v>890</v>
          </cell>
          <cell r="CM130">
            <v>933</v>
          </cell>
          <cell r="CN130">
            <v>964</v>
          </cell>
          <cell r="CO130">
            <v>1012</v>
          </cell>
          <cell r="CP130">
            <v>1903</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81</v>
          </cell>
          <cell r="EF130">
            <v>153</v>
          </cell>
          <cell r="EG130">
            <v>232</v>
          </cell>
          <cell r="EH130">
            <v>346</v>
          </cell>
          <cell r="EI130">
            <v>500</v>
          </cell>
          <cell r="EJ130">
            <v>678</v>
          </cell>
          <cell r="EK130">
            <v>890</v>
          </cell>
          <cell r="EL130">
            <v>1903</v>
          </cell>
          <cell r="EM130">
            <v>0</v>
          </cell>
          <cell r="EN130">
            <v>0</v>
          </cell>
          <cell r="EO130">
            <v>0</v>
          </cell>
          <cell r="EP130">
            <v>0</v>
          </cell>
          <cell r="EQ130">
            <v>0</v>
          </cell>
          <cell r="ER130">
            <v>0</v>
          </cell>
        </row>
        <row r="131">
          <cell r="A131" t="str">
            <v>% growth y-o-y</v>
          </cell>
          <cell r="V131" t="str">
            <v>NA</v>
          </cell>
          <cell r="Z131" t="str">
            <v>NA</v>
          </cell>
          <cell r="AA131" t="str">
            <v>NA</v>
          </cell>
          <cell r="AB131" t="str">
            <v>NA</v>
          </cell>
          <cell r="AC131" t="str">
            <v>NA</v>
          </cell>
          <cell r="AD131" t="str">
            <v>NA</v>
          </cell>
          <cell r="AE131" t="str">
            <v>NA</v>
          </cell>
          <cell r="AF131" t="str">
            <v>NA</v>
          </cell>
          <cell r="AG131" t="str">
            <v>NA</v>
          </cell>
          <cell r="AH131" t="str">
            <v>NA</v>
          </cell>
          <cell r="AI131" t="str">
            <v>NA</v>
          </cell>
          <cell r="AJ131" t="str">
            <v>NA</v>
          </cell>
          <cell r="AK131" t="str">
            <v>NA</v>
          </cell>
          <cell r="AL131" t="str">
            <v>NA</v>
          </cell>
          <cell r="AM131" t="str">
            <v>NA</v>
          </cell>
          <cell r="AN131" t="str">
            <v>NA</v>
          </cell>
          <cell r="AO131" t="str">
            <v>NA</v>
          </cell>
          <cell r="AP131" t="str">
            <v>NA</v>
          </cell>
          <cell r="AQ131" t="str">
            <v>NA</v>
          </cell>
          <cell r="AR131" t="str">
            <v>NA</v>
          </cell>
          <cell r="AS131" t="str">
            <v>NA</v>
          </cell>
          <cell r="AT131" t="str">
            <v>NA</v>
          </cell>
          <cell r="AU131" t="str">
            <v>NA</v>
          </cell>
          <cell r="AV131" t="str">
            <v>NA</v>
          </cell>
          <cell r="AW131" t="str">
            <v>NA</v>
          </cell>
          <cell r="AX131" t="str">
            <v>NA</v>
          </cell>
          <cell r="AY131" t="str">
            <v>NA</v>
          </cell>
          <cell r="AZ131" t="str">
            <v>NA</v>
          </cell>
          <cell r="BA131" t="str">
            <v>NA</v>
          </cell>
          <cell r="BB131" t="str">
            <v>NA</v>
          </cell>
          <cell r="BC131" t="str">
            <v>NA</v>
          </cell>
          <cell r="BD131" t="str">
            <v>NA</v>
          </cell>
          <cell r="BE131" t="str">
            <v>NA</v>
          </cell>
          <cell r="BF131" t="str">
            <v>NA</v>
          </cell>
          <cell r="BG131" t="str">
            <v>NA</v>
          </cell>
          <cell r="BH131" t="str">
            <v>NA</v>
          </cell>
          <cell r="BI131" t="str">
            <v>NA</v>
          </cell>
          <cell r="BJ131" t="str">
            <v>NA</v>
          </cell>
          <cell r="BK131" t="str">
            <v>NA</v>
          </cell>
          <cell r="BL131" t="str">
            <v>NA</v>
          </cell>
          <cell r="BM131" t="str">
            <v>NA</v>
          </cell>
          <cell r="BN131" t="str">
            <v>NA</v>
          </cell>
          <cell r="BO131" t="str">
            <v>NA</v>
          </cell>
          <cell r="BP131" t="str">
            <v>NA</v>
          </cell>
          <cell r="BQ131">
            <v>0.89552238805970141</v>
          </cell>
          <cell r="BR131">
            <v>0.88888888888888884</v>
          </cell>
          <cell r="BS131">
            <v>0.76041666666666674</v>
          </cell>
          <cell r="BT131">
            <v>0.73873873873873874</v>
          </cell>
          <cell r="BU131">
            <v>0.64566929133858264</v>
          </cell>
          <cell r="BV131">
            <v>0.51633986928104569</v>
          </cell>
          <cell r="BW131">
            <v>0.49112426035502965</v>
          </cell>
          <cell r="BX131">
            <v>0.45077720207253891</v>
          </cell>
          <cell r="BY131">
            <v>0.47368421052631571</v>
          </cell>
          <cell r="BZ131">
            <v>0.49137931034482762</v>
          </cell>
          <cell r="CA131">
            <v>0.46825396825396814</v>
          </cell>
          <cell r="CB131">
            <v>0.43214285714285716</v>
          </cell>
          <cell r="CC131">
            <v>0.4155844155844155</v>
          </cell>
          <cell r="CD131">
            <v>0.44508670520231219</v>
          </cell>
          <cell r="CE131">
            <v>0.44864864864864873</v>
          </cell>
          <cell r="CF131">
            <v>0.44389027431421457</v>
          </cell>
          <cell r="CG131">
            <v>0.39908256880733939</v>
          </cell>
          <cell r="CH131">
            <v>0.35600000000000009</v>
          </cell>
          <cell r="CI131">
            <v>0.33955223880597019</v>
          </cell>
          <cell r="CJ131">
            <v>0.3195164075993091</v>
          </cell>
          <cell r="CK131">
            <v>0.32131147540983607</v>
          </cell>
          <cell r="CL131">
            <v>0.31268436578171088</v>
          </cell>
          <cell r="CM131">
            <v>0.29944289693593307</v>
          </cell>
          <cell r="CN131">
            <v>0.26178010471204183</v>
          </cell>
          <cell r="CO131">
            <v>0.25558312655086857</v>
          </cell>
          <cell r="CP131">
            <v>1.1382022471910114</v>
          </cell>
          <cell r="DQ131" t="str">
            <v>NA</v>
          </cell>
          <cell r="DR131" t="str">
            <v>NA</v>
          </cell>
          <cell r="DS131" t="str">
            <v>NA</v>
          </cell>
          <cell r="DT131" t="str">
            <v>NA</v>
          </cell>
          <cell r="DU131" t="str">
            <v>NA</v>
          </cell>
          <cell r="DV131" t="str">
            <v>NA</v>
          </cell>
          <cell r="DW131" t="str">
            <v>NA</v>
          </cell>
          <cell r="DX131" t="str">
            <v>NA</v>
          </cell>
          <cell r="DY131" t="str">
            <v>NA</v>
          </cell>
          <cell r="DZ131" t="str">
            <v>NA</v>
          </cell>
          <cell r="EA131" t="str">
            <v>NA</v>
          </cell>
          <cell r="EB131" t="str">
            <v>NA</v>
          </cell>
          <cell r="EC131" t="str">
            <v>NA</v>
          </cell>
          <cell r="ED131" t="str">
            <v>NA</v>
          </cell>
          <cell r="EE131" t="str">
            <v>NA</v>
          </cell>
          <cell r="EF131">
            <v>0.88888888888888884</v>
          </cell>
          <cell r="EG131">
            <v>0.51633986928104569</v>
          </cell>
          <cell r="EH131">
            <v>0.49137931034482762</v>
          </cell>
          <cell r="EI131">
            <v>0.44508670520231219</v>
          </cell>
          <cell r="EJ131">
            <v>0.35600000000000009</v>
          </cell>
          <cell r="EK131">
            <v>0.31268436578171088</v>
          </cell>
          <cell r="EL131">
            <v>1.1382022471910114</v>
          </cell>
          <cell r="EM131">
            <v>-1</v>
          </cell>
          <cell r="EN131" t="str">
            <v>NA</v>
          </cell>
          <cell r="EO131" t="str">
            <v>NA</v>
          </cell>
          <cell r="EP131" t="str">
            <v>NA</v>
          </cell>
          <cell r="EQ131" t="str">
            <v>NA</v>
          </cell>
          <cell r="ER131" t="str">
            <v>NA</v>
          </cell>
        </row>
        <row r="132">
          <cell r="A132" t="str">
            <v>% growth seq</v>
          </cell>
          <cell r="V132" t="str">
            <v>NA</v>
          </cell>
          <cell r="Z132" t="str">
            <v>NA</v>
          </cell>
          <cell r="AA132" t="str">
            <v>NA</v>
          </cell>
          <cell r="AB132" t="str">
            <v>NA</v>
          </cell>
          <cell r="AC132" t="str">
            <v>NA</v>
          </cell>
          <cell r="AD132" t="str">
            <v>NA</v>
          </cell>
          <cell r="AE132" t="str">
            <v>NA</v>
          </cell>
          <cell r="AF132" t="str">
            <v>NA</v>
          </cell>
          <cell r="AG132" t="str">
            <v>NA</v>
          </cell>
          <cell r="AH132" t="str">
            <v>NA</v>
          </cell>
          <cell r="AI132" t="str">
            <v>NA</v>
          </cell>
          <cell r="AJ132" t="str">
            <v>NA</v>
          </cell>
          <cell r="AK132" t="str">
            <v>NA</v>
          </cell>
          <cell r="AL132" t="str">
            <v>NA</v>
          </cell>
          <cell r="AM132" t="str">
            <v>NA</v>
          </cell>
          <cell r="AN132" t="str">
            <v>NA</v>
          </cell>
          <cell r="AO132" t="str">
            <v>NA</v>
          </cell>
          <cell r="AP132" t="str">
            <v>NA</v>
          </cell>
          <cell r="AQ132" t="str">
            <v>NA</v>
          </cell>
          <cell r="AR132" t="str">
            <v>NA</v>
          </cell>
          <cell r="AS132" t="str">
            <v>NA</v>
          </cell>
          <cell r="AT132" t="str">
            <v>NA</v>
          </cell>
          <cell r="AU132" t="str">
            <v>NA</v>
          </cell>
          <cell r="AV132" t="str">
            <v>NA</v>
          </cell>
          <cell r="AW132" t="str">
            <v>NA</v>
          </cell>
          <cell r="AX132" t="str">
            <v>NA</v>
          </cell>
          <cell r="AY132" t="str">
            <v>NA</v>
          </cell>
          <cell r="AZ132" t="str">
            <v>NA</v>
          </cell>
          <cell r="BA132" t="str">
            <v>NA</v>
          </cell>
          <cell r="BB132" t="str">
            <v>NA</v>
          </cell>
          <cell r="BC132" t="str">
            <v>NA</v>
          </cell>
          <cell r="BD132" t="str">
            <v>NA</v>
          </cell>
          <cell r="BE132" t="str">
            <v>NA</v>
          </cell>
          <cell r="BF132" t="str">
            <v>NA</v>
          </cell>
          <cell r="BG132" t="str">
            <v>NA</v>
          </cell>
          <cell r="BH132" t="str">
            <v>NA</v>
          </cell>
          <cell r="BI132" t="str">
            <v>NA</v>
          </cell>
          <cell r="BJ132" t="str">
            <v>NA</v>
          </cell>
          <cell r="BK132" t="str">
            <v>NA</v>
          </cell>
          <cell r="BL132" t="str">
            <v>NA</v>
          </cell>
          <cell r="BM132" t="str">
            <v>NA</v>
          </cell>
          <cell r="BN132">
            <v>0.20895522388059695</v>
          </cell>
          <cell r="BO132">
            <v>0.18518518518518512</v>
          </cell>
          <cell r="BP132">
            <v>0.15625</v>
          </cell>
          <cell r="BQ132">
            <v>0.14414414414414423</v>
          </cell>
          <cell r="BR132">
            <v>0.20472440944881898</v>
          </cell>
          <cell r="BS132">
            <v>0.10457516339869288</v>
          </cell>
          <cell r="BT132">
            <v>0.14201183431952669</v>
          </cell>
          <cell r="BU132">
            <v>8.290155440414515E-2</v>
          </cell>
          <cell r="BV132">
            <v>0.11004784688995217</v>
          </cell>
          <cell r="BW132">
            <v>8.6206896551724199E-2</v>
          </cell>
          <cell r="BX132">
            <v>0.11111111111111116</v>
          </cell>
          <cell r="BY132">
            <v>0.10000000000000009</v>
          </cell>
          <cell r="BZ132">
            <v>0.12337662337662336</v>
          </cell>
          <cell r="CA132">
            <v>6.9364161849710948E-2</v>
          </cell>
          <cell r="CB132">
            <v>8.3783783783783816E-2</v>
          </cell>
          <cell r="CC132">
            <v>8.7281795511221949E-2</v>
          </cell>
          <cell r="CD132">
            <v>0.14678899082568808</v>
          </cell>
          <cell r="CE132">
            <v>7.2000000000000064E-2</v>
          </cell>
          <cell r="CF132">
            <v>8.0223880597015018E-2</v>
          </cell>
          <cell r="CG132">
            <v>5.3540587219343738E-2</v>
          </cell>
          <cell r="CH132">
            <v>0.11147540983606552</v>
          </cell>
          <cell r="CI132">
            <v>5.8997050147492569E-2</v>
          </cell>
          <cell r="CJ132">
            <v>6.4066852367687943E-2</v>
          </cell>
          <cell r="CK132">
            <v>5.4973821989528826E-2</v>
          </cell>
          <cell r="CL132">
            <v>0.10421836228287851</v>
          </cell>
          <cell r="CM132">
            <v>4.8314606741572952E-2</v>
          </cell>
          <cell r="CN132">
            <v>3.3226152197213255E-2</v>
          </cell>
          <cell r="CO132">
            <v>4.9792531120331995E-2</v>
          </cell>
          <cell r="CP132">
            <v>0.88043478260869557</v>
          </cell>
        </row>
        <row r="134">
          <cell r="A134" t="str">
            <v>Deals &gt;$1M</v>
          </cell>
          <cell r="BZ134">
            <v>27</v>
          </cell>
          <cell r="CC134">
            <v>22</v>
          </cell>
          <cell r="CD134">
            <v>41</v>
          </cell>
          <cell r="CE134">
            <v>21</v>
          </cell>
          <cell r="CF134">
            <v>28</v>
          </cell>
          <cell r="CG134">
            <v>25</v>
          </cell>
          <cell r="CH134">
            <v>51</v>
          </cell>
          <cell r="CI134">
            <v>25</v>
          </cell>
          <cell r="CJ134">
            <v>39</v>
          </cell>
          <cell r="CK134">
            <v>46</v>
          </cell>
          <cell r="CL134">
            <v>76</v>
          </cell>
          <cell r="CM134">
            <v>37</v>
          </cell>
          <cell r="CN134">
            <v>40</v>
          </cell>
          <cell r="CO134">
            <v>41</v>
          </cell>
          <cell r="CP134">
            <v>89</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27</v>
          </cell>
          <cell r="EI134">
            <v>41</v>
          </cell>
          <cell r="EJ134">
            <v>51</v>
          </cell>
          <cell r="EK134">
            <v>76</v>
          </cell>
          <cell r="EL134">
            <v>89</v>
          </cell>
          <cell r="EM134">
            <v>0</v>
          </cell>
          <cell r="EN134">
            <v>0</v>
          </cell>
          <cell r="EO134">
            <v>0</v>
          </cell>
          <cell r="EP134">
            <v>0</v>
          </cell>
          <cell r="EQ134">
            <v>0</v>
          </cell>
          <cell r="ER134">
            <v>0</v>
          </cell>
        </row>
        <row r="135">
          <cell r="A135" t="str">
            <v>% growth y-o-y</v>
          </cell>
          <cell r="V135" t="str">
            <v>NA</v>
          </cell>
          <cell r="Z135" t="str">
            <v>NA</v>
          </cell>
          <cell r="AA135" t="str">
            <v>NA</v>
          </cell>
          <cell r="AB135" t="str">
            <v>NA</v>
          </cell>
          <cell r="AC135" t="str">
            <v>NA</v>
          </cell>
          <cell r="AD135" t="str">
            <v>NA</v>
          </cell>
          <cell r="AE135" t="str">
            <v>NA</v>
          </cell>
          <cell r="AF135" t="str">
            <v>NA</v>
          </cell>
          <cell r="AG135" t="str">
            <v>NA</v>
          </cell>
          <cell r="AH135" t="str">
            <v>NA</v>
          </cell>
          <cell r="AI135" t="str">
            <v>NA</v>
          </cell>
          <cell r="AJ135" t="str">
            <v>NA</v>
          </cell>
          <cell r="AK135" t="str">
            <v>NA</v>
          </cell>
          <cell r="AL135" t="str">
            <v>NA</v>
          </cell>
          <cell r="AM135" t="str">
            <v>NA</v>
          </cell>
          <cell r="AN135" t="str">
            <v>NA</v>
          </cell>
          <cell r="AO135" t="str">
            <v>NA</v>
          </cell>
          <cell r="AP135" t="str">
            <v>NA</v>
          </cell>
          <cell r="AQ135" t="str">
            <v>NA</v>
          </cell>
          <cell r="AR135" t="str">
            <v>NA</v>
          </cell>
          <cell r="AS135" t="str">
            <v>NA</v>
          </cell>
          <cell r="AT135" t="str">
            <v>NA</v>
          </cell>
          <cell r="AU135" t="str">
            <v>NA</v>
          </cell>
          <cell r="AV135" t="str">
            <v>NA</v>
          </cell>
          <cell r="AW135" t="str">
            <v>NA</v>
          </cell>
          <cell r="AX135" t="str">
            <v>NA</v>
          </cell>
          <cell r="AY135" t="str">
            <v>NA</v>
          </cell>
          <cell r="AZ135" t="str">
            <v>NA</v>
          </cell>
          <cell r="BA135" t="str">
            <v>NA</v>
          </cell>
          <cell r="BB135" t="str">
            <v>NA</v>
          </cell>
          <cell r="BC135" t="str">
            <v>NA</v>
          </cell>
          <cell r="BD135" t="str">
            <v>NA</v>
          </cell>
          <cell r="BE135" t="str">
            <v>NA</v>
          </cell>
          <cell r="BF135" t="str">
            <v>NA</v>
          </cell>
          <cell r="BG135" t="str">
            <v>NA</v>
          </cell>
          <cell r="BH135" t="str">
            <v>NA</v>
          </cell>
          <cell r="BI135" t="str">
            <v>NA</v>
          </cell>
          <cell r="BJ135" t="str">
            <v>NA</v>
          </cell>
          <cell r="BK135" t="str">
            <v>NA</v>
          </cell>
          <cell r="BL135" t="str">
            <v>NA</v>
          </cell>
          <cell r="BM135" t="str">
            <v>NA</v>
          </cell>
          <cell r="BN135" t="str">
            <v>NA</v>
          </cell>
          <cell r="BO135" t="str">
            <v>NA</v>
          </cell>
          <cell r="BP135" t="str">
            <v>NA</v>
          </cell>
          <cell r="BQ135" t="str">
            <v>NA</v>
          </cell>
          <cell r="BR135" t="str">
            <v>NA</v>
          </cell>
          <cell r="BS135" t="str">
            <v>NA</v>
          </cell>
          <cell r="BT135" t="str">
            <v>NA</v>
          </cell>
          <cell r="BU135" t="str">
            <v>NA</v>
          </cell>
          <cell r="BV135" t="str">
            <v>NA</v>
          </cell>
          <cell r="BW135" t="str">
            <v>NA</v>
          </cell>
          <cell r="BX135" t="str">
            <v>NA</v>
          </cell>
          <cell r="BY135" t="str">
            <v>NA</v>
          </cell>
          <cell r="BZ135" t="str">
            <v>NA</v>
          </cell>
          <cell r="CA135" t="str">
            <v>NA</v>
          </cell>
          <cell r="CB135" t="str">
            <v>NA</v>
          </cell>
          <cell r="CC135" t="str">
            <v>NA</v>
          </cell>
          <cell r="CD135">
            <v>0.5185185185185186</v>
          </cell>
          <cell r="CE135" t="str">
            <v>NA</v>
          </cell>
          <cell r="CF135" t="str">
            <v>NA</v>
          </cell>
          <cell r="CG135">
            <v>0.13636363636363646</v>
          </cell>
          <cell r="CH135">
            <v>0.24390243902439024</v>
          </cell>
          <cell r="CI135">
            <v>0.19047619047619047</v>
          </cell>
          <cell r="CJ135">
            <v>0.39285714285714279</v>
          </cell>
          <cell r="CK135">
            <v>0.84000000000000008</v>
          </cell>
          <cell r="CL135">
            <v>0.49019607843137258</v>
          </cell>
          <cell r="CM135">
            <v>0.48</v>
          </cell>
          <cell r="CN135">
            <v>2.564102564102555E-2</v>
          </cell>
          <cell r="CO135">
            <v>-0.10869565217391308</v>
          </cell>
          <cell r="CP135">
            <v>0.17105263157894735</v>
          </cell>
          <cell r="CQ135">
            <v>-1</v>
          </cell>
          <cell r="CR135">
            <v>-1</v>
          </cell>
          <cell r="CS135">
            <v>-1</v>
          </cell>
          <cell r="CT135">
            <v>-1</v>
          </cell>
          <cell r="CU135" t="str">
            <v>NA</v>
          </cell>
          <cell r="CV135" t="str">
            <v>NA</v>
          </cell>
          <cell r="CW135" t="str">
            <v>NA</v>
          </cell>
          <cell r="CX135" t="str">
            <v>NA</v>
          </cell>
          <cell r="CY135" t="str">
            <v>NA</v>
          </cell>
          <cell r="CZ135" t="str">
            <v>NA</v>
          </cell>
          <cell r="DA135" t="str">
            <v>NA</v>
          </cell>
          <cell r="DB135" t="str">
            <v>NA</v>
          </cell>
          <cell r="DC135" t="str">
            <v>NA</v>
          </cell>
          <cell r="DD135" t="str">
            <v>NA</v>
          </cell>
          <cell r="DE135" t="str">
            <v>NA</v>
          </cell>
          <cell r="DF135" t="str">
            <v>NA</v>
          </cell>
          <cell r="DG135" t="str">
            <v>NA</v>
          </cell>
          <cell r="DH135" t="str">
            <v>NA</v>
          </cell>
          <cell r="DI135" t="str">
            <v>NA</v>
          </cell>
          <cell r="DJ135" t="str">
            <v>NA</v>
          </cell>
          <cell r="DK135" t="str">
            <v>NA</v>
          </cell>
          <cell r="DL135" t="str">
            <v>NA</v>
          </cell>
          <cell r="DM135" t="str">
            <v>NA</v>
          </cell>
          <cell r="DN135" t="str">
            <v>NA</v>
          </cell>
          <cell r="DQ135" t="str">
            <v>NA</v>
          </cell>
          <cell r="DR135" t="str">
            <v>NA</v>
          </cell>
          <cell r="DS135" t="str">
            <v>NA</v>
          </cell>
          <cell r="DT135" t="str">
            <v>NA</v>
          </cell>
          <cell r="DU135" t="str">
            <v>NA</v>
          </cell>
          <cell r="DV135" t="str">
            <v>NA</v>
          </cell>
          <cell r="DW135" t="str">
            <v>NA</v>
          </cell>
          <cell r="DX135" t="str">
            <v>NA</v>
          </cell>
          <cell r="DY135" t="str">
            <v>NA</v>
          </cell>
          <cell r="DZ135" t="str">
            <v>NA</v>
          </cell>
          <cell r="EA135" t="str">
            <v>NA</v>
          </cell>
          <cell r="EB135" t="str">
            <v>NA</v>
          </cell>
          <cell r="EC135" t="str">
            <v>NA</v>
          </cell>
          <cell r="ED135" t="str">
            <v>NA</v>
          </cell>
          <cell r="EE135" t="str">
            <v>NA</v>
          </cell>
          <cell r="EF135" t="str">
            <v>NA</v>
          </cell>
          <cell r="EG135" t="str">
            <v>NA</v>
          </cell>
          <cell r="EH135" t="str">
            <v>NA</v>
          </cell>
          <cell r="EI135">
            <v>0.5185185185185186</v>
          </cell>
          <cell r="EJ135">
            <v>0.24390243902439024</v>
          </cell>
          <cell r="EK135">
            <v>0.49019607843137258</v>
          </cell>
          <cell r="EL135">
            <v>0.17105263157894735</v>
          </cell>
          <cell r="EM135">
            <v>-1</v>
          </cell>
          <cell r="EN135" t="str">
            <v>NA</v>
          </cell>
          <cell r="EO135" t="str">
            <v>NA</v>
          </cell>
          <cell r="EP135" t="str">
            <v>NA</v>
          </cell>
          <cell r="EQ135" t="str">
            <v>NA</v>
          </cell>
          <cell r="ER135" t="str">
            <v>NA</v>
          </cell>
        </row>
        <row r="136">
          <cell r="A136" t="str">
            <v>% growth seq</v>
          </cell>
          <cell r="V136" t="str">
            <v>NA</v>
          </cell>
          <cell r="Z136" t="str">
            <v>NA</v>
          </cell>
          <cell r="AA136" t="str">
            <v>NA</v>
          </cell>
          <cell r="AB136" t="str">
            <v>NA</v>
          </cell>
          <cell r="AC136" t="str">
            <v>NA</v>
          </cell>
          <cell r="AD136" t="str">
            <v>NA</v>
          </cell>
          <cell r="AE136" t="str">
            <v>NA</v>
          </cell>
          <cell r="AF136" t="str">
            <v>NA</v>
          </cell>
          <cell r="AG136" t="str">
            <v>NA</v>
          </cell>
          <cell r="AH136" t="str">
            <v>NA</v>
          </cell>
          <cell r="AI136" t="str">
            <v>NA</v>
          </cell>
          <cell r="AJ136" t="str">
            <v>NA</v>
          </cell>
          <cell r="AK136" t="str">
            <v>NA</v>
          </cell>
          <cell r="AL136" t="str">
            <v>NA</v>
          </cell>
          <cell r="AM136" t="str">
            <v>NA</v>
          </cell>
          <cell r="AN136" t="str">
            <v>NA</v>
          </cell>
          <cell r="AO136" t="str">
            <v>NA</v>
          </cell>
          <cell r="AP136" t="str">
            <v>NA</v>
          </cell>
          <cell r="AQ136" t="str">
            <v>NA</v>
          </cell>
          <cell r="AR136" t="str">
            <v>NA</v>
          </cell>
          <cell r="AS136" t="str">
            <v>NA</v>
          </cell>
          <cell r="AT136" t="str">
            <v>NA</v>
          </cell>
          <cell r="AU136" t="str">
            <v>NA</v>
          </cell>
          <cell r="AV136" t="str">
            <v>NA</v>
          </cell>
          <cell r="AW136" t="str">
            <v>NA</v>
          </cell>
          <cell r="AX136" t="str">
            <v>NA</v>
          </cell>
          <cell r="AY136" t="str">
            <v>NA</v>
          </cell>
          <cell r="AZ136" t="str">
            <v>NA</v>
          </cell>
          <cell r="BA136" t="str">
            <v>NA</v>
          </cell>
          <cell r="BB136" t="str">
            <v>NA</v>
          </cell>
          <cell r="BC136" t="str">
            <v>NA</v>
          </cell>
          <cell r="BD136" t="str">
            <v>NA</v>
          </cell>
          <cell r="BE136" t="str">
            <v>NA</v>
          </cell>
          <cell r="BF136" t="str">
            <v>NA</v>
          </cell>
          <cell r="BG136" t="str">
            <v>NA</v>
          </cell>
          <cell r="BH136" t="str">
            <v>NA</v>
          </cell>
          <cell r="BI136" t="str">
            <v>NA</v>
          </cell>
          <cell r="BJ136" t="str">
            <v>NA</v>
          </cell>
          <cell r="BK136" t="str">
            <v>NA</v>
          </cell>
          <cell r="BL136" t="str">
            <v>NA</v>
          </cell>
          <cell r="BM136" t="str">
            <v>NA</v>
          </cell>
          <cell r="BN136" t="str">
            <v>NA</v>
          </cell>
          <cell r="BO136" t="str">
            <v>NA</v>
          </cell>
          <cell r="BP136" t="str">
            <v>NA</v>
          </cell>
          <cell r="BQ136" t="str">
            <v>NA</v>
          </cell>
          <cell r="BR136" t="str">
            <v>NA</v>
          </cell>
          <cell r="BS136" t="str">
            <v>NA</v>
          </cell>
          <cell r="BT136" t="str">
            <v>NA</v>
          </cell>
          <cell r="BU136" t="str">
            <v>NA</v>
          </cell>
          <cell r="BV136" t="str">
            <v>NA</v>
          </cell>
          <cell r="BW136" t="str">
            <v>NA</v>
          </cell>
          <cell r="BX136" t="str">
            <v>NA</v>
          </cell>
          <cell r="BY136" t="str">
            <v>NA</v>
          </cell>
          <cell r="BZ136" t="str">
            <v>NA</v>
          </cell>
          <cell r="CA136">
            <v>-1</v>
          </cell>
          <cell r="CB136" t="str">
            <v>NA</v>
          </cell>
          <cell r="CC136" t="str">
            <v>NA</v>
          </cell>
          <cell r="CD136">
            <v>0.86363636363636354</v>
          </cell>
          <cell r="CE136">
            <v>-0.48780487804878048</v>
          </cell>
          <cell r="CF136">
            <v>0.33333333333333326</v>
          </cell>
          <cell r="CG136">
            <v>-0.1071428571428571</v>
          </cell>
          <cell r="CH136">
            <v>1.04</v>
          </cell>
          <cell r="CI136">
            <v>-0.50980392156862742</v>
          </cell>
          <cell r="CJ136">
            <v>0.56000000000000005</v>
          </cell>
          <cell r="CK136">
            <v>0.17948717948717952</v>
          </cell>
          <cell r="CL136">
            <v>0.65217391304347827</v>
          </cell>
          <cell r="CM136">
            <v>-0.51315789473684204</v>
          </cell>
          <cell r="CN136">
            <v>8.1081081081081141E-2</v>
          </cell>
          <cell r="CO136">
            <v>2.4999999999999911E-2</v>
          </cell>
          <cell r="CP136">
            <v>1.1707317073170733</v>
          </cell>
          <cell r="CQ136">
            <v>-1</v>
          </cell>
          <cell r="CR136" t="str">
            <v>NA</v>
          </cell>
          <cell r="CS136" t="str">
            <v>NA</v>
          </cell>
          <cell r="CT136" t="str">
            <v>NA</v>
          </cell>
          <cell r="CU136" t="str">
            <v>NA</v>
          </cell>
          <cell r="CV136" t="str">
            <v>NA</v>
          </cell>
          <cell r="CW136" t="str">
            <v>NA</v>
          </cell>
          <cell r="CX136" t="str">
            <v>NA</v>
          </cell>
          <cell r="CY136" t="str">
            <v>NA</v>
          </cell>
          <cell r="CZ136" t="str">
            <v>NA</v>
          </cell>
          <cell r="DA136" t="str">
            <v>NA</v>
          </cell>
          <cell r="DB136" t="str">
            <v>NA</v>
          </cell>
          <cell r="DC136" t="str">
            <v>NA</v>
          </cell>
          <cell r="DD136" t="str">
            <v>NA</v>
          </cell>
          <cell r="DE136" t="str">
            <v>NA</v>
          </cell>
          <cell r="DF136" t="str">
            <v>NA</v>
          </cell>
          <cell r="DG136" t="str">
            <v>NA</v>
          </cell>
          <cell r="DH136" t="str">
            <v>NA</v>
          </cell>
          <cell r="DI136" t="str">
            <v>NA</v>
          </cell>
          <cell r="DJ136" t="str">
            <v>NA</v>
          </cell>
          <cell r="DK136" t="str">
            <v>NA</v>
          </cell>
          <cell r="DL136" t="str">
            <v>NA</v>
          </cell>
          <cell r="DM136" t="str">
            <v>NA</v>
          </cell>
          <cell r="DN136" t="str">
            <v>NA</v>
          </cell>
        </row>
        <row r="139">
          <cell r="C139" t="str">
            <v>Fiscal 1999 by Quarter</v>
          </cell>
          <cell r="G139" t="str">
            <v>Fiscal 2000 by Quarter</v>
          </cell>
          <cell r="K139" t="str">
            <v>Fiscal 2001 by Quarter</v>
          </cell>
          <cell r="O139" t="str">
            <v>Fiscal 2002 by Quarter</v>
          </cell>
          <cell r="S139" t="str">
            <v>Fiscal 2003 by Quarter</v>
          </cell>
          <cell r="W139" t="str">
            <v>Fiscal 2004 by Quarter</v>
          </cell>
          <cell r="AA139" t="str">
            <v>Fiscal 2005 by Quarter</v>
          </cell>
          <cell r="AE139" t="str">
            <v>Fiscal 2006 by Quarter</v>
          </cell>
          <cell r="AI139" t="str">
            <v>Fiscal 2006 by Quarter</v>
          </cell>
          <cell r="AM139" t="str">
            <v>Fiscal 2007 by Quarter</v>
          </cell>
          <cell r="AQ139" t="str">
            <v>Fiscal 2008 by Quarter</v>
          </cell>
          <cell r="AU139" t="str">
            <v>Fiscal 2009 by Quarter</v>
          </cell>
          <cell r="AY139" t="str">
            <v>Fiscal 2010 by Quarter</v>
          </cell>
          <cell r="BC139" t="str">
            <v>Fiscal 2011 by Quarter</v>
          </cell>
          <cell r="BG139" t="str">
            <v>Fiscal 2012 by Quarter</v>
          </cell>
          <cell r="BK139" t="str">
            <v>Fiscal 2013 by Quarter</v>
          </cell>
          <cell r="BO139" t="str">
            <v>Fiscal 2014 by Quarter</v>
          </cell>
          <cell r="BS139" t="str">
            <v>Fiscal 2015 by Quarter</v>
          </cell>
          <cell r="BW139" t="str">
            <v>Fiscal 2016 by Quarter</v>
          </cell>
          <cell r="CA139" t="str">
            <v>Fiscal 2017 by Quarter</v>
          </cell>
          <cell r="CE139" t="str">
            <v>Fiscal 2018 by Quarter</v>
          </cell>
          <cell r="CI139" t="str">
            <v>Fiscal 2019 by Quarter</v>
          </cell>
          <cell r="CM139" t="str">
            <v>Fiscal 2020 by Quarter</v>
          </cell>
          <cell r="CQ139" t="str">
            <v>Fiscal 2021 by Quarter</v>
          </cell>
          <cell r="CU139" t="str">
            <v>Fiscal 2022 by Quarter</v>
          </cell>
          <cell r="CY139" t="str">
            <v>Fiscal 2023 by Quarter</v>
          </cell>
          <cell r="DC139" t="str">
            <v>Fiscal 2024 by Quarter</v>
          </cell>
          <cell r="DG139" t="str">
            <v>Fiscal 2025 by Quarter</v>
          </cell>
          <cell r="DK139" t="str">
            <v>Fiscal 2026 by Quarter</v>
          </cell>
          <cell r="DP139" t="str">
            <v xml:space="preserve"> Fiscal Year Ends December</v>
          </cell>
        </row>
        <row r="140">
          <cell r="C140">
            <v>35886</v>
          </cell>
          <cell r="D140">
            <v>35977</v>
          </cell>
          <cell r="E140">
            <v>36069</v>
          </cell>
          <cell r="F140">
            <v>36161</v>
          </cell>
          <cell r="G140">
            <v>36251</v>
          </cell>
          <cell r="H140">
            <v>36342</v>
          </cell>
          <cell r="I140">
            <v>36434</v>
          </cell>
          <cell r="J140">
            <v>36526</v>
          </cell>
          <cell r="K140">
            <v>36617</v>
          </cell>
          <cell r="L140">
            <v>36708</v>
          </cell>
          <cell r="M140">
            <v>36800</v>
          </cell>
          <cell r="N140">
            <v>36892</v>
          </cell>
          <cell r="O140">
            <v>36982</v>
          </cell>
          <cell r="P140">
            <v>37073</v>
          </cell>
          <cell r="Q140">
            <v>37165</v>
          </cell>
          <cell r="R140">
            <v>37257</v>
          </cell>
          <cell r="S140">
            <v>37348</v>
          </cell>
          <cell r="T140">
            <v>37439</v>
          </cell>
          <cell r="U140">
            <v>37531</v>
          </cell>
          <cell r="V140">
            <v>37623</v>
          </cell>
          <cell r="W140">
            <v>37715</v>
          </cell>
          <cell r="X140">
            <v>37806</v>
          </cell>
          <cell r="Y140">
            <v>37898</v>
          </cell>
          <cell r="Z140">
            <v>37990</v>
          </cell>
          <cell r="AA140">
            <v>38081</v>
          </cell>
          <cell r="AB140">
            <v>38172</v>
          </cell>
          <cell r="AC140">
            <v>38264</v>
          </cell>
          <cell r="AD140">
            <v>38356</v>
          </cell>
          <cell r="AE140">
            <v>38447</v>
          </cell>
          <cell r="AF140">
            <v>38538</v>
          </cell>
          <cell r="AG140">
            <v>38630</v>
          </cell>
          <cell r="AH140">
            <v>38722</v>
          </cell>
          <cell r="AI140">
            <v>38807</v>
          </cell>
          <cell r="AJ140">
            <v>38898</v>
          </cell>
          <cell r="AK140">
            <v>38990</v>
          </cell>
          <cell r="AL140">
            <v>39082</v>
          </cell>
          <cell r="AM140">
            <v>39172</v>
          </cell>
          <cell r="AN140">
            <v>39263</v>
          </cell>
          <cell r="AO140">
            <v>39355</v>
          </cell>
          <cell r="AP140">
            <v>39447</v>
          </cell>
          <cell r="AQ140">
            <v>39538</v>
          </cell>
          <cell r="AR140">
            <v>39629</v>
          </cell>
          <cell r="AS140">
            <v>39721</v>
          </cell>
          <cell r="AT140">
            <v>39813</v>
          </cell>
          <cell r="AU140">
            <v>39903</v>
          </cell>
          <cell r="AV140">
            <v>39994</v>
          </cell>
          <cell r="AW140">
            <v>40086</v>
          </cell>
          <cell r="AX140">
            <v>40178</v>
          </cell>
          <cell r="AY140">
            <v>40268</v>
          </cell>
          <cell r="AZ140">
            <v>40359</v>
          </cell>
          <cell r="BA140">
            <v>40451</v>
          </cell>
          <cell r="BB140">
            <v>40543</v>
          </cell>
          <cell r="BC140">
            <v>40633</v>
          </cell>
          <cell r="BD140">
            <v>40724</v>
          </cell>
          <cell r="BE140">
            <v>40816</v>
          </cell>
          <cell r="BF140">
            <v>40908</v>
          </cell>
          <cell r="BG140">
            <v>40999</v>
          </cell>
          <cell r="BH140">
            <v>41072</v>
          </cell>
          <cell r="BI140">
            <v>41164</v>
          </cell>
          <cell r="BJ140">
            <v>41255</v>
          </cell>
          <cell r="BK140">
            <v>41346</v>
          </cell>
          <cell r="BL140">
            <v>41438</v>
          </cell>
          <cell r="BM140">
            <v>41529</v>
          </cell>
          <cell r="BN140">
            <v>41621</v>
          </cell>
          <cell r="BO140">
            <v>41712</v>
          </cell>
          <cell r="BP140">
            <v>41804</v>
          </cell>
          <cell r="BQ140">
            <v>41894</v>
          </cell>
          <cell r="BR140">
            <v>41987</v>
          </cell>
          <cell r="BS140">
            <v>42078</v>
          </cell>
          <cell r="BT140">
            <v>42170</v>
          </cell>
          <cell r="BU140">
            <v>42262</v>
          </cell>
          <cell r="BV140">
            <v>42353</v>
          </cell>
          <cell r="BW140">
            <v>42445</v>
          </cell>
          <cell r="BX140">
            <v>42537</v>
          </cell>
          <cell r="BY140">
            <v>42629</v>
          </cell>
          <cell r="BZ140">
            <v>42720</v>
          </cell>
          <cell r="CA140">
            <v>42811</v>
          </cell>
          <cell r="CB140">
            <v>42903</v>
          </cell>
          <cell r="CC140">
            <v>42995</v>
          </cell>
          <cell r="CD140">
            <v>43086</v>
          </cell>
          <cell r="CE140">
            <v>43177</v>
          </cell>
          <cell r="CF140">
            <v>43269</v>
          </cell>
          <cell r="CG140">
            <v>43361</v>
          </cell>
          <cell r="CH140">
            <v>43452</v>
          </cell>
          <cell r="CI140">
            <v>43543</v>
          </cell>
          <cell r="CJ140">
            <v>43635</v>
          </cell>
          <cell r="CK140">
            <v>43727</v>
          </cell>
          <cell r="CL140">
            <v>43818</v>
          </cell>
          <cell r="CM140">
            <v>43910</v>
          </cell>
          <cell r="CN140">
            <v>44002</v>
          </cell>
          <cell r="CO140">
            <v>44094</v>
          </cell>
          <cell r="CP140">
            <v>44185</v>
          </cell>
          <cell r="CQ140" t="str">
            <v>Mar-21E</v>
          </cell>
          <cell r="CR140" t="str">
            <v>Jun-21E</v>
          </cell>
          <cell r="CS140" t="str">
            <v>Sep-21E</v>
          </cell>
          <cell r="CT140" t="str">
            <v>Dec-21E</v>
          </cell>
          <cell r="CU140" t="str">
            <v>Mar-22E</v>
          </cell>
          <cell r="CV140" t="str">
            <v>Jun-22E</v>
          </cell>
          <cell r="CW140" t="str">
            <v>Sep-22E</v>
          </cell>
          <cell r="CX140" t="str">
            <v>Dec-22E</v>
          </cell>
          <cell r="CY140" t="str">
            <v>Mar-23E</v>
          </cell>
          <cell r="CZ140" t="str">
            <v>Jun-23E</v>
          </cell>
          <cell r="DA140" t="str">
            <v>Sep-23E</v>
          </cell>
          <cell r="DB140" t="str">
            <v>Dec-23E</v>
          </cell>
          <cell r="DC140" t="str">
            <v>Mar-24E</v>
          </cell>
          <cell r="DD140" t="str">
            <v>Jun-24E</v>
          </cell>
          <cell r="DE140" t="str">
            <v>Sep-24E</v>
          </cell>
          <cell r="DF140" t="str">
            <v>Dec-24E</v>
          </cell>
          <cell r="DG140" t="str">
            <v>Mar-25E</v>
          </cell>
          <cell r="DH140" t="str">
            <v>Jun-25E</v>
          </cell>
          <cell r="DI140" t="str">
            <v>Sep-25E</v>
          </cell>
          <cell r="DJ140" t="str">
            <v>Dec-25E</v>
          </cell>
          <cell r="DK140" t="str">
            <v>Mar-26E</v>
          </cell>
          <cell r="DL140" t="str">
            <v>Jun-26E</v>
          </cell>
          <cell r="DM140" t="str">
            <v>Sep-26E</v>
          </cell>
          <cell r="DN140" t="str">
            <v>Dec-26E</v>
          </cell>
          <cell r="DP140">
            <v>1998</v>
          </cell>
          <cell r="DQ140">
            <v>1999</v>
          </cell>
          <cell r="DR140">
            <v>2000</v>
          </cell>
          <cell r="DS140">
            <v>2001</v>
          </cell>
          <cell r="DT140">
            <v>2002</v>
          </cell>
          <cell r="DU140">
            <v>2003</v>
          </cell>
          <cell r="DV140">
            <v>2004</v>
          </cell>
          <cell r="DW140">
            <v>2005</v>
          </cell>
          <cell r="DX140">
            <v>2006</v>
          </cell>
          <cell r="DY140">
            <v>2007</v>
          </cell>
          <cell r="DZ140">
            <v>2008</v>
          </cell>
          <cell r="EA140">
            <v>2009</v>
          </cell>
          <cell r="EB140">
            <v>2010</v>
          </cell>
          <cell r="EC140">
            <v>2011</v>
          </cell>
          <cell r="ED140">
            <v>2012</v>
          </cell>
          <cell r="EE140">
            <v>2013</v>
          </cell>
          <cell r="EF140">
            <v>2014</v>
          </cell>
          <cell r="EG140">
            <v>2015</v>
          </cell>
          <cell r="EH140">
            <v>2016</v>
          </cell>
          <cell r="EI140">
            <v>2017</v>
          </cell>
          <cell r="EJ140">
            <v>2018</v>
          </cell>
          <cell r="EK140">
            <v>2019</v>
          </cell>
          <cell r="EL140">
            <v>2020</v>
          </cell>
          <cell r="EM140" t="str">
            <v>2021E</v>
          </cell>
          <cell r="EN140" t="str">
            <v>2022E</v>
          </cell>
          <cell r="EO140" t="str">
            <v>2023E</v>
          </cell>
          <cell r="EP140" t="str">
            <v>2024E</v>
          </cell>
          <cell r="EQ140" t="str">
            <v>2025E</v>
          </cell>
          <cell r="ER140" t="str">
            <v>2026E</v>
          </cell>
        </row>
        <row r="141">
          <cell r="A141" t="str">
            <v>G2K customers</v>
          </cell>
          <cell r="BX141">
            <v>666</v>
          </cell>
          <cell r="BY141">
            <v>688</v>
          </cell>
          <cell r="BZ141">
            <v>715</v>
          </cell>
          <cell r="CA141">
            <v>738</v>
          </cell>
          <cell r="CB141">
            <v>764</v>
          </cell>
          <cell r="CC141">
            <v>787</v>
          </cell>
          <cell r="CD141">
            <v>803</v>
          </cell>
          <cell r="CE141">
            <v>816</v>
          </cell>
          <cell r="CF141">
            <v>840</v>
          </cell>
          <cell r="CG141">
            <v>860</v>
          </cell>
          <cell r="CH141">
            <v>883</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0</v>
          </cell>
          <cell r="DL141">
            <v>0</v>
          </cell>
          <cell r="DM141">
            <v>0</v>
          </cell>
          <cell r="DN141">
            <v>0</v>
          </cell>
          <cell r="DP141">
            <v>0</v>
          </cell>
          <cell r="DQ141">
            <v>0</v>
          </cell>
          <cell r="DR141">
            <v>0</v>
          </cell>
          <cell r="DS141">
            <v>0</v>
          </cell>
          <cell r="DT141">
            <v>0</v>
          </cell>
          <cell r="DU141">
            <v>0</v>
          </cell>
          <cell r="DV141">
            <v>0</v>
          </cell>
          <cell r="DW141">
            <v>0</v>
          </cell>
          <cell r="DX141">
            <v>0</v>
          </cell>
          <cell r="DY141">
            <v>0</v>
          </cell>
          <cell r="DZ141">
            <v>0</v>
          </cell>
          <cell r="EA141">
            <v>0</v>
          </cell>
          <cell r="EB141">
            <v>0</v>
          </cell>
          <cell r="EC141">
            <v>0</v>
          </cell>
          <cell r="ED141">
            <v>0</v>
          </cell>
          <cell r="EE141">
            <v>0</v>
          </cell>
          <cell r="EF141">
            <v>0</v>
          </cell>
          <cell r="EG141">
            <v>0</v>
          </cell>
          <cell r="EH141">
            <v>715</v>
          </cell>
          <cell r="EI141">
            <v>803</v>
          </cell>
          <cell r="EJ141">
            <v>883</v>
          </cell>
          <cell r="EK141">
            <v>0</v>
          </cell>
          <cell r="EL141">
            <v>0</v>
          </cell>
          <cell r="EM141">
            <v>0</v>
          </cell>
          <cell r="EN141">
            <v>0</v>
          </cell>
          <cell r="EO141">
            <v>0</v>
          </cell>
          <cell r="EP141">
            <v>0</v>
          </cell>
          <cell r="EQ141">
            <v>0</v>
          </cell>
          <cell r="ER141">
            <v>0</v>
          </cell>
        </row>
        <row r="142">
          <cell r="A142" t="str">
            <v>G2K penetration</v>
          </cell>
          <cell r="BW142">
            <v>0</v>
          </cell>
          <cell r="BX142">
            <v>0.33300000000000002</v>
          </cell>
          <cell r="BY142">
            <v>0.34399999999999997</v>
          </cell>
          <cell r="BZ142">
            <v>0.35749999999999998</v>
          </cell>
          <cell r="CA142">
            <v>0.36899999999999999</v>
          </cell>
          <cell r="CB142">
            <v>0.38200000000000001</v>
          </cell>
          <cell r="CC142">
            <v>0.39350000000000002</v>
          </cell>
          <cell r="CD142">
            <v>0.40150000000000002</v>
          </cell>
          <cell r="CE142">
            <v>0.40799999999999997</v>
          </cell>
          <cell r="CF142">
            <v>0.42</v>
          </cell>
          <cell r="CG142">
            <v>0.43</v>
          </cell>
          <cell r="CH142">
            <v>0.4415</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row>
        <row r="143">
          <cell r="A143" t="str">
            <v>% growth y-o-y</v>
          </cell>
          <cell r="BW143" t="str">
            <v>NA</v>
          </cell>
          <cell r="BX143" t="str">
            <v>NA</v>
          </cell>
          <cell r="BY143" t="str">
            <v>NA</v>
          </cell>
          <cell r="BZ143" t="str">
            <v>NA</v>
          </cell>
          <cell r="CA143" t="str">
            <v>NA</v>
          </cell>
          <cell r="CB143">
            <v>0.14714714714714705</v>
          </cell>
          <cell r="CC143">
            <v>0.14389534883720922</v>
          </cell>
          <cell r="CD143">
            <v>0.12307692307692308</v>
          </cell>
          <cell r="CE143">
            <v>0.10569105691056913</v>
          </cell>
          <cell r="CF143">
            <v>9.9476439790575855E-2</v>
          </cell>
          <cell r="CG143">
            <v>9.2757306226175285E-2</v>
          </cell>
          <cell r="CH143">
            <v>9.9626400996263964E-2</v>
          </cell>
          <cell r="CI143">
            <v>-1</v>
          </cell>
          <cell r="CJ143">
            <v>-1</v>
          </cell>
          <cell r="CK143">
            <v>-1</v>
          </cell>
          <cell r="CL143">
            <v>-1</v>
          </cell>
          <cell r="CM143" t="str">
            <v>NA</v>
          </cell>
          <cell r="CN143" t="str">
            <v>NA</v>
          </cell>
          <cell r="CO143" t="str">
            <v>NA</v>
          </cell>
          <cell r="CP143" t="str">
            <v>NA</v>
          </cell>
          <cell r="CQ143" t="str">
            <v>NA</v>
          </cell>
          <cell r="CR143" t="str">
            <v>NA</v>
          </cell>
          <cell r="CS143" t="str">
            <v>NA</v>
          </cell>
          <cell r="CT143" t="str">
            <v>NA</v>
          </cell>
          <cell r="CU143" t="str">
            <v>NA</v>
          </cell>
          <cell r="CV143" t="str">
            <v>NA</v>
          </cell>
          <cell r="CW143" t="str">
            <v>NA</v>
          </cell>
          <cell r="CX143" t="str">
            <v>NA</v>
          </cell>
          <cell r="CY143" t="str">
            <v>NA</v>
          </cell>
          <cell r="CZ143" t="str">
            <v>NA</v>
          </cell>
          <cell r="DA143" t="str">
            <v>NA</v>
          </cell>
          <cell r="DB143" t="str">
            <v>NA</v>
          </cell>
          <cell r="DC143" t="str">
            <v>NA</v>
          </cell>
          <cell r="DD143" t="str">
            <v>NA</v>
          </cell>
          <cell r="DE143" t="str">
            <v>NA</v>
          </cell>
          <cell r="DF143" t="str">
            <v>NA</v>
          </cell>
          <cell r="DG143" t="str">
            <v>NA</v>
          </cell>
          <cell r="DH143" t="str">
            <v>NA</v>
          </cell>
          <cell r="DI143" t="str">
            <v>NA</v>
          </cell>
          <cell r="DJ143" t="str">
            <v>NA</v>
          </cell>
          <cell r="DK143" t="str">
            <v>NA</v>
          </cell>
          <cell r="DL143" t="str">
            <v>NA</v>
          </cell>
          <cell r="DM143" t="str">
            <v>NA</v>
          </cell>
          <cell r="DN143" t="str">
            <v>NA</v>
          </cell>
          <cell r="DQ143" t="str">
            <v>NA</v>
          </cell>
          <cell r="DR143" t="str">
            <v>NA</v>
          </cell>
          <cell r="DS143" t="str">
            <v>NA</v>
          </cell>
          <cell r="DT143" t="str">
            <v>NA</v>
          </cell>
          <cell r="DU143" t="str">
            <v>NA</v>
          </cell>
          <cell r="DV143" t="str">
            <v>NA</v>
          </cell>
          <cell r="DW143" t="str">
            <v>NA</v>
          </cell>
          <cell r="DX143" t="str">
            <v>NA</v>
          </cell>
          <cell r="DY143" t="str">
            <v>NA</v>
          </cell>
          <cell r="DZ143" t="str">
            <v>NA</v>
          </cell>
          <cell r="EA143" t="str">
            <v>NA</v>
          </cell>
          <cell r="EB143" t="str">
            <v>NA</v>
          </cell>
          <cell r="EC143" t="str">
            <v>NA</v>
          </cell>
          <cell r="ED143" t="str">
            <v>NA</v>
          </cell>
          <cell r="EE143" t="str">
            <v>NA</v>
          </cell>
          <cell r="EF143" t="str">
            <v>NA</v>
          </cell>
          <cell r="EG143" t="str">
            <v>NA</v>
          </cell>
          <cell r="EH143" t="str">
            <v>NA</v>
          </cell>
          <cell r="EI143">
            <v>0.12307692307692308</v>
          </cell>
          <cell r="EJ143">
            <v>9.9626400996263964E-2</v>
          </cell>
          <cell r="EK143">
            <v>-1</v>
          </cell>
          <cell r="EL143" t="str">
            <v>NA</v>
          </cell>
          <cell r="EM143" t="str">
            <v>NA</v>
          </cell>
          <cell r="EN143" t="str">
            <v>NA</v>
          </cell>
          <cell r="EO143" t="str">
            <v>NA</v>
          </cell>
          <cell r="EP143" t="str">
            <v>NA</v>
          </cell>
          <cell r="EQ143" t="str">
            <v>NA</v>
          </cell>
          <cell r="ER143" t="str">
            <v>NA</v>
          </cell>
        </row>
        <row r="144">
          <cell r="A144" t="str">
            <v>% growth seq</v>
          </cell>
          <cell r="BW144" t="str">
            <v>NA</v>
          </cell>
          <cell r="BX144" t="str">
            <v>NA</v>
          </cell>
          <cell r="BY144">
            <v>3.3033033033033066E-2</v>
          </cell>
          <cell r="BZ144">
            <v>3.9244186046511587E-2</v>
          </cell>
          <cell r="CA144">
            <v>3.2167832167832255E-2</v>
          </cell>
          <cell r="CB144">
            <v>3.5230352303523116E-2</v>
          </cell>
          <cell r="CC144">
            <v>3.0104712041884918E-2</v>
          </cell>
          <cell r="CD144">
            <v>2.0330368487928796E-2</v>
          </cell>
          <cell r="CE144">
            <v>1.6189290161892966E-2</v>
          </cell>
          <cell r="CF144">
            <v>2.9411764705882248E-2</v>
          </cell>
          <cell r="CG144">
            <v>2.3809523809523725E-2</v>
          </cell>
          <cell r="CH144">
            <v>2.6744186046511631E-2</v>
          </cell>
          <cell r="CI144">
            <v>-1</v>
          </cell>
          <cell r="CJ144" t="str">
            <v>NA</v>
          </cell>
          <cell r="CK144" t="str">
            <v>NA</v>
          </cell>
          <cell r="CL144" t="str">
            <v>NA</v>
          </cell>
          <cell r="CM144" t="str">
            <v>NA</v>
          </cell>
          <cell r="CN144" t="str">
            <v>NA</v>
          </cell>
          <cell r="CO144" t="str">
            <v>NA</v>
          </cell>
          <cell r="CP144" t="str">
            <v>NA</v>
          </cell>
          <cell r="CQ144" t="str">
            <v>NA</v>
          </cell>
          <cell r="CR144" t="str">
            <v>NA</v>
          </cell>
          <cell r="CS144" t="str">
            <v>NA</v>
          </cell>
          <cell r="CT144" t="str">
            <v>NA</v>
          </cell>
          <cell r="CU144" t="str">
            <v>NA</v>
          </cell>
          <cell r="CV144" t="str">
            <v>NA</v>
          </cell>
          <cell r="CW144" t="str">
            <v>NA</v>
          </cell>
          <cell r="CX144" t="str">
            <v>NA</v>
          </cell>
          <cell r="CY144" t="str">
            <v>NA</v>
          </cell>
          <cell r="CZ144" t="str">
            <v>NA</v>
          </cell>
          <cell r="DA144" t="str">
            <v>NA</v>
          </cell>
          <cell r="DB144" t="str">
            <v>NA</v>
          </cell>
          <cell r="DC144" t="str">
            <v>NA</v>
          </cell>
          <cell r="DD144" t="str">
            <v>NA</v>
          </cell>
          <cell r="DE144" t="str">
            <v>NA</v>
          </cell>
          <cell r="DF144" t="str">
            <v>NA</v>
          </cell>
          <cell r="DG144" t="str">
            <v>NA</v>
          </cell>
          <cell r="DH144" t="str">
            <v>NA</v>
          </cell>
          <cell r="DI144" t="str">
            <v>NA</v>
          </cell>
          <cell r="DJ144" t="str">
            <v>NA</v>
          </cell>
          <cell r="DK144" t="str">
            <v>NA</v>
          </cell>
          <cell r="DL144" t="str">
            <v>NA</v>
          </cell>
          <cell r="DM144" t="str">
            <v>NA</v>
          </cell>
          <cell r="DN144" t="str">
            <v>NA</v>
          </cell>
        </row>
        <row r="146">
          <cell r="A146" t="str">
            <v>Net G2K adds</v>
          </cell>
          <cell r="BW146">
            <v>0</v>
          </cell>
          <cell r="BX146">
            <v>666</v>
          </cell>
          <cell r="BY146">
            <v>22</v>
          </cell>
          <cell r="BZ146">
            <v>27</v>
          </cell>
          <cell r="CA146">
            <v>23</v>
          </cell>
          <cell r="CB146">
            <v>26</v>
          </cell>
          <cell r="CC146">
            <v>23</v>
          </cell>
          <cell r="CD146">
            <v>16</v>
          </cell>
          <cell r="CE146">
            <v>13</v>
          </cell>
          <cell r="CF146">
            <v>24</v>
          </cell>
          <cell r="CG146">
            <v>20</v>
          </cell>
          <cell r="CH146">
            <v>23</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cell r="EC146">
            <v>0</v>
          </cell>
          <cell r="ED146">
            <v>0</v>
          </cell>
          <cell r="EE146">
            <v>0</v>
          </cell>
          <cell r="EF146">
            <v>0</v>
          </cell>
          <cell r="EG146">
            <v>0</v>
          </cell>
          <cell r="EH146">
            <v>715</v>
          </cell>
          <cell r="EI146">
            <v>88</v>
          </cell>
          <cell r="EJ146">
            <v>80</v>
          </cell>
          <cell r="EK146">
            <v>-883</v>
          </cell>
          <cell r="EL146">
            <v>0</v>
          </cell>
          <cell r="EM146">
            <v>0</v>
          </cell>
          <cell r="EN146">
            <v>0</v>
          </cell>
          <cell r="EO146">
            <v>0</v>
          </cell>
          <cell r="EP146">
            <v>0</v>
          </cell>
          <cell r="EQ146">
            <v>0</v>
          </cell>
          <cell r="ER146">
            <v>0</v>
          </cell>
        </row>
        <row r="147">
          <cell r="A147" t="str">
            <v>% growth y-o-y</v>
          </cell>
          <cell r="BW147" t="str">
            <v>NA</v>
          </cell>
          <cell r="BX147" t="str">
            <v>NA</v>
          </cell>
          <cell r="BY147" t="str">
            <v>NA</v>
          </cell>
          <cell r="BZ147" t="str">
            <v>NA</v>
          </cell>
          <cell r="CA147" t="str">
            <v>NA</v>
          </cell>
          <cell r="CB147">
            <v>-0.96096096096096095</v>
          </cell>
          <cell r="CC147">
            <v>4.5454545454545414E-2</v>
          </cell>
          <cell r="CD147">
            <v>-0.40740740740740744</v>
          </cell>
          <cell r="CE147">
            <v>-0.43478260869565222</v>
          </cell>
          <cell r="CF147">
            <v>-7.6923076923076872E-2</v>
          </cell>
          <cell r="CG147">
            <v>-0.13043478260869568</v>
          </cell>
          <cell r="CH147">
            <v>0.4375</v>
          </cell>
          <cell r="CI147">
            <v>-1</v>
          </cell>
          <cell r="CJ147">
            <v>-1</v>
          </cell>
          <cell r="CK147">
            <v>-1</v>
          </cell>
          <cell r="CL147">
            <v>-1</v>
          </cell>
          <cell r="CM147" t="str">
            <v>NA</v>
          </cell>
          <cell r="CN147" t="str">
            <v>NA</v>
          </cell>
          <cell r="CO147" t="str">
            <v>NA</v>
          </cell>
          <cell r="CP147" t="str">
            <v>NA</v>
          </cell>
          <cell r="CQ147" t="str">
            <v>NA</v>
          </cell>
          <cell r="CR147" t="str">
            <v>NA</v>
          </cell>
          <cell r="CS147" t="str">
            <v>NA</v>
          </cell>
          <cell r="CT147" t="str">
            <v>NA</v>
          </cell>
          <cell r="CU147" t="str">
            <v>NA</v>
          </cell>
          <cell r="CV147" t="str">
            <v>NA</v>
          </cell>
          <cell r="CW147" t="str">
            <v>NA</v>
          </cell>
          <cell r="CX147" t="str">
            <v>NA</v>
          </cell>
          <cell r="CY147" t="str">
            <v>NA</v>
          </cell>
          <cell r="CZ147" t="str">
            <v>NA</v>
          </cell>
          <cell r="DA147" t="str">
            <v>NA</v>
          </cell>
          <cell r="DB147" t="str">
            <v>NA</v>
          </cell>
          <cell r="DC147" t="str">
            <v>NA</v>
          </cell>
          <cell r="DD147" t="str">
            <v>NA</v>
          </cell>
          <cell r="DE147" t="str">
            <v>NA</v>
          </cell>
          <cell r="DF147" t="str">
            <v>NA</v>
          </cell>
          <cell r="DG147" t="str">
            <v>NA</v>
          </cell>
          <cell r="DH147" t="str">
            <v>NA</v>
          </cell>
          <cell r="DI147" t="str">
            <v>NA</v>
          </cell>
          <cell r="DJ147" t="str">
            <v>NA</v>
          </cell>
          <cell r="DK147" t="str">
            <v>NA</v>
          </cell>
          <cell r="DL147" t="str">
            <v>NA</v>
          </cell>
          <cell r="DM147" t="str">
            <v>NA</v>
          </cell>
          <cell r="DN147" t="str">
            <v>NA</v>
          </cell>
          <cell r="DQ147" t="str">
            <v>NA</v>
          </cell>
          <cell r="DR147" t="str">
            <v>NA</v>
          </cell>
          <cell r="DS147" t="str">
            <v>NA</v>
          </cell>
          <cell r="DT147" t="str">
            <v>NA</v>
          </cell>
          <cell r="DU147" t="str">
            <v>NA</v>
          </cell>
          <cell r="DV147" t="str">
            <v>NA</v>
          </cell>
          <cell r="DW147" t="str">
            <v>NA</v>
          </cell>
          <cell r="DX147" t="str">
            <v>NA</v>
          </cell>
          <cell r="DY147" t="str">
            <v>NA</v>
          </cell>
          <cell r="DZ147" t="str">
            <v>NA</v>
          </cell>
          <cell r="EA147" t="str">
            <v>NA</v>
          </cell>
          <cell r="EB147" t="str">
            <v>NA</v>
          </cell>
          <cell r="EC147" t="str">
            <v>NA</v>
          </cell>
          <cell r="ED147" t="str">
            <v>NA</v>
          </cell>
          <cell r="EE147" t="str">
            <v>NA</v>
          </cell>
          <cell r="EF147" t="str">
            <v>NA</v>
          </cell>
          <cell r="EG147" t="str">
            <v>NA</v>
          </cell>
          <cell r="EH147" t="str">
            <v>NA</v>
          </cell>
          <cell r="EI147">
            <v>-0.87692307692307692</v>
          </cell>
          <cell r="EJ147">
            <v>-9.0909090909090939E-2</v>
          </cell>
          <cell r="EK147">
            <v>-12.0375</v>
          </cell>
          <cell r="EL147">
            <v>-1</v>
          </cell>
          <cell r="EM147" t="str">
            <v>NA</v>
          </cell>
          <cell r="EN147" t="str">
            <v>NA</v>
          </cell>
          <cell r="EO147" t="str">
            <v>NA</v>
          </cell>
          <cell r="EP147" t="str">
            <v>NA</v>
          </cell>
          <cell r="EQ147" t="str">
            <v>NA</v>
          </cell>
          <cell r="ER147" t="str">
            <v>NA</v>
          </cell>
        </row>
        <row r="148">
          <cell r="A148" t="str">
            <v>% growth seq</v>
          </cell>
          <cell r="BW148" t="str">
            <v>NA</v>
          </cell>
          <cell r="BX148" t="str">
            <v>NA</v>
          </cell>
          <cell r="BY148">
            <v>-0.96696696696696693</v>
          </cell>
          <cell r="BZ148">
            <v>0.22727272727272729</v>
          </cell>
          <cell r="CA148">
            <v>-0.14814814814814814</v>
          </cell>
          <cell r="CB148">
            <v>0.13043478260869557</v>
          </cell>
          <cell r="CC148">
            <v>-0.11538461538461542</v>
          </cell>
          <cell r="CD148">
            <v>-0.30434782608695654</v>
          </cell>
          <cell r="CE148">
            <v>-0.1875</v>
          </cell>
          <cell r="CF148">
            <v>0.84615384615384626</v>
          </cell>
          <cell r="CG148">
            <v>-0.16666666666666663</v>
          </cell>
          <cell r="CH148">
            <v>0.14999999999999991</v>
          </cell>
          <cell r="CI148">
            <v>-1</v>
          </cell>
          <cell r="CJ148" t="str">
            <v>NA</v>
          </cell>
          <cell r="CK148" t="str">
            <v>NA</v>
          </cell>
          <cell r="CL148" t="str">
            <v>NA</v>
          </cell>
          <cell r="CM148" t="str">
            <v>NA</v>
          </cell>
          <cell r="CN148" t="str">
            <v>NA</v>
          </cell>
          <cell r="CO148" t="str">
            <v>NA</v>
          </cell>
          <cell r="CP148" t="str">
            <v>NA</v>
          </cell>
          <cell r="CQ148" t="str">
            <v>NA</v>
          </cell>
          <cell r="CR148" t="str">
            <v>NA</v>
          </cell>
          <cell r="CS148" t="str">
            <v>NA</v>
          </cell>
          <cell r="CT148" t="str">
            <v>NA</v>
          </cell>
          <cell r="CU148" t="str">
            <v>NA</v>
          </cell>
          <cell r="CV148" t="str">
            <v>NA</v>
          </cell>
          <cell r="CW148" t="str">
            <v>NA</v>
          </cell>
          <cell r="CX148" t="str">
            <v>NA</v>
          </cell>
          <cell r="CY148" t="str">
            <v>NA</v>
          </cell>
          <cell r="CZ148" t="str">
            <v>NA</v>
          </cell>
          <cell r="DA148" t="str">
            <v>NA</v>
          </cell>
          <cell r="DB148" t="str">
            <v>NA</v>
          </cell>
          <cell r="DC148" t="str">
            <v>NA</v>
          </cell>
          <cell r="DD148" t="str">
            <v>NA</v>
          </cell>
          <cell r="DE148" t="str">
            <v>NA</v>
          </cell>
          <cell r="DF148" t="str">
            <v>NA</v>
          </cell>
          <cell r="DG148" t="str">
            <v>NA</v>
          </cell>
          <cell r="DH148" t="str">
            <v>NA</v>
          </cell>
          <cell r="DI148" t="str">
            <v>NA</v>
          </cell>
          <cell r="DJ148" t="str">
            <v>NA</v>
          </cell>
          <cell r="DK148" t="str">
            <v>NA</v>
          </cell>
          <cell r="DL148" t="str">
            <v>NA</v>
          </cell>
          <cell r="DM148" t="str">
            <v>NA</v>
          </cell>
          <cell r="DN148" t="str">
            <v>NA</v>
          </cell>
        </row>
        <row r="150">
          <cell r="A150" t="str">
            <v>ACV/G2K</v>
          </cell>
          <cell r="BX150">
            <v>966</v>
          </cell>
          <cell r="BY150">
            <v>1026</v>
          </cell>
          <cell r="BZ150">
            <v>1128</v>
          </cell>
          <cell r="CA150">
            <v>1154</v>
          </cell>
          <cell r="CB150">
            <v>1182</v>
          </cell>
          <cell r="CC150">
            <v>1223</v>
          </cell>
          <cell r="CD150">
            <v>1352</v>
          </cell>
          <cell r="CE150">
            <v>1407</v>
          </cell>
          <cell r="CF150">
            <v>1475</v>
          </cell>
          <cell r="CG150">
            <v>1531</v>
          </cell>
          <cell r="CH150">
            <v>1676</v>
          </cell>
          <cell r="DP150">
            <v>0</v>
          </cell>
          <cell r="DQ150">
            <v>0</v>
          </cell>
          <cell r="DR150">
            <v>0</v>
          </cell>
          <cell r="DS150">
            <v>0</v>
          </cell>
          <cell r="DT150">
            <v>0</v>
          </cell>
          <cell r="DU150">
            <v>0</v>
          </cell>
          <cell r="DV150">
            <v>0</v>
          </cell>
          <cell r="DW150">
            <v>0</v>
          </cell>
          <cell r="DX150">
            <v>0</v>
          </cell>
          <cell r="DY150">
            <v>0</v>
          </cell>
          <cell r="DZ150">
            <v>0</v>
          </cell>
          <cell r="EA150">
            <v>0</v>
          </cell>
          <cell r="EB150">
            <v>0</v>
          </cell>
          <cell r="EC150">
            <v>0</v>
          </cell>
          <cell r="ED150">
            <v>0</v>
          </cell>
          <cell r="EE150">
            <v>0</v>
          </cell>
          <cell r="EF150">
            <v>0</v>
          </cell>
          <cell r="EG150">
            <v>0</v>
          </cell>
          <cell r="EH150">
            <v>1128</v>
          </cell>
          <cell r="EI150">
            <v>1352</v>
          </cell>
          <cell r="EJ150">
            <v>1676</v>
          </cell>
          <cell r="EK150">
            <v>0</v>
          </cell>
          <cell r="EL150">
            <v>0</v>
          </cell>
          <cell r="EM150">
            <v>0</v>
          </cell>
          <cell r="EN150">
            <v>0</v>
          </cell>
          <cell r="EO150">
            <v>0</v>
          </cell>
          <cell r="EP150">
            <v>0</v>
          </cell>
          <cell r="EQ150">
            <v>0</v>
          </cell>
          <cell r="ER150">
            <v>0</v>
          </cell>
        </row>
        <row r="151">
          <cell r="A151" t="str">
            <v>% growth y-o-y</v>
          </cell>
          <cell r="BW151" t="str">
            <v>NA</v>
          </cell>
          <cell r="BX151" t="str">
            <v>NA</v>
          </cell>
          <cell r="BY151" t="str">
            <v>NA</v>
          </cell>
          <cell r="BZ151" t="str">
            <v>NA</v>
          </cell>
          <cell r="CA151" t="str">
            <v>NA</v>
          </cell>
          <cell r="CB151">
            <v>0.22360248447204967</v>
          </cell>
          <cell r="CC151">
            <v>0.19200779727095507</v>
          </cell>
          <cell r="CD151">
            <v>0.19858156028368801</v>
          </cell>
          <cell r="CE151">
            <v>0.21923743500866544</v>
          </cell>
          <cell r="CF151">
            <v>0.24788494077834189</v>
          </cell>
          <cell r="CG151">
            <v>0.25183973834832374</v>
          </cell>
          <cell r="CH151">
            <v>0.23964497041420119</v>
          </cell>
          <cell r="CI151">
            <v>-1</v>
          </cell>
          <cell r="CJ151">
            <v>-1</v>
          </cell>
          <cell r="CK151">
            <v>-1</v>
          </cell>
          <cell r="CL151">
            <v>-1</v>
          </cell>
          <cell r="CM151" t="str">
            <v>NA</v>
          </cell>
          <cell r="CN151" t="str">
            <v>NA</v>
          </cell>
          <cell r="CO151" t="str">
            <v>NA</v>
          </cell>
          <cell r="CP151" t="str">
            <v>NA</v>
          </cell>
          <cell r="CQ151" t="str">
            <v>NA</v>
          </cell>
          <cell r="CR151" t="str">
            <v>NA</v>
          </cell>
          <cell r="CS151" t="str">
            <v>NA</v>
          </cell>
          <cell r="CT151" t="str">
            <v>NA</v>
          </cell>
          <cell r="CU151" t="str">
            <v>NA</v>
          </cell>
          <cell r="CV151" t="str">
            <v>NA</v>
          </cell>
          <cell r="CW151" t="str">
            <v>NA</v>
          </cell>
          <cell r="CX151" t="str">
            <v>NA</v>
          </cell>
          <cell r="CY151" t="str">
            <v>NA</v>
          </cell>
          <cell r="CZ151" t="str">
            <v>NA</v>
          </cell>
          <cell r="DA151" t="str">
            <v>NA</v>
          </cell>
          <cell r="DB151" t="str">
            <v>NA</v>
          </cell>
          <cell r="DC151" t="str">
            <v>NA</v>
          </cell>
          <cell r="DD151" t="str">
            <v>NA</v>
          </cell>
          <cell r="DE151" t="str">
            <v>NA</v>
          </cell>
          <cell r="DF151" t="str">
            <v>NA</v>
          </cell>
          <cell r="DG151" t="str">
            <v>NA</v>
          </cell>
          <cell r="DH151" t="str">
            <v>NA</v>
          </cell>
          <cell r="DI151" t="str">
            <v>NA</v>
          </cell>
          <cell r="DJ151" t="str">
            <v>NA</v>
          </cell>
          <cell r="DK151" t="str">
            <v>NA</v>
          </cell>
          <cell r="DL151" t="str">
            <v>NA</v>
          </cell>
          <cell r="DM151" t="str">
            <v>NA</v>
          </cell>
          <cell r="DN151" t="str">
            <v>NA</v>
          </cell>
          <cell r="DQ151" t="str">
            <v>NA</v>
          </cell>
          <cell r="DR151" t="str">
            <v>NA</v>
          </cell>
          <cell r="DS151" t="str">
            <v>NA</v>
          </cell>
          <cell r="DT151" t="str">
            <v>NA</v>
          </cell>
          <cell r="DU151" t="str">
            <v>NA</v>
          </cell>
          <cell r="DV151" t="str">
            <v>NA</v>
          </cell>
          <cell r="DW151" t="str">
            <v>NA</v>
          </cell>
          <cell r="DX151" t="str">
            <v>NA</v>
          </cell>
          <cell r="DY151" t="str">
            <v>NA</v>
          </cell>
          <cell r="DZ151" t="str">
            <v>NA</v>
          </cell>
          <cell r="EA151" t="str">
            <v>NA</v>
          </cell>
          <cell r="EB151" t="str">
            <v>NA</v>
          </cell>
          <cell r="EC151" t="str">
            <v>NA</v>
          </cell>
          <cell r="ED151" t="str">
            <v>NA</v>
          </cell>
          <cell r="EE151" t="str">
            <v>NA</v>
          </cell>
          <cell r="EF151" t="str">
            <v>NA</v>
          </cell>
          <cell r="EG151" t="str">
            <v>NA</v>
          </cell>
          <cell r="EH151" t="str">
            <v>NA</v>
          </cell>
          <cell r="EI151">
            <v>0.19858156028368801</v>
          </cell>
          <cell r="EJ151">
            <v>0.23964497041420119</v>
          </cell>
          <cell r="EK151">
            <v>-1</v>
          </cell>
          <cell r="EL151" t="str">
            <v>NA</v>
          </cell>
          <cell r="EM151" t="str">
            <v>NA</v>
          </cell>
          <cell r="EN151" t="str">
            <v>NA</v>
          </cell>
          <cell r="EO151" t="str">
            <v>NA</v>
          </cell>
          <cell r="EP151" t="str">
            <v>NA</v>
          </cell>
          <cell r="EQ151" t="str">
            <v>NA</v>
          </cell>
          <cell r="ER151" t="str">
            <v>NA</v>
          </cell>
        </row>
        <row r="152">
          <cell r="A152" t="str">
            <v>% growth seq</v>
          </cell>
          <cell r="BW152" t="str">
            <v>NA</v>
          </cell>
          <cell r="BX152" t="str">
            <v>NA</v>
          </cell>
          <cell r="BY152">
            <v>6.211180124223592E-2</v>
          </cell>
          <cell r="BZ152">
            <v>9.9415204678362512E-2</v>
          </cell>
          <cell r="CA152">
            <v>2.3049645390070816E-2</v>
          </cell>
          <cell r="CB152">
            <v>2.4263431542461023E-2</v>
          </cell>
          <cell r="CC152">
            <v>3.4686971235194486E-2</v>
          </cell>
          <cell r="CD152">
            <v>0.10547833197056411</v>
          </cell>
          <cell r="CE152">
            <v>4.0680473372781023E-2</v>
          </cell>
          <cell r="CF152">
            <v>4.8329779673063289E-2</v>
          </cell>
          <cell r="CG152">
            <v>3.7966101694915322E-2</v>
          </cell>
          <cell r="CH152">
            <v>9.4709340300457301E-2</v>
          </cell>
          <cell r="CI152">
            <v>-1</v>
          </cell>
          <cell r="CJ152" t="str">
            <v>NA</v>
          </cell>
          <cell r="CK152" t="str">
            <v>NA</v>
          </cell>
          <cell r="CL152" t="str">
            <v>NA</v>
          </cell>
          <cell r="CM152" t="str">
            <v>NA</v>
          </cell>
          <cell r="CN152" t="str">
            <v>NA</v>
          </cell>
          <cell r="CO152" t="str">
            <v>NA</v>
          </cell>
          <cell r="CP152" t="str">
            <v>NA</v>
          </cell>
          <cell r="CQ152" t="str">
            <v>NA</v>
          </cell>
          <cell r="CR152" t="str">
            <v>NA</v>
          </cell>
          <cell r="CS152" t="str">
            <v>NA</v>
          </cell>
          <cell r="CT152" t="str">
            <v>NA</v>
          </cell>
          <cell r="CU152" t="str">
            <v>NA</v>
          </cell>
          <cell r="CV152" t="str">
            <v>NA</v>
          </cell>
          <cell r="CW152" t="str">
            <v>NA</v>
          </cell>
          <cell r="CX152" t="str">
            <v>NA</v>
          </cell>
          <cell r="CY152" t="str">
            <v>NA</v>
          </cell>
          <cell r="CZ152" t="str">
            <v>NA</v>
          </cell>
          <cell r="DA152" t="str">
            <v>NA</v>
          </cell>
          <cell r="DB152" t="str">
            <v>NA</v>
          </cell>
          <cell r="DC152" t="str">
            <v>NA</v>
          </cell>
          <cell r="DD152" t="str">
            <v>NA</v>
          </cell>
          <cell r="DE152" t="str">
            <v>NA</v>
          </cell>
          <cell r="DF152" t="str">
            <v>NA</v>
          </cell>
          <cell r="DG152" t="str">
            <v>NA</v>
          </cell>
          <cell r="DH152" t="str">
            <v>NA</v>
          </cell>
          <cell r="DI152" t="str">
            <v>NA</v>
          </cell>
          <cell r="DJ152" t="str">
            <v>NA</v>
          </cell>
          <cell r="DK152" t="str">
            <v>NA</v>
          </cell>
          <cell r="DL152" t="str">
            <v>NA</v>
          </cell>
          <cell r="DM152" t="str">
            <v>NA</v>
          </cell>
          <cell r="DN152" t="str">
            <v>NA</v>
          </cell>
        </row>
        <row r="155">
          <cell r="C155" t="str">
            <v>Fiscal 1999 by Quarter</v>
          </cell>
          <cell r="G155" t="str">
            <v>Fiscal 2000 by Quarter</v>
          </cell>
          <cell r="K155" t="str">
            <v>Fiscal 2001 by Quarter</v>
          </cell>
          <cell r="O155" t="str">
            <v>Fiscal 2002 by Quarter</v>
          </cell>
          <cell r="S155" t="str">
            <v>Fiscal 2003 by Quarter</v>
          </cell>
          <cell r="W155" t="str">
            <v>Fiscal 2004 by Quarter</v>
          </cell>
          <cell r="AA155" t="str">
            <v>Fiscal 2005 by Quarter</v>
          </cell>
          <cell r="AE155" t="str">
            <v>Fiscal 2006 by Quarter</v>
          </cell>
          <cell r="AI155" t="str">
            <v>Fiscal 2006 by Quarter</v>
          </cell>
          <cell r="AM155" t="str">
            <v>Fiscal 2007 by Quarter</v>
          </cell>
          <cell r="AQ155" t="str">
            <v>Fiscal 2008 by Quarter</v>
          </cell>
          <cell r="AU155" t="str">
            <v>Fiscal 2009 by Quarter</v>
          </cell>
          <cell r="AY155" t="str">
            <v>Fiscal 2010 by Quarter</v>
          </cell>
          <cell r="BC155" t="str">
            <v>Fiscal 2011 by Quarter</v>
          </cell>
          <cell r="BG155" t="str">
            <v>Fiscal 2012 by Quarter</v>
          </cell>
          <cell r="BK155" t="str">
            <v>Fiscal 2013 by Quarter</v>
          </cell>
          <cell r="BO155" t="str">
            <v>Fiscal 2014 by Quarter</v>
          </cell>
          <cell r="BS155" t="str">
            <v>Fiscal 2015 by Quarter</v>
          </cell>
          <cell r="BW155" t="str">
            <v>Fiscal 2016 by Quarter</v>
          </cell>
          <cell r="CA155" t="str">
            <v>Fiscal 2017 by Quarter</v>
          </cell>
          <cell r="CE155" t="str">
            <v>Fiscal 2018 by Quarter</v>
          </cell>
          <cell r="CI155" t="str">
            <v>Fiscal 2019 by Quarter</v>
          </cell>
          <cell r="CM155" t="str">
            <v>Fiscal 2020 by Quarter</v>
          </cell>
          <cell r="CQ155" t="str">
            <v>Fiscal 2021 by Quarter</v>
          </cell>
          <cell r="CU155" t="str">
            <v>Fiscal 2022 by Quarter</v>
          </cell>
          <cell r="CY155" t="str">
            <v>Fiscal 2023 by Quarter</v>
          </cell>
          <cell r="DC155" t="str">
            <v>Fiscal 2024 by Quarter</v>
          </cell>
          <cell r="DG155" t="str">
            <v>Fiscal 2025 by Quarter</v>
          </cell>
          <cell r="DK155" t="str">
            <v>Fiscal 2026 by Quarter</v>
          </cell>
          <cell r="DP155" t="str">
            <v xml:space="preserve"> Fiscal Year Ends December</v>
          </cell>
        </row>
        <row r="156">
          <cell r="C156">
            <v>35886</v>
          </cell>
          <cell r="D156">
            <v>35977</v>
          </cell>
          <cell r="E156">
            <v>36069</v>
          </cell>
          <cell r="F156">
            <v>36161</v>
          </cell>
          <cell r="G156">
            <v>36251</v>
          </cell>
          <cell r="H156">
            <v>36342</v>
          </cell>
          <cell r="I156">
            <v>36434</v>
          </cell>
          <cell r="J156">
            <v>36526</v>
          </cell>
          <cell r="K156">
            <v>36617</v>
          </cell>
          <cell r="L156">
            <v>36708</v>
          </cell>
          <cell r="M156">
            <v>36800</v>
          </cell>
          <cell r="N156">
            <v>36892</v>
          </cell>
          <cell r="O156">
            <v>36982</v>
          </cell>
          <cell r="P156">
            <v>37073</v>
          </cell>
          <cell r="Q156">
            <v>37165</v>
          </cell>
          <cell r="R156">
            <v>37257</v>
          </cell>
          <cell r="S156">
            <v>37348</v>
          </cell>
          <cell r="T156">
            <v>37439</v>
          </cell>
          <cell r="U156">
            <v>37531</v>
          </cell>
          <cell r="V156">
            <v>37623</v>
          </cell>
          <cell r="W156">
            <v>37715</v>
          </cell>
          <cell r="X156">
            <v>37806</v>
          </cell>
          <cell r="Y156">
            <v>37898</v>
          </cell>
          <cell r="Z156">
            <v>37990</v>
          </cell>
          <cell r="AA156">
            <v>38081</v>
          </cell>
          <cell r="AB156">
            <v>38172</v>
          </cell>
          <cell r="AC156">
            <v>38264</v>
          </cell>
          <cell r="AD156">
            <v>38356</v>
          </cell>
          <cell r="AE156">
            <v>38447</v>
          </cell>
          <cell r="AF156">
            <v>38538</v>
          </cell>
          <cell r="AG156">
            <v>38630</v>
          </cell>
          <cell r="AH156">
            <v>38722</v>
          </cell>
          <cell r="AI156">
            <v>38807</v>
          </cell>
          <cell r="AJ156">
            <v>38898</v>
          </cell>
          <cell r="AK156">
            <v>38990</v>
          </cell>
          <cell r="AL156">
            <v>39082</v>
          </cell>
          <cell r="AM156">
            <v>39172</v>
          </cell>
          <cell r="AN156">
            <v>39263</v>
          </cell>
          <cell r="AO156">
            <v>39355</v>
          </cell>
          <cell r="AP156">
            <v>39447</v>
          </cell>
          <cell r="AQ156">
            <v>39538</v>
          </cell>
          <cell r="AR156">
            <v>39629</v>
          </cell>
          <cell r="AS156">
            <v>39721</v>
          </cell>
          <cell r="AT156">
            <v>39813</v>
          </cell>
          <cell r="AU156">
            <v>39903</v>
          </cell>
          <cell r="AV156">
            <v>39994</v>
          </cell>
          <cell r="AW156">
            <v>40086</v>
          </cell>
          <cell r="AX156">
            <v>40178</v>
          </cell>
          <cell r="AY156">
            <v>40268</v>
          </cell>
          <cell r="AZ156">
            <v>40359</v>
          </cell>
          <cell r="BA156">
            <v>40451</v>
          </cell>
          <cell r="BB156">
            <v>40543</v>
          </cell>
          <cell r="BC156">
            <v>40633</v>
          </cell>
          <cell r="BD156">
            <v>40724</v>
          </cell>
          <cell r="BE156">
            <v>40816</v>
          </cell>
          <cell r="BF156">
            <v>40908</v>
          </cell>
          <cell r="BG156">
            <v>40999</v>
          </cell>
          <cell r="BH156">
            <v>41072</v>
          </cell>
          <cell r="BI156">
            <v>41164</v>
          </cell>
          <cell r="BJ156">
            <v>41255</v>
          </cell>
          <cell r="BK156">
            <v>41346</v>
          </cell>
          <cell r="BL156">
            <v>41438</v>
          </cell>
          <cell r="BM156">
            <v>41529</v>
          </cell>
          <cell r="BN156">
            <v>41621</v>
          </cell>
          <cell r="BO156">
            <v>41712</v>
          </cell>
          <cell r="BP156">
            <v>41804</v>
          </cell>
          <cell r="BQ156">
            <v>41894</v>
          </cell>
          <cell r="BR156">
            <v>41987</v>
          </cell>
          <cell r="BS156">
            <v>42078</v>
          </cell>
          <cell r="BT156">
            <v>42170</v>
          </cell>
          <cell r="BU156">
            <v>42262</v>
          </cell>
          <cell r="BV156">
            <v>42353</v>
          </cell>
          <cell r="BW156">
            <v>42445</v>
          </cell>
          <cell r="BX156">
            <v>42537</v>
          </cell>
          <cell r="BY156">
            <v>42629</v>
          </cell>
          <cell r="BZ156">
            <v>42720</v>
          </cell>
          <cell r="CA156">
            <v>42811</v>
          </cell>
          <cell r="CB156">
            <v>42903</v>
          </cell>
          <cell r="CC156">
            <v>42995</v>
          </cell>
          <cell r="CD156">
            <v>43086</v>
          </cell>
          <cell r="CE156">
            <v>43177</v>
          </cell>
          <cell r="CF156">
            <v>43269</v>
          </cell>
          <cell r="CG156">
            <v>43361</v>
          </cell>
          <cell r="CH156">
            <v>43452</v>
          </cell>
          <cell r="CI156">
            <v>43543</v>
          </cell>
          <cell r="CJ156">
            <v>43635</v>
          </cell>
          <cell r="CK156">
            <v>43727</v>
          </cell>
          <cell r="CL156">
            <v>43818</v>
          </cell>
          <cell r="CM156">
            <v>43910</v>
          </cell>
          <cell r="CN156">
            <v>44002</v>
          </cell>
          <cell r="CO156">
            <v>44094</v>
          </cell>
          <cell r="CP156">
            <v>44185</v>
          </cell>
          <cell r="CQ156" t="str">
            <v>Mar-21E</v>
          </cell>
          <cell r="CR156" t="str">
            <v>Jun-21E</v>
          </cell>
          <cell r="CS156" t="str">
            <v>Sep-21E</v>
          </cell>
          <cell r="CT156" t="str">
            <v>Dec-21E</v>
          </cell>
          <cell r="CU156" t="str">
            <v>Mar-22E</v>
          </cell>
          <cell r="CV156" t="str">
            <v>Jun-22E</v>
          </cell>
          <cell r="CW156" t="str">
            <v>Sep-22E</v>
          </cell>
          <cell r="CX156" t="str">
            <v>Dec-22E</v>
          </cell>
          <cell r="CY156" t="str">
            <v>Mar-23E</v>
          </cell>
          <cell r="CZ156" t="str">
            <v>Jun-23E</v>
          </cell>
          <cell r="DA156" t="str">
            <v>Sep-23E</v>
          </cell>
          <cell r="DB156" t="str">
            <v>Dec-23E</v>
          </cell>
          <cell r="DC156" t="str">
            <v>Mar-24E</v>
          </cell>
          <cell r="DD156" t="str">
            <v>Jun-24E</v>
          </cell>
          <cell r="DE156" t="str">
            <v>Sep-24E</v>
          </cell>
          <cell r="DF156" t="str">
            <v>Dec-24E</v>
          </cell>
          <cell r="DG156" t="str">
            <v>Mar-25E</v>
          </cell>
          <cell r="DH156" t="str">
            <v>Jun-25E</v>
          </cell>
          <cell r="DI156" t="str">
            <v>Sep-25E</v>
          </cell>
          <cell r="DJ156" t="str">
            <v>Dec-25E</v>
          </cell>
          <cell r="DK156" t="str">
            <v>Mar-26E</v>
          </cell>
          <cell r="DL156" t="str">
            <v>Jun-26E</v>
          </cell>
          <cell r="DM156" t="str">
            <v>Sep-26E</v>
          </cell>
          <cell r="DN156" t="str">
            <v>Dec-26E</v>
          </cell>
          <cell r="DP156">
            <v>1998</v>
          </cell>
          <cell r="DQ156">
            <v>1999</v>
          </cell>
          <cell r="DR156">
            <v>2000</v>
          </cell>
          <cell r="DS156">
            <v>2001</v>
          </cell>
          <cell r="DT156">
            <v>2002</v>
          </cell>
          <cell r="DU156">
            <v>2003</v>
          </cell>
          <cell r="DV156">
            <v>2004</v>
          </cell>
          <cell r="DW156">
            <v>2005</v>
          </cell>
          <cell r="DX156">
            <v>2006</v>
          </cell>
          <cell r="DY156">
            <v>2007</v>
          </cell>
          <cell r="DZ156">
            <v>2008</v>
          </cell>
          <cell r="EA156">
            <v>2009</v>
          </cell>
          <cell r="EB156">
            <v>2010</v>
          </cell>
          <cell r="EC156">
            <v>2011</v>
          </cell>
          <cell r="ED156">
            <v>2012</v>
          </cell>
          <cell r="EE156">
            <v>2013</v>
          </cell>
          <cell r="EF156">
            <v>2014</v>
          </cell>
          <cell r="EG156">
            <v>2015</v>
          </cell>
          <cell r="EH156">
            <v>2016</v>
          </cell>
          <cell r="EI156">
            <v>2017</v>
          </cell>
          <cell r="EJ156">
            <v>2018</v>
          </cell>
          <cell r="EK156">
            <v>2019</v>
          </cell>
          <cell r="EL156">
            <v>2020</v>
          </cell>
          <cell r="EM156" t="str">
            <v>2021E</v>
          </cell>
          <cell r="EN156" t="str">
            <v>2022E</v>
          </cell>
          <cell r="EO156" t="str">
            <v>2023E</v>
          </cell>
          <cell r="EP156" t="str">
            <v>2024E</v>
          </cell>
          <cell r="EQ156" t="str">
            <v>2025E</v>
          </cell>
          <cell r="ER156" t="str">
            <v>2026E</v>
          </cell>
        </row>
        <row r="157">
          <cell r="A157" t="str">
            <v>G2K customers</v>
          </cell>
          <cell r="AV157">
            <v>281</v>
          </cell>
          <cell r="BR157">
            <v>533</v>
          </cell>
          <cell r="BS157">
            <v>558</v>
          </cell>
          <cell r="BT157">
            <v>581</v>
          </cell>
          <cell r="BU157">
            <v>607</v>
          </cell>
          <cell r="BV157">
            <v>637</v>
          </cell>
          <cell r="BW157">
            <v>657</v>
          </cell>
          <cell r="BX157">
            <v>683</v>
          </cell>
          <cell r="BY157">
            <v>705</v>
          </cell>
          <cell r="BZ157">
            <v>734</v>
          </cell>
          <cell r="CA157">
            <v>761</v>
          </cell>
          <cell r="CB157">
            <v>790</v>
          </cell>
          <cell r="CC157">
            <v>815</v>
          </cell>
          <cell r="CD157">
            <v>838</v>
          </cell>
          <cell r="CE157">
            <v>850</v>
          </cell>
          <cell r="DP157">
            <v>0</v>
          </cell>
          <cell r="DQ157">
            <v>0</v>
          </cell>
          <cell r="DR157">
            <v>0</v>
          </cell>
          <cell r="DS157">
            <v>0</v>
          </cell>
          <cell r="DT157">
            <v>0</v>
          </cell>
          <cell r="DU157">
            <v>0</v>
          </cell>
          <cell r="DV157">
            <v>0</v>
          </cell>
          <cell r="DW157">
            <v>0</v>
          </cell>
          <cell r="DX157">
            <v>0</v>
          </cell>
          <cell r="DY157">
            <v>0</v>
          </cell>
          <cell r="DZ157">
            <v>0</v>
          </cell>
          <cell r="EA157">
            <v>0</v>
          </cell>
          <cell r="EB157">
            <v>0</v>
          </cell>
          <cell r="EC157">
            <v>0</v>
          </cell>
          <cell r="ED157">
            <v>0</v>
          </cell>
          <cell r="EE157">
            <v>0</v>
          </cell>
          <cell r="EF157">
            <v>533</v>
          </cell>
          <cell r="EG157">
            <v>637</v>
          </cell>
          <cell r="EH157">
            <v>734</v>
          </cell>
          <cell r="EI157">
            <v>838</v>
          </cell>
          <cell r="EJ157">
            <v>0</v>
          </cell>
          <cell r="EK157">
            <v>0</v>
          </cell>
          <cell r="EL157">
            <v>0</v>
          </cell>
          <cell r="EM157">
            <v>0</v>
          </cell>
          <cell r="EN157">
            <v>0</v>
          </cell>
          <cell r="EO157">
            <v>0</v>
          </cell>
          <cell r="EP157">
            <v>0</v>
          </cell>
          <cell r="EQ157">
            <v>0</v>
          </cell>
          <cell r="ER157">
            <v>0</v>
          </cell>
        </row>
        <row r="158">
          <cell r="A158" t="str">
            <v>G2K penetration</v>
          </cell>
          <cell r="BR158">
            <v>0.26650000000000001</v>
          </cell>
          <cell r="BS158">
            <v>0.27900000000000003</v>
          </cell>
          <cell r="BT158">
            <v>0.29049999999999998</v>
          </cell>
          <cell r="BU158">
            <v>0.30349999999999999</v>
          </cell>
          <cell r="BV158">
            <v>0.31850000000000001</v>
          </cell>
          <cell r="BW158">
            <v>0.32850000000000001</v>
          </cell>
          <cell r="BX158">
            <v>0.34150000000000003</v>
          </cell>
          <cell r="BY158">
            <v>0.35249999999999998</v>
          </cell>
          <cell r="BZ158">
            <v>0.36699999999999999</v>
          </cell>
          <cell r="CA158">
            <v>0.3805</v>
          </cell>
          <cell r="CB158">
            <v>0.39500000000000002</v>
          </cell>
          <cell r="CC158">
            <v>0.40749999999999997</v>
          </cell>
          <cell r="CD158">
            <v>0.41899999999999998</v>
          </cell>
          <cell r="CE158">
            <v>0.42499999999999999</v>
          </cell>
        </row>
        <row r="159">
          <cell r="A159" t="str">
            <v>% growth y-o-y</v>
          </cell>
          <cell r="V159" t="str">
            <v>NA</v>
          </cell>
          <cell r="Z159" t="str">
            <v>NA</v>
          </cell>
          <cell r="AA159" t="str">
            <v>NA</v>
          </cell>
          <cell r="AB159" t="str">
            <v>NA</v>
          </cell>
          <cell r="AC159" t="str">
            <v>NA</v>
          </cell>
          <cell r="AD159" t="str">
            <v>NA</v>
          </cell>
          <cell r="AE159" t="str">
            <v>NA</v>
          </cell>
          <cell r="AF159" t="str">
            <v>NA</v>
          </cell>
          <cell r="AG159" t="str">
            <v>NA</v>
          </cell>
          <cell r="AH159" t="str">
            <v>NA</v>
          </cell>
          <cell r="AI159" t="str">
            <v>NA</v>
          </cell>
          <cell r="AJ159" t="str">
            <v>NA</v>
          </cell>
          <cell r="AK159" t="str">
            <v>NA</v>
          </cell>
          <cell r="AL159" t="str">
            <v>NA</v>
          </cell>
          <cell r="AM159" t="str">
            <v>NA</v>
          </cell>
          <cell r="AN159" t="str">
            <v>NA</v>
          </cell>
          <cell r="AO159" t="str">
            <v>NA</v>
          </cell>
          <cell r="AP159" t="str">
            <v>NA</v>
          </cell>
          <cell r="AQ159" t="str">
            <v>NA</v>
          </cell>
          <cell r="AR159" t="str">
            <v>NA</v>
          </cell>
          <cell r="AS159" t="str">
            <v>NA</v>
          </cell>
          <cell r="AT159" t="str">
            <v>NA</v>
          </cell>
          <cell r="AU159" t="str">
            <v>NA</v>
          </cell>
          <cell r="AV159" t="str">
            <v>NA</v>
          </cell>
          <cell r="AW159" t="str">
            <v>NA</v>
          </cell>
          <cell r="AX159" t="str">
            <v>NA</v>
          </cell>
          <cell r="AY159" t="str">
            <v>NA</v>
          </cell>
          <cell r="AZ159">
            <v>-1</v>
          </cell>
          <cell r="BA159" t="str">
            <v>NA</v>
          </cell>
          <cell r="BB159" t="str">
            <v>NA</v>
          </cell>
          <cell r="BC159" t="str">
            <v>NA</v>
          </cell>
          <cell r="BD159" t="str">
            <v>NA</v>
          </cell>
          <cell r="BE159" t="str">
            <v>NA</v>
          </cell>
          <cell r="BF159" t="str">
            <v>NA</v>
          </cell>
          <cell r="BG159" t="str">
            <v>NA</v>
          </cell>
          <cell r="BH159" t="str">
            <v>NA</v>
          </cell>
          <cell r="BI159" t="str">
            <v>NA</v>
          </cell>
          <cell r="BJ159" t="str">
            <v>NA</v>
          </cell>
          <cell r="BK159" t="str">
            <v>NA</v>
          </cell>
          <cell r="BL159" t="str">
            <v>NA</v>
          </cell>
          <cell r="BM159" t="str">
            <v>NA</v>
          </cell>
          <cell r="BN159" t="str">
            <v>NA</v>
          </cell>
          <cell r="BO159" t="str">
            <v>NA</v>
          </cell>
          <cell r="BP159" t="str">
            <v>NA</v>
          </cell>
          <cell r="BQ159" t="str">
            <v>NA</v>
          </cell>
          <cell r="BR159" t="str">
            <v>NA</v>
          </cell>
          <cell r="BS159" t="str">
            <v>NA</v>
          </cell>
          <cell r="BT159" t="str">
            <v>NA</v>
          </cell>
          <cell r="BU159" t="str">
            <v>NA</v>
          </cell>
          <cell r="BV159">
            <v>0.19512195121951215</v>
          </cell>
          <cell r="BW159">
            <v>0.17741935483870974</v>
          </cell>
          <cell r="BX159">
            <v>0.17555938037865748</v>
          </cell>
          <cell r="BY159">
            <v>0.16144975288303121</v>
          </cell>
          <cell r="BZ159">
            <v>0.15227629513343799</v>
          </cell>
          <cell r="CA159">
            <v>0.15829528158295281</v>
          </cell>
          <cell r="CB159">
            <v>0.15666178623718885</v>
          </cell>
          <cell r="CC159">
            <v>0.15602836879432624</v>
          </cell>
          <cell r="CD159">
            <v>0.14168937329700282</v>
          </cell>
          <cell r="CE159">
            <v>0.11695137976346914</v>
          </cell>
          <cell r="DQ159" t="str">
            <v>NA</v>
          </cell>
          <cell r="DR159" t="str">
            <v>NA</v>
          </cell>
          <cell r="DS159" t="str">
            <v>NA</v>
          </cell>
          <cell r="DT159" t="str">
            <v>NA</v>
          </cell>
          <cell r="DU159" t="str">
            <v>NA</v>
          </cell>
          <cell r="DV159" t="str">
            <v>NA</v>
          </cell>
          <cell r="DW159" t="str">
            <v>NA</v>
          </cell>
          <cell r="DX159" t="str">
            <v>NA</v>
          </cell>
          <cell r="DY159" t="str">
            <v>NA</v>
          </cell>
          <cell r="DZ159" t="str">
            <v>NA</v>
          </cell>
          <cell r="EA159" t="str">
            <v>NA</v>
          </cell>
          <cell r="EB159" t="str">
            <v>NA</v>
          </cell>
          <cell r="EC159" t="str">
            <v>NA</v>
          </cell>
          <cell r="ED159" t="str">
            <v>NA</v>
          </cell>
          <cell r="EE159" t="str">
            <v>NA</v>
          </cell>
          <cell r="EF159" t="str">
            <v>NA</v>
          </cell>
          <cell r="EG159">
            <v>0.19512195121951215</v>
          </cell>
          <cell r="EH159">
            <v>0.15227629513343799</v>
          </cell>
          <cell r="EI159">
            <v>0.14168937329700282</v>
          </cell>
          <cell r="EJ159">
            <v>-1</v>
          </cell>
          <cell r="EK159" t="str">
            <v>NA</v>
          </cell>
          <cell r="EL159" t="str">
            <v>NA</v>
          </cell>
          <cell r="EM159" t="str">
            <v>NA</v>
          </cell>
          <cell r="EN159" t="str">
            <v>NA</v>
          </cell>
          <cell r="EO159" t="str">
            <v>NA</v>
          </cell>
          <cell r="EP159" t="str">
            <v>NA</v>
          </cell>
          <cell r="EQ159" t="str">
            <v>NA</v>
          </cell>
          <cell r="ER159" t="str">
            <v>NA</v>
          </cell>
        </row>
        <row r="160">
          <cell r="A160" t="str">
            <v>% growth seq</v>
          </cell>
          <cell r="V160" t="str">
            <v>NA</v>
          </cell>
          <cell r="Z160" t="str">
            <v>NA</v>
          </cell>
          <cell r="AA160" t="str">
            <v>NA</v>
          </cell>
          <cell r="AB160" t="str">
            <v>NA</v>
          </cell>
          <cell r="AC160" t="str">
            <v>NA</v>
          </cell>
          <cell r="AD160" t="str">
            <v>NA</v>
          </cell>
          <cell r="AE160" t="str">
            <v>NA</v>
          </cell>
          <cell r="AF160" t="str">
            <v>NA</v>
          </cell>
          <cell r="AG160" t="str">
            <v>NA</v>
          </cell>
          <cell r="AH160" t="str">
            <v>NA</v>
          </cell>
          <cell r="AI160" t="str">
            <v>NA</v>
          </cell>
          <cell r="AJ160" t="str">
            <v>NA</v>
          </cell>
          <cell r="AK160" t="str">
            <v>NA</v>
          </cell>
          <cell r="AL160" t="str">
            <v>NA</v>
          </cell>
          <cell r="AM160" t="str">
            <v>NA</v>
          </cell>
          <cell r="AN160" t="str">
            <v>NA</v>
          </cell>
          <cell r="AO160" t="str">
            <v>NA</v>
          </cell>
          <cell r="AP160" t="str">
            <v>NA</v>
          </cell>
          <cell r="AQ160" t="str">
            <v>NA</v>
          </cell>
          <cell r="AR160" t="str">
            <v>NA</v>
          </cell>
          <cell r="AS160" t="str">
            <v>NA</v>
          </cell>
          <cell r="AT160" t="str">
            <v>NA</v>
          </cell>
          <cell r="AU160" t="str">
            <v>NA</v>
          </cell>
          <cell r="AV160" t="str">
            <v>NA</v>
          </cell>
          <cell r="AW160">
            <v>-1</v>
          </cell>
          <cell r="AX160" t="str">
            <v>NA</v>
          </cell>
          <cell r="AY160" t="str">
            <v>NA</v>
          </cell>
          <cell r="AZ160" t="str">
            <v>NA</v>
          </cell>
          <cell r="BA160" t="str">
            <v>NA</v>
          </cell>
          <cell r="BB160" t="str">
            <v>NA</v>
          </cell>
          <cell r="BC160" t="str">
            <v>NA</v>
          </cell>
          <cell r="BD160" t="str">
            <v>NA</v>
          </cell>
          <cell r="BE160" t="str">
            <v>NA</v>
          </cell>
          <cell r="BF160" t="str">
            <v>NA</v>
          </cell>
          <cell r="BG160" t="str">
            <v>NA</v>
          </cell>
          <cell r="BH160" t="str">
            <v>NA</v>
          </cell>
          <cell r="BI160" t="str">
            <v>NA</v>
          </cell>
          <cell r="BJ160" t="str">
            <v>NA</v>
          </cell>
          <cell r="BK160" t="str">
            <v>NA</v>
          </cell>
          <cell r="BL160" t="str">
            <v>NA</v>
          </cell>
          <cell r="BM160" t="str">
            <v>NA</v>
          </cell>
          <cell r="BN160" t="str">
            <v>NA</v>
          </cell>
          <cell r="BO160" t="str">
            <v>NA</v>
          </cell>
          <cell r="BP160" t="str">
            <v>NA</v>
          </cell>
          <cell r="BQ160" t="str">
            <v>NA</v>
          </cell>
          <cell r="BR160" t="str">
            <v>NA</v>
          </cell>
          <cell r="BS160">
            <v>4.6904315196998114E-2</v>
          </cell>
          <cell r="BT160">
            <v>4.1218637992831431E-2</v>
          </cell>
          <cell r="BU160">
            <v>4.4750430292598953E-2</v>
          </cell>
          <cell r="BV160">
            <v>4.9423393739703503E-2</v>
          </cell>
          <cell r="BW160">
            <v>3.1397174254317095E-2</v>
          </cell>
          <cell r="BX160">
            <v>3.9573820395738313E-2</v>
          </cell>
          <cell r="BY160">
            <v>3.2210834553440648E-2</v>
          </cell>
          <cell r="BZ160">
            <v>4.1134751773049594E-2</v>
          </cell>
          <cell r="CA160">
            <v>3.6784741144414212E-2</v>
          </cell>
          <cell r="CB160">
            <v>3.8107752956636043E-2</v>
          </cell>
          <cell r="CC160">
            <v>3.1645569620253111E-2</v>
          </cell>
          <cell r="CD160">
            <v>2.8220858895705581E-2</v>
          </cell>
          <cell r="CE160">
            <v>1.4319809069212486E-2</v>
          </cell>
        </row>
        <row r="162">
          <cell r="A162" t="str">
            <v>Net G2K adds</v>
          </cell>
          <cell r="BO162">
            <v>0</v>
          </cell>
          <cell r="BP162">
            <v>0</v>
          </cell>
          <cell r="BQ162">
            <v>0</v>
          </cell>
          <cell r="BR162">
            <v>0</v>
          </cell>
          <cell r="BS162">
            <v>25</v>
          </cell>
          <cell r="BT162">
            <v>23</v>
          </cell>
          <cell r="BU162">
            <v>26</v>
          </cell>
          <cell r="BV162">
            <v>30</v>
          </cell>
          <cell r="BW162">
            <v>20</v>
          </cell>
          <cell r="BX162">
            <v>26</v>
          </cell>
          <cell r="BY162">
            <v>22</v>
          </cell>
          <cell r="BZ162">
            <v>29</v>
          </cell>
          <cell r="CA162">
            <v>27</v>
          </cell>
          <cell r="CB162">
            <v>29</v>
          </cell>
          <cell r="CC162">
            <v>25</v>
          </cell>
          <cell r="CD162">
            <v>23</v>
          </cell>
          <cell r="CE162">
            <v>12</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533</v>
          </cell>
          <cell r="EG162">
            <v>104</v>
          </cell>
          <cell r="EH162">
            <v>97</v>
          </cell>
          <cell r="EI162">
            <v>104</v>
          </cell>
          <cell r="EJ162">
            <v>-838</v>
          </cell>
          <cell r="EK162">
            <v>0</v>
          </cell>
          <cell r="EL162">
            <v>0</v>
          </cell>
          <cell r="EM162">
            <v>0</v>
          </cell>
          <cell r="EN162">
            <v>0</v>
          </cell>
          <cell r="EO162">
            <v>0</v>
          </cell>
          <cell r="EP162">
            <v>0</v>
          </cell>
          <cell r="EQ162">
            <v>0</v>
          </cell>
          <cell r="ER162">
            <v>0</v>
          </cell>
        </row>
        <row r="163">
          <cell r="A163" t="str">
            <v>% growth y-o-y</v>
          </cell>
          <cell r="V163" t="str">
            <v>NA</v>
          </cell>
          <cell r="Z163" t="str">
            <v>NA</v>
          </cell>
          <cell r="AA163" t="str">
            <v>NA</v>
          </cell>
          <cell r="AB163" t="str">
            <v>NA</v>
          </cell>
          <cell r="AC163" t="str">
            <v>NA</v>
          </cell>
          <cell r="AD163" t="str">
            <v>NA</v>
          </cell>
          <cell r="AE163" t="str">
            <v>NA</v>
          </cell>
          <cell r="AF163" t="str">
            <v>NA</v>
          </cell>
          <cell r="AG163" t="str">
            <v>NA</v>
          </cell>
          <cell r="AH163" t="str">
            <v>NA</v>
          </cell>
          <cell r="AI163" t="str">
            <v>NA</v>
          </cell>
          <cell r="AJ163" t="str">
            <v>NA</v>
          </cell>
          <cell r="AK163" t="str">
            <v>NA</v>
          </cell>
          <cell r="AL163" t="str">
            <v>NA</v>
          </cell>
          <cell r="AM163" t="str">
            <v>NA</v>
          </cell>
          <cell r="AN163" t="str">
            <v>NA</v>
          </cell>
          <cell r="AO163" t="str">
            <v>NA</v>
          </cell>
          <cell r="AP163" t="str">
            <v>NA</v>
          </cell>
          <cell r="AQ163" t="str">
            <v>NA</v>
          </cell>
          <cell r="AR163" t="str">
            <v>NA</v>
          </cell>
          <cell r="AS163" t="str">
            <v>NA</v>
          </cell>
          <cell r="AT163" t="str">
            <v>NA</v>
          </cell>
          <cell r="AU163" t="str">
            <v>NA</v>
          </cell>
          <cell r="AV163" t="str">
            <v>NA</v>
          </cell>
          <cell r="AW163" t="str">
            <v>NA</v>
          </cell>
          <cell r="AX163" t="str">
            <v>NA</v>
          </cell>
          <cell r="AY163" t="str">
            <v>NA</v>
          </cell>
          <cell r="AZ163" t="str">
            <v>NA</v>
          </cell>
          <cell r="BA163" t="str">
            <v>NA</v>
          </cell>
          <cell r="BB163" t="str">
            <v>NA</v>
          </cell>
          <cell r="BC163" t="str">
            <v>NA</v>
          </cell>
          <cell r="BD163" t="str">
            <v>NA</v>
          </cell>
          <cell r="BE163" t="str">
            <v>NA</v>
          </cell>
          <cell r="BF163" t="str">
            <v>NA</v>
          </cell>
          <cell r="BG163" t="str">
            <v>NA</v>
          </cell>
          <cell r="BH163" t="str">
            <v>NA</v>
          </cell>
          <cell r="BI163" t="str">
            <v>NA</v>
          </cell>
          <cell r="BJ163" t="str">
            <v>NA</v>
          </cell>
          <cell r="BK163" t="str">
            <v>NA</v>
          </cell>
          <cell r="BL163" t="str">
            <v>NA</v>
          </cell>
          <cell r="BM163" t="str">
            <v>NA</v>
          </cell>
          <cell r="BN163" t="str">
            <v>NA</v>
          </cell>
          <cell r="BO163" t="str">
            <v>NA</v>
          </cell>
          <cell r="BP163" t="str">
            <v>NA</v>
          </cell>
          <cell r="BQ163" t="str">
            <v>NA</v>
          </cell>
          <cell r="BR163" t="str">
            <v>NA</v>
          </cell>
          <cell r="BS163" t="str">
            <v>NA</v>
          </cell>
          <cell r="BT163" t="str">
            <v>NA</v>
          </cell>
          <cell r="BU163" t="str">
            <v>NA</v>
          </cell>
          <cell r="BV163" t="str">
            <v>NA</v>
          </cell>
          <cell r="BW163">
            <v>-0.19999999999999996</v>
          </cell>
          <cell r="BX163">
            <v>0.13043478260869557</v>
          </cell>
          <cell r="BY163">
            <v>-0.15384615384615385</v>
          </cell>
          <cell r="BZ163">
            <v>-3.3333333333333326E-2</v>
          </cell>
          <cell r="CA163">
            <v>0.35000000000000009</v>
          </cell>
          <cell r="CB163">
            <v>0.11538461538461542</v>
          </cell>
          <cell r="CC163">
            <v>0.13636363636363646</v>
          </cell>
          <cell r="CD163">
            <v>-0.2068965517241379</v>
          </cell>
          <cell r="CE163">
            <v>-0.55555555555555558</v>
          </cell>
          <cell r="DQ163" t="str">
            <v>NA</v>
          </cell>
          <cell r="DR163" t="str">
            <v>NA</v>
          </cell>
          <cell r="DS163" t="str">
            <v>NA</v>
          </cell>
          <cell r="DT163" t="str">
            <v>NA</v>
          </cell>
          <cell r="DU163" t="str">
            <v>NA</v>
          </cell>
          <cell r="DV163" t="str">
            <v>NA</v>
          </cell>
          <cell r="DW163" t="str">
            <v>NA</v>
          </cell>
          <cell r="DX163" t="str">
            <v>NA</v>
          </cell>
          <cell r="DY163" t="str">
            <v>NA</v>
          </cell>
          <cell r="DZ163" t="str">
            <v>NA</v>
          </cell>
          <cell r="EA163" t="str">
            <v>NA</v>
          </cell>
          <cell r="EB163" t="str">
            <v>NA</v>
          </cell>
          <cell r="EC163" t="str">
            <v>NA</v>
          </cell>
          <cell r="ED163" t="str">
            <v>NA</v>
          </cell>
          <cell r="EE163" t="str">
            <v>NA</v>
          </cell>
          <cell r="EF163" t="str">
            <v>NA</v>
          </cell>
          <cell r="EG163">
            <v>-0.80487804878048785</v>
          </cell>
          <cell r="EH163">
            <v>-6.7307692307692291E-2</v>
          </cell>
          <cell r="EI163">
            <v>7.2164948453608213E-2</v>
          </cell>
          <cell r="EJ163">
            <v>-9.0576923076923084</v>
          </cell>
          <cell r="EK163">
            <v>-1</v>
          </cell>
          <cell r="EL163" t="str">
            <v>NA</v>
          </cell>
          <cell r="EM163" t="str">
            <v>NA</v>
          </cell>
          <cell r="EN163" t="str">
            <v>NA</v>
          </cell>
          <cell r="EO163" t="str">
            <v>NA</v>
          </cell>
          <cell r="EP163" t="str">
            <v>NA</v>
          </cell>
          <cell r="EQ163" t="str">
            <v>NA</v>
          </cell>
          <cell r="ER163" t="str">
            <v>NA</v>
          </cell>
        </row>
        <row r="164">
          <cell r="A164" t="str">
            <v>% growth seq</v>
          </cell>
          <cell r="V164" t="str">
            <v>NA</v>
          </cell>
          <cell r="Z164" t="str">
            <v>NA</v>
          </cell>
          <cell r="AA164" t="str">
            <v>NA</v>
          </cell>
          <cell r="AB164" t="str">
            <v>NA</v>
          </cell>
          <cell r="AC164" t="str">
            <v>NA</v>
          </cell>
          <cell r="AD164" t="str">
            <v>NA</v>
          </cell>
          <cell r="AE164" t="str">
            <v>NA</v>
          </cell>
          <cell r="AF164" t="str">
            <v>NA</v>
          </cell>
          <cell r="AG164" t="str">
            <v>NA</v>
          </cell>
          <cell r="AH164" t="str">
            <v>NA</v>
          </cell>
          <cell r="AI164" t="str">
            <v>NA</v>
          </cell>
          <cell r="AJ164" t="str">
            <v>NA</v>
          </cell>
          <cell r="AK164" t="str">
            <v>NA</v>
          </cell>
          <cell r="AL164" t="str">
            <v>NA</v>
          </cell>
          <cell r="AM164" t="str">
            <v>NA</v>
          </cell>
          <cell r="AN164" t="str">
            <v>NA</v>
          </cell>
          <cell r="AO164" t="str">
            <v>NA</v>
          </cell>
          <cell r="AP164" t="str">
            <v>NA</v>
          </cell>
          <cell r="AQ164" t="str">
            <v>NA</v>
          </cell>
          <cell r="AR164" t="str">
            <v>NA</v>
          </cell>
          <cell r="AS164" t="str">
            <v>NA</v>
          </cell>
          <cell r="AT164" t="str">
            <v>NA</v>
          </cell>
          <cell r="AU164" t="str">
            <v>NA</v>
          </cell>
          <cell r="AV164" t="str">
            <v>NA</v>
          </cell>
          <cell r="AW164" t="str">
            <v>NA</v>
          </cell>
          <cell r="AX164" t="str">
            <v>NA</v>
          </cell>
          <cell r="AY164" t="str">
            <v>NA</v>
          </cell>
          <cell r="AZ164" t="str">
            <v>NA</v>
          </cell>
          <cell r="BA164" t="str">
            <v>NA</v>
          </cell>
          <cell r="BB164" t="str">
            <v>NA</v>
          </cell>
          <cell r="BC164" t="str">
            <v>NA</v>
          </cell>
          <cell r="BD164" t="str">
            <v>NA</v>
          </cell>
          <cell r="BE164" t="str">
            <v>NA</v>
          </cell>
          <cell r="BF164" t="str">
            <v>NA</v>
          </cell>
          <cell r="BG164" t="str">
            <v>NA</v>
          </cell>
          <cell r="BH164" t="str">
            <v>NA</v>
          </cell>
          <cell r="BI164" t="str">
            <v>NA</v>
          </cell>
          <cell r="BJ164" t="str">
            <v>NA</v>
          </cell>
          <cell r="BK164" t="str">
            <v>NA</v>
          </cell>
          <cell r="BL164" t="str">
            <v>NA</v>
          </cell>
          <cell r="BM164" t="str">
            <v>NA</v>
          </cell>
          <cell r="BN164" t="str">
            <v>NA</v>
          </cell>
          <cell r="BO164" t="str">
            <v>NA</v>
          </cell>
          <cell r="BP164" t="str">
            <v>NA</v>
          </cell>
          <cell r="BQ164" t="str">
            <v>NA</v>
          </cell>
          <cell r="BR164" t="str">
            <v>NA</v>
          </cell>
          <cell r="BS164" t="str">
            <v>NA</v>
          </cell>
          <cell r="BT164">
            <v>-7.999999999999996E-2</v>
          </cell>
          <cell r="BU164">
            <v>0.13043478260869557</v>
          </cell>
          <cell r="BV164">
            <v>0.15384615384615374</v>
          </cell>
          <cell r="BW164">
            <v>-0.33333333333333337</v>
          </cell>
          <cell r="BX164">
            <v>0.30000000000000004</v>
          </cell>
          <cell r="BY164">
            <v>-0.15384615384615385</v>
          </cell>
          <cell r="BZ164">
            <v>0.31818181818181812</v>
          </cell>
          <cell r="CA164">
            <v>-6.8965517241379337E-2</v>
          </cell>
          <cell r="CB164">
            <v>7.4074074074074181E-2</v>
          </cell>
          <cell r="CC164">
            <v>-0.13793103448275867</v>
          </cell>
          <cell r="CD164">
            <v>-7.999999999999996E-2</v>
          </cell>
          <cell r="CE164">
            <v>-0.47826086956521741</v>
          </cell>
        </row>
        <row r="166">
          <cell r="A166" t="str">
            <v>ACV/G2K</v>
          </cell>
          <cell r="BR166">
            <v>723</v>
          </cell>
          <cell r="BS166">
            <v>753</v>
          </cell>
          <cell r="BT166">
            <v>803</v>
          </cell>
          <cell r="BU166">
            <v>832</v>
          </cell>
          <cell r="BV166">
            <v>882</v>
          </cell>
          <cell r="BW166">
            <v>916</v>
          </cell>
          <cell r="BX166">
            <v>940</v>
          </cell>
          <cell r="BY166">
            <v>1001</v>
          </cell>
          <cell r="BZ166">
            <v>1101</v>
          </cell>
          <cell r="CA166">
            <v>1122</v>
          </cell>
          <cell r="CB166">
            <v>1149</v>
          </cell>
          <cell r="CC166">
            <v>1187</v>
          </cell>
          <cell r="CD166">
            <v>1309</v>
          </cell>
          <cell r="CE166">
            <v>1365</v>
          </cell>
          <cell r="DP166">
            <v>0</v>
          </cell>
          <cell r="DQ166">
            <v>0</v>
          </cell>
          <cell r="DR166">
            <v>0</v>
          </cell>
          <cell r="DS166">
            <v>0</v>
          </cell>
          <cell r="DT166">
            <v>0</v>
          </cell>
          <cell r="DU166">
            <v>0</v>
          </cell>
          <cell r="DV166">
            <v>0</v>
          </cell>
          <cell r="DW166">
            <v>0</v>
          </cell>
          <cell r="DX166">
            <v>0</v>
          </cell>
          <cell r="DY166">
            <v>0</v>
          </cell>
          <cell r="DZ166">
            <v>0</v>
          </cell>
          <cell r="EA166">
            <v>0</v>
          </cell>
          <cell r="EB166">
            <v>0</v>
          </cell>
          <cell r="EC166">
            <v>0</v>
          </cell>
          <cell r="ED166">
            <v>0</v>
          </cell>
          <cell r="EE166">
            <v>0</v>
          </cell>
          <cell r="EF166">
            <v>723</v>
          </cell>
          <cell r="EG166">
            <v>882</v>
          </cell>
          <cell r="EH166">
            <v>1101</v>
          </cell>
          <cell r="EI166">
            <v>1309</v>
          </cell>
          <cell r="EJ166">
            <v>0</v>
          </cell>
          <cell r="EK166">
            <v>0</v>
          </cell>
          <cell r="EL166">
            <v>0</v>
          </cell>
          <cell r="EM166">
            <v>0</v>
          </cell>
          <cell r="EN166">
            <v>0</v>
          </cell>
          <cell r="EO166">
            <v>0</v>
          </cell>
          <cell r="EP166">
            <v>0</v>
          </cell>
          <cell r="EQ166">
            <v>0</v>
          </cell>
          <cell r="ER166">
            <v>0</v>
          </cell>
        </row>
        <row r="167">
          <cell r="A167" t="str">
            <v>% growth y-o-y</v>
          </cell>
          <cell r="V167" t="str">
            <v>NA</v>
          </cell>
          <cell r="Z167" t="str">
            <v>NA</v>
          </cell>
          <cell r="AA167" t="str">
            <v>NA</v>
          </cell>
          <cell r="AB167" t="str">
            <v>NA</v>
          </cell>
          <cell r="AC167" t="str">
            <v>NA</v>
          </cell>
          <cell r="AD167" t="str">
            <v>NA</v>
          </cell>
          <cell r="AE167" t="str">
            <v>NA</v>
          </cell>
          <cell r="AF167" t="str">
            <v>NA</v>
          </cell>
          <cell r="AG167" t="str">
            <v>NA</v>
          </cell>
          <cell r="AH167" t="str">
            <v>NA</v>
          </cell>
          <cell r="AI167" t="str">
            <v>NA</v>
          </cell>
          <cell r="AJ167" t="str">
            <v>NA</v>
          </cell>
          <cell r="AK167" t="str">
            <v>NA</v>
          </cell>
          <cell r="AL167" t="str">
            <v>NA</v>
          </cell>
          <cell r="AM167" t="str">
            <v>NA</v>
          </cell>
          <cell r="AN167" t="str">
            <v>NA</v>
          </cell>
          <cell r="AO167" t="str">
            <v>NA</v>
          </cell>
          <cell r="AP167" t="str">
            <v>NA</v>
          </cell>
          <cell r="AQ167" t="str">
            <v>NA</v>
          </cell>
          <cell r="AR167" t="str">
            <v>NA</v>
          </cell>
          <cell r="AS167" t="str">
            <v>NA</v>
          </cell>
          <cell r="AT167" t="str">
            <v>NA</v>
          </cell>
          <cell r="AU167" t="str">
            <v>NA</v>
          </cell>
          <cell r="AV167" t="str">
            <v>NA</v>
          </cell>
          <cell r="AW167" t="str">
            <v>NA</v>
          </cell>
          <cell r="AX167" t="str">
            <v>NA</v>
          </cell>
          <cell r="AY167" t="str">
            <v>NA</v>
          </cell>
          <cell r="AZ167" t="str">
            <v>NA</v>
          </cell>
          <cell r="BA167" t="str">
            <v>NA</v>
          </cell>
          <cell r="BB167" t="str">
            <v>NA</v>
          </cell>
          <cell r="BC167" t="str">
            <v>NA</v>
          </cell>
          <cell r="BD167" t="str">
            <v>NA</v>
          </cell>
          <cell r="BE167" t="str">
            <v>NA</v>
          </cell>
          <cell r="BF167" t="str">
            <v>NA</v>
          </cell>
          <cell r="BG167" t="str">
            <v>NA</v>
          </cell>
          <cell r="BH167" t="str">
            <v>NA</v>
          </cell>
          <cell r="BI167" t="str">
            <v>NA</v>
          </cell>
          <cell r="BJ167" t="str">
            <v>NA</v>
          </cell>
          <cell r="BK167" t="str">
            <v>NA</v>
          </cell>
          <cell r="BL167" t="str">
            <v>NA</v>
          </cell>
          <cell r="BM167" t="str">
            <v>NA</v>
          </cell>
          <cell r="BN167" t="str">
            <v>NA</v>
          </cell>
          <cell r="BO167" t="str">
            <v>NA</v>
          </cell>
          <cell r="BP167" t="str">
            <v>NA</v>
          </cell>
          <cell r="BQ167" t="str">
            <v>NA</v>
          </cell>
          <cell r="BR167" t="str">
            <v>NA</v>
          </cell>
          <cell r="BS167" t="str">
            <v>NA</v>
          </cell>
          <cell r="BT167" t="str">
            <v>NA</v>
          </cell>
          <cell r="BU167" t="str">
            <v>NA</v>
          </cell>
          <cell r="BV167">
            <v>0.21991701244813289</v>
          </cell>
          <cell r="BW167">
            <v>0.2164674634794157</v>
          </cell>
          <cell r="BX167">
            <v>0.17061021170610213</v>
          </cell>
          <cell r="BY167">
            <v>0.203125</v>
          </cell>
          <cell r="BZ167">
            <v>0.2482993197278911</v>
          </cell>
          <cell r="CA167">
            <v>0.22489082969432306</v>
          </cell>
          <cell r="CB167">
            <v>0.2223404255319148</v>
          </cell>
          <cell r="CC167">
            <v>0.18581418581418574</v>
          </cell>
          <cell r="CD167">
            <v>0.18891916439600354</v>
          </cell>
          <cell r="CE167">
            <v>0.21657754010695185</v>
          </cell>
          <cell r="DQ167" t="str">
            <v>NA</v>
          </cell>
          <cell r="DR167" t="str">
            <v>NA</v>
          </cell>
          <cell r="DS167" t="str">
            <v>NA</v>
          </cell>
          <cell r="DT167" t="str">
            <v>NA</v>
          </cell>
          <cell r="DU167" t="str">
            <v>NA</v>
          </cell>
          <cell r="DV167" t="str">
            <v>NA</v>
          </cell>
          <cell r="DW167" t="str">
            <v>NA</v>
          </cell>
          <cell r="DX167" t="str">
            <v>NA</v>
          </cell>
          <cell r="DY167" t="str">
            <v>NA</v>
          </cell>
          <cell r="DZ167" t="str">
            <v>NA</v>
          </cell>
          <cell r="EA167" t="str">
            <v>NA</v>
          </cell>
          <cell r="EB167" t="str">
            <v>NA</v>
          </cell>
          <cell r="EC167" t="str">
            <v>NA</v>
          </cell>
          <cell r="ED167" t="str">
            <v>NA</v>
          </cell>
          <cell r="EE167" t="str">
            <v>NA</v>
          </cell>
          <cell r="EF167" t="str">
            <v>NA</v>
          </cell>
          <cell r="EG167">
            <v>0.21991701244813289</v>
          </cell>
          <cell r="EH167">
            <v>0.2482993197278911</v>
          </cell>
          <cell r="EI167">
            <v>0.18891916439600354</v>
          </cell>
          <cell r="EJ167">
            <v>-1</v>
          </cell>
          <cell r="EK167" t="str">
            <v>NA</v>
          </cell>
          <cell r="EL167" t="str">
            <v>NA</v>
          </cell>
          <cell r="EM167" t="str">
            <v>NA</v>
          </cell>
          <cell r="EN167" t="str">
            <v>NA</v>
          </cell>
          <cell r="EO167" t="str">
            <v>NA</v>
          </cell>
          <cell r="EP167" t="str">
            <v>NA</v>
          </cell>
          <cell r="EQ167" t="str">
            <v>NA</v>
          </cell>
          <cell r="ER167" t="str">
            <v>NA</v>
          </cell>
        </row>
        <row r="168">
          <cell r="A168" t="str">
            <v>% growth seq</v>
          </cell>
          <cell r="V168" t="str">
            <v>NA</v>
          </cell>
          <cell r="Z168" t="str">
            <v>NA</v>
          </cell>
          <cell r="AA168" t="str">
            <v>NA</v>
          </cell>
          <cell r="AB168" t="str">
            <v>NA</v>
          </cell>
          <cell r="AC168" t="str">
            <v>NA</v>
          </cell>
          <cell r="AD168" t="str">
            <v>NA</v>
          </cell>
          <cell r="AE168" t="str">
            <v>NA</v>
          </cell>
          <cell r="AF168" t="str">
            <v>NA</v>
          </cell>
          <cell r="AG168" t="str">
            <v>NA</v>
          </cell>
          <cell r="AH168" t="str">
            <v>NA</v>
          </cell>
          <cell r="AI168" t="str">
            <v>NA</v>
          </cell>
          <cell r="AJ168" t="str">
            <v>NA</v>
          </cell>
          <cell r="AK168" t="str">
            <v>NA</v>
          </cell>
          <cell r="AL168" t="str">
            <v>NA</v>
          </cell>
          <cell r="AM168" t="str">
            <v>NA</v>
          </cell>
          <cell r="AN168" t="str">
            <v>NA</v>
          </cell>
          <cell r="AO168" t="str">
            <v>NA</v>
          </cell>
          <cell r="AP168" t="str">
            <v>NA</v>
          </cell>
          <cell r="AQ168" t="str">
            <v>NA</v>
          </cell>
          <cell r="AR168" t="str">
            <v>NA</v>
          </cell>
          <cell r="AS168" t="str">
            <v>NA</v>
          </cell>
          <cell r="AT168" t="str">
            <v>NA</v>
          </cell>
          <cell r="AU168" t="str">
            <v>NA</v>
          </cell>
          <cell r="AV168" t="str">
            <v>NA</v>
          </cell>
          <cell r="AW168" t="str">
            <v>NA</v>
          </cell>
          <cell r="AX168" t="str">
            <v>NA</v>
          </cell>
          <cell r="AY168" t="str">
            <v>NA</v>
          </cell>
          <cell r="AZ168" t="str">
            <v>NA</v>
          </cell>
          <cell r="BA168" t="str">
            <v>NA</v>
          </cell>
          <cell r="BB168" t="str">
            <v>NA</v>
          </cell>
          <cell r="BC168" t="str">
            <v>NA</v>
          </cell>
          <cell r="BD168" t="str">
            <v>NA</v>
          </cell>
          <cell r="BE168" t="str">
            <v>NA</v>
          </cell>
          <cell r="BF168" t="str">
            <v>NA</v>
          </cell>
          <cell r="BG168" t="str">
            <v>NA</v>
          </cell>
          <cell r="BH168" t="str">
            <v>NA</v>
          </cell>
          <cell r="BI168" t="str">
            <v>NA</v>
          </cell>
          <cell r="BJ168" t="str">
            <v>NA</v>
          </cell>
          <cell r="BK168" t="str">
            <v>NA</v>
          </cell>
          <cell r="BL168" t="str">
            <v>NA</v>
          </cell>
          <cell r="BM168" t="str">
            <v>NA</v>
          </cell>
          <cell r="BN168" t="str">
            <v>NA</v>
          </cell>
          <cell r="BO168" t="str">
            <v>NA</v>
          </cell>
          <cell r="BP168" t="str">
            <v>NA</v>
          </cell>
          <cell r="BQ168" t="str">
            <v>NA</v>
          </cell>
          <cell r="BR168" t="str">
            <v>NA</v>
          </cell>
          <cell r="BS168">
            <v>4.1493775933610033E-2</v>
          </cell>
          <cell r="BT168">
            <v>6.6401062416998613E-2</v>
          </cell>
          <cell r="BU168">
            <v>3.6114570361145626E-2</v>
          </cell>
          <cell r="BV168">
            <v>6.0096153846153744E-2</v>
          </cell>
          <cell r="BW168">
            <v>3.8548752834467015E-2</v>
          </cell>
          <cell r="BX168">
            <v>2.6200873362445476E-2</v>
          </cell>
          <cell r="BY168">
            <v>6.4893617021276606E-2</v>
          </cell>
          <cell r="BZ168">
            <v>9.9900099900099848E-2</v>
          </cell>
          <cell r="CA168">
            <v>1.9073569482288777E-2</v>
          </cell>
          <cell r="CB168">
            <v>2.4064171122994749E-2</v>
          </cell>
          <cell r="CC168">
            <v>3.3072236727589299E-2</v>
          </cell>
          <cell r="CD168">
            <v>0.10278011794439768</v>
          </cell>
          <cell r="CE168">
            <v>4.2780748663101553E-2</v>
          </cell>
        </row>
        <row r="169">
          <cell r="EB169" t="str">
            <v>Subscription revenue/sales &amp; marketing headcount</v>
          </cell>
          <cell r="EC169">
            <v>458206.70661157026</v>
          </cell>
          <cell r="ED169">
            <v>584359.99999999988</v>
          </cell>
          <cell r="EE169">
            <v>568786.99186991877</v>
          </cell>
        </row>
        <row r="171">
          <cell r="C171" t="str">
            <v>Fiscal 1999 by Quarter</v>
          </cell>
          <cell r="G171" t="str">
            <v>Fiscal 2000 by Quarter</v>
          </cell>
          <cell r="K171" t="str">
            <v>Fiscal 2001 by Quarter</v>
          </cell>
          <cell r="O171" t="str">
            <v>Fiscal 2002 by Quarter</v>
          </cell>
          <cell r="S171" t="str">
            <v>Fiscal 2003 by Quarter</v>
          </cell>
          <cell r="W171" t="str">
            <v>Fiscal 2004 by Quarter</v>
          </cell>
          <cell r="AA171" t="str">
            <v>Fiscal 2005 by Quarter</v>
          </cell>
          <cell r="AE171" t="str">
            <v>Fiscal 2006 by Quarter</v>
          </cell>
          <cell r="AI171" t="str">
            <v>Fiscal 2006 by Quarter</v>
          </cell>
          <cell r="AM171" t="str">
            <v>Fiscal 2007 by Quarter</v>
          </cell>
          <cell r="AQ171" t="str">
            <v>Fiscal 2008 by Quarter</v>
          </cell>
          <cell r="AU171" t="str">
            <v>Fiscal 2009 by Quarter</v>
          </cell>
          <cell r="AY171" t="str">
            <v>Fiscal 2010 by Quarter</v>
          </cell>
          <cell r="BC171" t="str">
            <v>Fiscal 2011 by Quarter</v>
          </cell>
          <cell r="BG171" t="str">
            <v>Fiscal 2012 by Quarter</v>
          </cell>
          <cell r="BK171" t="str">
            <v>Fiscal 2013 by Quarter</v>
          </cell>
          <cell r="BO171" t="str">
            <v>Fiscal 2014 by Quarter</v>
          </cell>
          <cell r="BS171" t="str">
            <v>Fiscal 2015 by Quarter</v>
          </cell>
          <cell r="BW171" t="str">
            <v>Fiscal 2016 by Quarter</v>
          </cell>
          <cell r="CA171" t="str">
            <v>Fiscal 2017 by Quarter</v>
          </cell>
          <cell r="CE171" t="str">
            <v>Fiscal 2018 by Quarter</v>
          </cell>
          <cell r="CI171" t="str">
            <v>Fiscal 2019 by Quarter</v>
          </cell>
          <cell r="CM171" t="str">
            <v>Fiscal 2020 by Quarter</v>
          </cell>
          <cell r="CQ171" t="str">
            <v>Fiscal 2021 by Quarter</v>
          </cell>
          <cell r="CU171" t="str">
            <v>Fiscal 2022 by Quarter</v>
          </cell>
          <cell r="CY171" t="str">
            <v>Fiscal 2023 by Quarter</v>
          </cell>
          <cell r="DC171" t="str">
            <v>Fiscal 2024 by Quarter</v>
          </cell>
          <cell r="DG171" t="str">
            <v>Fiscal 2025 by Quarter</v>
          </cell>
          <cell r="DK171" t="str">
            <v>Fiscal 2026 by Quarter</v>
          </cell>
          <cell r="DP171" t="str">
            <v xml:space="preserve"> Fiscal Year Ends December</v>
          </cell>
        </row>
        <row r="172">
          <cell r="C172">
            <v>35886</v>
          </cell>
          <cell r="D172">
            <v>35977</v>
          </cell>
          <cell r="E172">
            <v>36069</v>
          </cell>
          <cell r="F172">
            <v>36161</v>
          </cell>
          <cell r="G172">
            <v>36251</v>
          </cell>
          <cell r="H172">
            <v>36342</v>
          </cell>
          <cell r="I172">
            <v>36434</v>
          </cell>
          <cell r="J172">
            <v>36526</v>
          </cell>
          <cell r="K172">
            <v>36617</v>
          </cell>
          <cell r="L172">
            <v>36708</v>
          </cell>
          <cell r="M172">
            <v>36800</v>
          </cell>
          <cell r="N172">
            <v>36892</v>
          </cell>
          <cell r="O172">
            <v>36982</v>
          </cell>
          <cell r="P172">
            <v>37073</v>
          </cell>
          <cell r="Q172">
            <v>37165</v>
          </cell>
          <cell r="R172">
            <v>37257</v>
          </cell>
          <cell r="S172">
            <v>37348</v>
          </cell>
          <cell r="T172">
            <v>37439</v>
          </cell>
          <cell r="U172">
            <v>37531</v>
          </cell>
          <cell r="V172">
            <v>37623</v>
          </cell>
          <cell r="W172">
            <v>37715</v>
          </cell>
          <cell r="X172">
            <v>37806</v>
          </cell>
          <cell r="Y172">
            <v>37898</v>
          </cell>
          <cell r="Z172">
            <v>37990</v>
          </cell>
          <cell r="AA172">
            <v>38081</v>
          </cell>
          <cell r="AB172">
            <v>38172</v>
          </cell>
          <cell r="AC172">
            <v>38264</v>
          </cell>
          <cell r="AD172">
            <v>38356</v>
          </cell>
          <cell r="AE172">
            <v>38447</v>
          </cell>
          <cell r="AF172">
            <v>38538</v>
          </cell>
          <cell r="AG172">
            <v>38630</v>
          </cell>
          <cell r="AH172">
            <v>38722</v>
          </cell>
          <cell r="AI172">
            <v>38807</v>
          </cell>
          <cell r="AJ172">
            <v>38898</v>
          </cell>
          <cell r="AK172">
            <v>38990</v>
          </cell>
          <cell r="AL172">
            <v>39082</v>
          </cell>
          <cell r="AM172">
            <v>39172</v>
          </cell>
          <cell r="AN172">
            <v>39263</v>
          </cell>
          <cell r="AO172">
            <v>39355</v>
          </cell>
          <cell r="AP172">
            <v>39447</v>
          </cell>
          <cell r="AQ172">
            <v>39538</v>
          </cell>
          <cell r="AR172">
            <v>39629</v>
          </cell>
          <cell r="AS172">
            <v>39721</v>
          </cell>
          <cell r="AT172">
            <v>39813</v>
          </cell>
          <cell r="AU172">
            <v>39903</v>
          </cell>
          <cell r="AV172">
            <v>39994</v>
          </cell>
          <cell r="AW172">
            <v>40086</v>
          </cell>
          <cell r="AX172">
            <v>40178</v>
          </cell>
          <cell r="AY172">
            <v>40268</v>
          </cell>
          <cell r="AZ172">
            <v>40359</v>
          </cell>
          <cell r="BA172">
            <v>40451</v>
          </cell>
          <cell r="BB172">
            <v>40543</v>
          </cell>
          <cell r="BC172">
            <v>40633</v>
          </cell>
          <cell r="BD172">
            <v>40724</v>
          </cell>
          <cell r="BE172">
            <v>40816</v>
          </cell>
          <cell r="BF172">
            <v>40908</v>
          </cell>
          <cell r="BG172">
            <v>40999</v>
          </cell>
          <cell r="BH172">
            <v>41072</v>
          </cell>
          <cell r="BI172">
            <v>41164</v>
          </cell>
          <cell r="BJ172">
            <v>41255</v>
          </cell>
          <cell r="BK172">
            <v>41346</v>
          </cell>
          <cell r="BL172">
            <v>41438</v>
          </cell>
          <cell r="BM172">
            <v>41529</v>
          </cell>
          <cell r="BN172">
            <v>41621</v>
          </cell>
          <cell r="BO172">
            <v>41712</v>
          </cell>
          <cell r="BP172">
            <v>41804</v>
          </cell>
          <cell r="BQ172">
            <v>41894</v>
          </cell>
          <cell r="BR172">
            <v>41987</v>
          </cell>
          <cell r="BS172">
            <v>42078</v>
          </cell>
          <cell r="BT172">
            <v>42170</v>
          </cell>
          <cell r="BU172">
            <v>42262</v>
          </cell>
          <cell r="BV172">
            <v>42353</v>
          </cell>
          <cell r="BW172">
            <v>42445</v>
          </cell>
          <cell r="BX172">
            <v>42537</v>
          </cell>
          <cell r="BY172">
            <v>42629</v>
          </cell>
          <cell r="BZ172">
            <v>42720</v>
          </cell>
          <cell r="CA172">
            <v>42811</v>
          </cell>
          <cell r="CB172">
            <v>42903</v>
          </cell>
          <cell r="CC172">
            <v>42995</v>
          </cell>
          <cell r="CD172">
            <v>43086</v>
          </cell>
          <cell r="CE172">
            <v>43177</v>
          </cell>
          <cell r="CF172">
            <v>43269</v>
          </cell>
          <cell r="CG172">
            <v>43361</v>
          </cell>
          <cell r="CH172">
            <v>43452</v>
          </cell>
          <cell r="CI172">
            <v>43543</v>
          </cell>
          <cell r="CJ172">
            <v>43635</v>
          </cell>
          <cell r="CK172">
            <v>43727</v>
          </cell>
          <cell r="CL172">
            <v>43818</v>
          </cell>
          <cell r="CM172">
            <v>43910</v>
          </cell>
          <cell r="CN172">
            <v>44002</v>
          </cell>
          <cell r="CO172">
            <v>44094</v>
          </cell>
          <cell r="CP172">
            <v>44185</v>
          </cell>
          <cell r="CQ172" t="str">
            <v>Mar-21E</v>
          </cell>
          <cell r="CR172" t="str">
            <v>Jun-21E</v>
          </cell>
          <cell r="CS172" t="str">
            <v>Sep-21E</v>
          </cell>
          <cell r="CT172" t="str">
            <v>Dec-21E</v>
          </cell>
          <cell r="CU172" t="str">
            <v>Mar-22E</v>
          </cell>
          <cell r="CV172" t="str">
            <v>Jun-22E</v>
          </cell>
          <cell r="CW172" t="str">
            <v>Sep-22E</v>
          </cell>
          <cell r="CX172" t="str">
            <v>Dec-22E</v>
          </cell>
          <cell r="CY172" t="str">
            <v>Mar-23E</v>
          </cell>
          <cell r="CZ172" t="str">
            <v>Jun-23E</v>
          </cell>
          <cell r="DA172" t="str">
            <v>Sep-23E</v>
          </cell>
          <cell r="DB172" t="str">
            <v>Dec-23E</v>
          </cell>
          <cell r="DC172" t="str">
            <v>Mar-24E</v>
          </cell>
          <cell r="DD172" t="str">
            <v>Jun-24E</v>
          </cell>
          <cell r="DE172" t="str">
            <v>Sep-24E</v>
          </cell>
          <cell r="DF172" t="str">
            <v>Dec-24E</v>
          </cell>
          <cell r="DG172" t="str">
            <v>Mar-25E</v>
          </cell>
          <cell r="DH172" t="str">
            <v>Jun-25E</v>
          </cell>
          <cell r="DI172" t="str">
            <v>Sep-25E</v>
          </cell>
          <cell r="DJ172" t="str">
            <v>Dec-25E</v>
          </cell>
          <cell r="DK172" t="str">
            <v>Mar-26E</v>
          </cell>
          <cell r="DL172" t="str">
            <v>Jun-26E</v>
          </cell>
          <cell r="DM172" t="str">
            <v>Sep-26E</v>
          </cell>
          <cell r="DN172" t="str">
            <v>Dec-26E</v>
          </cell>
          <cell r="DP172">
            <v>1998</v>
          </cell>
          <cell r="DQ172">
            <v>1999</v>
          </cell>
          <cell r="DR172">
            <v>2000</v>
          </cell>
          <cell r="DS172">
            <v>2001</v>
          </cell>
          <cell r="DT172">
            <v>2002</v>
          </cell>
          <cell r="DU172">
            <v>2003</v>
          </cell>
          <cell r="DV172">
            <v>2004</v>
          </cell>
          <cell r="DW172">
            <v>2005</v>
          </cell>
          <cell r="DX172">
            <v>2006</v>
          </cell>
          <cell r="DY172">
            <v>2007</v>
          </cell>
          <cell r="DZ172">
            <v>2008</v>
          </cell>
          <cell r="EA172">
            <v>2009</v>
          </cell>
          <cell r="EB172">
            <v>2010</v>
          </cell>
          <cell r="EC172">
            <v>2011</v>
          </cell>
          <cell r="ED172">
            <v>2012</v>
          </cell>
          <cell r="EE172">
            <v>2013</v>
          </cell>
          <cell r="EF172">
            <v>2014</v>
          </cell>
          <cell r="EG172">
            <v>2015</v>
          </cell>
          <cell r="EH172">
            <v>2016</v>
          </cell>
          <cell r="EI172">
            <v>2017</v>
          </cell>
          <cell r="EJ172">
            <v>2018</v>
          </cell>
          <cell r="EK172">
            <v>2019</v>
          </cell>
          <cell r="EL172">
            <v>2020</v>
          </cell>
          <cell r="EM172" t="str">
            <v>2021E</v>
          </cell>
          <cell r="EN172" t="str">
            <v>2022E</v>
          </cell>
          <cell r="EO172" t="str">
            <v>2023E</v>
          </cell>
          <cell r="EP172" t="str">
            <v>2024E</v>
          </cell>
          <cell r="EQ172" t="str">
            <v>2025E</v>
          </cell>
          <cell r="ER172" t="str">
            <v>2026E</v>
          </cell>
        </row>
        <row r="173">
          <cell r="A173" t="str">
            <v>RPO</v>
          </cell>
          <cell r="AV173">
            <v>281</v>
          </cell>
          <cell r="BZ173">
            <v>0</v>
          </cell>
          <cell r="CA173">
            <v>0</v>
          </cell>
          <cell r="CB173">
            <v>0</v>
          </cell>
          <cell r="CC173">
            <v>0</v>
          </cell>
          <cell r="CD173">
            <v>0</v>
          </cell>
          <cell r="CE173">
            <v>0</v>
          </cell>
          <cell r="CF173">
            <v>4</v>
          </cell>
          <cell r="CG173">
            <v>4.2</v>
          </cell>
          <cell r="CH173">
            <v>5</v>
          </cell>
          <cell r="CI173">
            <v>5</v>
          </cell>
          <cell r="CJ173">
            <v>5.4</v>
          </cell>
          <cell r="CK173">
            <v>5.5</v>
          </cell>
          <cell r="CL173">
            <v>6.6</v>
          </cell>
          <cell r="CM173">
            <v>6.6</v>
          </cell>
          <cell r="CN173">
            <v>7</v>
          </cell>
          <cell r="CO173">
            <v>7.3</v>
          </cell>
          <cell r="CP173">
            <v>8.9</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5</v>
          </cell>
          <cell r="EK173">
            <v>6.6</v>
          </cell>
          <cell r="EL173">
            <v>8.9</v>
          </cell>
          <cell r="EM173">
            <v>0</v>
          </cell>
          <cell r="EN173">
            <v>0</v>
          </cell>
          <cell r="EO173">
            <v>0</v>
          </cell>
          <cell r="EP173">
            <v>0</v>
          </cell>
          <cell r="EQ173">
            <v>0</v>
          </cell>
          <cell r="ER173">
            <v>0</v>
          </cell>
        </row>
        <row r="174">
          <cell r="A174" t="str">
            <v>% growth y-o-y</v>
          </cell>
          <cell r="V174" t="str">
            <v>NA</v>
          </cell>
          <cell r="Z174" t="str">
            <v>NA</v>
          </cell>
          <cell r="AA174" t="str">
            <v>NA</v>
          </cell>
          <cell r="AB174" t="str">
            <v>NA</v>
          </cell>
          <cell r="AC174" t="str">
            <v>NA</v>
          </cell>
          <cell r="AD174" t="str">
            <v>NA</v>
          </cell>
          <cell r="AE174" t="str">
            <v>NA</v>
          </cell>
          <cell r="AF174" t="str">
            <v>NA</v>
          </cell>
          <cell r="AG174" t="str">
            <v>NA</v>
          </cell>
          <cell r="AH174" t="str">
            <v>NA</v>
          </cell>
          <cell r="AI174" t="str">
            <v>NA</v>
          </cell>
          <cell r="AJ174" t="str">
            <v>NA</v>
          </cell>
          <cell r="AK174" t="str">
            <v>NA</v>
          </cell>
          <cell r="AL174" t="str">
            <v>NA</v>
          </cell>
          <cell r="AM174" t="str">
            <v>NA</v>
          </cell>
          <cell r="AN174" t="str">
            <v>NA</v>
          </cell>
          <cell r="AO174" t="str">
            <v>NA</v>
          </cell>
          <cell r="AP174" t="str">
            <v>NA</v>
          </cell>
          <cell r="AQ174" t="str">
            <v>NA</v>
          </cell>
          <cell r="AR174" t="str">
            <v>NA</v>
          </cell>
          <cell r="AS174" t="str">
            <v>NA</v>
          </cell>
          <cell r="AT174" t="str">
            <v>NA</v>
          </cell>
          <cell r="AU174" t="str">
            <v>NA</v>
          </cell>
          <cell r="AV174" t="str">
            <v>NA</v>
          </cell>
          <cell r="AW174" t="str">
            <v>NA</v>
          </cell>
          <cell r="AX174" t="str">
            <v>NA</v>
          </cell>
          <cell r="AY174" t="str">
            <v>NA</v>
          </cell>
          <cell r="AZ174">
            <v>-1</v>
          </cell>
          <cell r="BA174" t="str">
            <v>NA</v>
          </cell>
          <cell r="BB174" t="str">
            <v>NA</v>
          </cell>
          <cell r="BC174" t="str">
            <v>NA</v>
          </cell>
          <cell r="BD174" t="str">
            <v>NA</v>
          </cell>
          <cell r="BE174" t="str">
            <v>NA</v>
          </cell>
          <cell r="BF174" t="str">
            <v>NA</v>
          </cell>
          <cell r="BG174" t="str">
            <v>NA</v>
          </cell>
          <cell r="BH174" t="str">
            <v>NA</v>
          </cell>
          <cell r="BI174" t="str">
            <v>NA</v>
          </cell>
          <cell r="BJ174" t="str">
            <v>NA</v>
          </cell>
          <cell r="BK174" t="str">
            <v>NA</v>
          </cell>
          <cell r="BL174" t="str">
            <v>NA</v>
          </cell>
          <cell r="BM174" t="str">
            <v>NA</v>
          </cell>
          <cell r="BN174" t="str">
            <v>NA</v>
          </cell>
          <cell r="BO174" t="str">
            <v>NA</v>
          </cell>
          <cell r="BP174" t="str">
            <v>NA</v>
          </cell>
          <cell r="BQ174" t="str">
            <v>NA</v>
          </cell>
          <cell r="BR174" t="str">
            <v>NA</v>
          </cell>
          <cell r="BS174" t="str">
            <v>NA</v>
          </cell>
          <cell r="BT174" t="str">
            <v>NA</v>
          </cell>
          <cell r="BU174" t="str">
            <v>NA</v>
          </cell>
          <cell r="BV174" t="str">
            <v>NA</v>
          </cell>
          <cell r="BW174" t="str">
            <v>NA</v>
          </cell>
          <cell r="BX174" t="str">
            <v>NA</v>
          </cell>
          <cell r="BY174" t="str">
            <v>NA</v>
          </cell>
          <cell r="BZ174" t="str">
            <v>NA</v>
          </cell>
          <cell r="CA174" t="str">
            <v>NA</v>
          </cell>
          <cell r="CB174" t="str">
            <v>NA</v>
          </cell>
          <cell r="CC174" t="str">
            <v>NA</v>
          </cell>
          <cell r="CD174" t="str">
            <v>NA</v>
          </cell>
          <cell r="CE174" t="str">
            <v>NA</v>
          </cell>
          <cell r="CF174" t="str">
            <v>NA</v>
          </cell>
          <cell r="CG174" t="str">
            <v>NA</v>
          </cell>
          <cell r="CH174" t="str">
            <v>NA</v>
          </cell>
          <cell r="CI174" t="str">
            <v>NA</v>
          </cell>
          <cell r="CJ174">
            <v>0.35000000000000009</v>
          </cell>
          <cell r="CK174">
            <v>0.30952380952380953</v>
          </cell>
          <cell r="CL174">
            <v>0.31999999999999984</v>
          </cell>
          <cell r="CM174">
            <v>0.31999999999999984</v>
          </cell>
          <cell r="CN174">
            <v>0.29629629629629628</v>
          </cell>
          <cell r="CO174">
            <v>0.32727272727272716</v>
          </cell>
          <cell r="CP174">
            <v>0.34848484848484862</v>
          </cell>
          <cell r="DQ174" t="str">
            <v>NA</v>
          </cell>
          <cell r="DR174" t="str">
            <v>NA</v>
          </cell>
          <cell r="DS174" t="str">
            <v>NA</v>
          </cell>
          <cell r="DT174" t="str">
            <v>NA</v>
          </cell>
          <cell r="DU174" t="str">
            <v>NA</v>
          </cell>
          <cell r="DV174" t="str">
            <v>NA</v>
          </cell>
          <cell r="DW174" t="str">
            <v>NA</v>
          </cell>
          <cell r="DX174" t="str">
            <v>NA</v>
          </cell>
          <cell r="DY174" t="str">
            <v>NA</v>
          </cell>
          <cell r="DZ174" t="str">
            <v>NA</v>
          </cell>
          <cell r="EA174" t="str">
            <v>NA</v>
          </cell>
          <cell r="EB174" t="str">
            <v>NA</v>
          </cell>
          <cell r="EC174" t="str">
            <v>NA</v>
          </cell>
          <cell r="ED174" t="str">
            <v>NA</v>
          </cell>
          <cell r="EE174" t="str">
            <v>NA</v>
          </cell>
          <cell r="EF174" t="str">
            <v>NA</v>
          </cell>
          <cell r="EG174" t="str">
            <v>NA</v>
          </cell>
          <cell r="EH174" t="str">
            <v>NA</v>
          </cell>
          <cell r="EI174" t="str">
            <v>NA</v>
          </cell>
          <cell r="EJ174" t="str">
            <v>NA</v>
          </cell>
          <cell r="EK174">
            <v>0.31999999999999984</v>
          </cell>
          <cell r="EL174">
            <v>0.34848484848484862</v>
          </cell>
          <cell r="EM174">
            <v>-1</v>
          </cell>
          <cell r="EN174" t="str">
            <v>NA</v>
          </cell>
          <cell r="EO174" t="str">
            <v>NA</v>
          </cell>
          <cell r="EP174" t="str">
            <v>NA</v>
          </cell>
          <cell r="EQ174" t="str">
            <v>NA</v>
          </cell>
          <cell r="ER174" t="str">
            <v>NA</v>
          </cell>
        </row>
        <row r="175">
          <cell r="A175" t="str">
            <v>% growth seq</v>
          </cell>
          <cell r="V175" t="str">
            <v>NA</v>
          </cell>
          <cell r="Z175" t="str">
            <v>NA</v>
          </cell>
          <cell r="AA175" t="str">
            <v>NA</v>
          </cell>
          <cell r="AB175" t="str">
            <v>NA</v>
          </cell>
          <cell r="AC175" t="str">
            <v>NA</v>
          </cell>
          <cell r="AD175" t="str">
            <v>NA</v>
          </cell>
          <cell r="AE175" t="str">
            <v>NA</v>
          </cell>
          <cell r="AF175" t="str">
            <v>NA</v>
          </cell>
          <cell r="AG175" t="str">
            <v>NA</v>
          </cell>
          <cell r="AH175" t="str">
            <v>NA</v>
          </cell>
          <cell r="AI175" t="str">
            <v>NA</v>
          </cell>
          <cell r="AJ175" t="str">
            <v>NA</v>
          </cell>
          <cell r="AK175" t="str">
            <v>NA</v>
          </cell>
          <cell r="AL175" t="str">
            <v>NA</v>
          </cell>
          <cell r="AM175" t="str">
            <v>NA</v>
          </cell>
          <cell r="AN175" t="str">
            <v>NA</v>
          </cell>
          <cell r="AO175" t="str">
            <v>NA</v>
          </cell>
          <cell r="AP175" t="str">
            <v>NA</v>
          </cell>
          <cell r="AQ175" t="str">
            <v>NA</v>
          </cell>
          <cell r="AR175" t="str">
            <v>NA</v>
          </cell>
          <cell r="AS175" t="str">
            <v>NA</v>
          </cell>
          <cell r="AT175" t="str">
            <v>NA</v>
          </cell>
          <cell r="AU175" t="str">
            <v>NA</v>
          </cell>
          <cell r="AV175" t="str">
            <v>NA</v>
          </cell>
          <cell r="AW175">
            <v>-1</v>
          </cell>
          <cell r="AX175" t="str">
            <v>NA</v>
          </cell>
          <cell r="AY175" t="str">
            <v>NA</v>
          </cell>
          <cell r="AZ175" t="str">
            <v>NA</v>
          </cell>
          <cell r="BA175" t="str">
            <v>NA</v>
          </cell>
          <cell r="BB175" t="str">
            <v>NA</v>
          </cell>
          <cell r="BC175" t="str">
            <v>NA</v>
          </cell>
          <cell r="BD175" t="str">
            <v>NA</v>
          </cell>
          <cell r="BE175" t="str">
            <v>NA</v>
          </cell>
          <cell r="BF175" t="str">
            <v>NA</v>
          </cell>
          <cell r="BG175" t="str">
            <v>NA</v>
          </cell>
          <cell r="BH175" t="str">
            <v>NA</v>
          </cell>
          <cell r="BI175" t="str">
            <v>NA</v>
          </cell>
          <cell r="BJ175" t="str">
            <v>NA</v>
          </cell>
          <cell r="BK175" t="str">
            <v>NA</v>
          </cell>
          <cell r="BL175" t="str">
            <v>NA</v>
          </cell>
          <cell r="BM175" t="str">
            <v>NA</v>
          </cell>
          <cell r="BN175" t="str">
            <v>NA</v>
          </cell>
          <cell r="BO175" t="str">
            <v>NA</v>
          </cell>
          <cell r="BP175" t="str">
            <v>NA</v>
          </cell>
          <cell r="BQ175" t="str">
            <v>NA</v>
          </cell>
          <cell r="BR175" t="str">
            <v>NA</v>
          </cell>
          <cell r="BS175" t="str">
            <v>NA</v>
          </cell>
          <cell r="BT175" t="str">
            <v>NA</v>
          </cell>
          <cell r="BU175" t="str">
            <v>NA</v>
          </cell>
          <cell r="BV175" t="str">
            <v>NA</v>
          </cell>
          <cell r="BW175" t="str">
            <v>NA</v>
          </cell>
          <cell r="BX175" t="str">
            <v>NA</v>
          </cell>
          <cell r="BY175" t="str">
            <v>NA</v>
          </cell>
          <cell r="BZ175" t="str">
            <v>NA</v>
          </cell>
          <cell r="CA175" t="str">
            <v>NA</v>
          </cell>
          <cell r="CB175" t="str">
            <v>NA</v>
          </cell>
          <cell r="CC175" t="str">
            <v>NA</v>
          </cell>
          <cell r="CD175" t="str">
            <v>NA</v>
          </cell>
          <cell r="CE175" t="str">
            <v>NA</v>
          </cell>
          <cell r="CF175" t="str">
            <v>NA</v>
          </cell>
          <cell r="CG175">
            <v>5.0000000000000044E-2</v>
          </cell>
          <cell r="CH175">
            <v>0.19047619047619047</v>
          </cell>
          <cell r="CI175">
            <v>0</v>
          </cell>
          <cell r="CJ175">
            <v>8.0000000000000071E-2</v>
          </cell>
          <cell r="CK175">
            <v>1.8518518518518379E-2</v>
          </cell>
          <cell r="CL175">
            <v>0.19999999999999996</v>
          </cell>
          <cell r="CM175">
            <v>0</v>
          </cell>
          <cell r="CN175">
            <v>6.0606060606060552E-2</v>
          </cell>
          <cell r="CO175">
            <v>4.2857142857142927E-2</v>
          </cell>
          <cell r="CP175">
            <v>0.21917808219178081</v>
          </cell>
        </row>
        <row r="177">
          <cell r="A177" t="str">
            <v>Current RPO</v>
          </cell>
          <cell r="CF177">
            <v>2</v>
          </cell>
          <cell r="CG177">
            <v>2.1</v>
          </cell>
          <cell r="CH177">
            <v>2.5</v>
          </cell>
          <cell r="CI177">
            <v>2.5</v>
          </cell>
          <cell r="CJ177">
            <v>2.7</v>
          </cell>
          <cell r="CK177">
            <v>2.8</v>
          </cell>
          <cell r="CL177">
            <v>3.3</v>
          </cell>
          <cell r="CM177">
            <v>3.3</v>
          </cell>
          <cell r="CN177">
            <v>3.5</v>
          </cell>
          <cell r="CO177">
            <v>3.8</v>
          </cell>
          <cell r="CP177">
            <v>4.4000000000000004</v>
          </cell>
        </row>
        <row r="178">
          <cell r="A178" t="str">
            <v>% growth y-o-y</v>
          </cell>
          <cell r="BS178" t="str">
            <v>NA</v>
          </cell>
          <cell r="BT178" t="str">
            <v>NA</v>
          </cell>
          <cell r="BU178" t="str">
            <v>NA</v>
          </cell>
          <cell r="BV178" t="str">
            <v>NA</v>
          </cell>
          <cell r="BW178" t="str">
            <v>NA</v>
          </cell>
          <cell r="BX178" t="str">
            <v>NA</v>
          </cell>
          <cell r="BY178" t="str">
            <v>NA</v>
          </cell>
          <cell r="BZ178" t="str">
            <v>NA</v>
          </cell>
          <cell r="CA178" t="str">
            <v>NA</v>
          </cell>
          <cell r="CB178" t="str">
            <v>NA</v>
          </cell>
          <cell r="CC178" t="str">
            <v>NA</v>
          </cell>
          <cell r="CD178" t="str">
            <v>NA</v>
          </cell>
          <cell r="CE178" t="str">
            <v>NA</v>
          </cell>
          <cell r="CF178" t="str">
            <v>NA</v>
          </cell>
          <cell r="CG178" t="str">
            <v>NA</v>
          </cell>
          <cell r="CH178" t="str">
            <v>NA</v>
          </cell>
          <cell r="CI178" t="str">
            <v>NA</v>
          </cell>
          <cell r="CJ178">
            <v>0.35000000000000009</v>
          </cell>
          <cell r="CK178">
            <v>0.33333333333333326</v>
          </cell>
          <cell r="CL178">
            <v>0.31999999999999984</v>
          </cell>
          <cell r="CM178">
            <v>0.31999999999999984</v>
          </cell>
          <cell r="CN178">
            <v>0.29629629629629628</v>
          </cell>
          <cell r="CO178">
            <v>0.35714285714285721</v>
          </cell>
          <cell r="CP178">
            <v>0.33333333333333348</v>
          </cell>
        </row>
        <row r="179">
          <cell r="A179" t="str">
            <v>% growth seq</v>
          </cell>
          <cell r="BS179" t="str">
            <v>NA</v>
          </cell>
          <cell r="BT179" t="str">
            <v>NA</v>
          </cell>
          <cell r="BU179" t="str">
            <v>NA</v>
          </cell>
          <cell r="BV179" t="str">
            <v>NA</v>
          </cell>
          <cell r="BW179" t="str">
            <v>NA</v>
          </cell>
          <cell r="BX179" t="str">
            <v>NA</v>
          </cell>
          <cell r="BY179" t="str">
            <v>NA</v>
          </cell>
          <cell r="BZ179" t="str">
            <v>NA</v>
          </cell>
          <cell r="CA179" t="str">
            <v>NA</v>
          </cell>
          <cell r="CB179" t="str">
            <v>NA</v>
          </cell>
          <cell r="CC179" t="str">
            <v>NA</v>
          </cell>
          <cell r="CD179" t="str">
            <v>NA</v>
          </cell>
          <cell r="CE179" t="str">
            <v>NA</v>
          </cell>
          <cell r="CF179" t="str">
            <v>NA</v>
          </cell>
          <cell r="CG179">
            <v>5.0000000000000044E-2</v>
          </cell>
          <cell r="CH179">
            <v>0.19047619047619047</v>
          </cell>
          <cell r="CI179">
            <v>0</v>
          </cell>
          <cell r="CJ179">
            <v>8.0000000000000071E-2</v>
          </cell>
          <cell r="CK179">
            <v>3.7037037037036979E-2</v>
          </cell>
          <cell r="CL179">
            <v>0.1785714285714286</v>
          </cell>
          <cell r="CM179">
            <v>0</v>
          </cell>
          <cell r="CN179">
            <v>6.0606060606060552E-2</v>
          </cell>
          <cell r="CO179">
            <v>8.5714285714285632E-2</v>
          </cell>
          <cell r="CP179">
            <v>0.15789473684210531</v>
          </cell>
        </row>
        <row r="181">
          <cell r="A181" t="str">
            <v>Noncurrent RPO</v>
          </cell>
          <cell r="CF181">
            <v>2</v>
          </cell>
          <cell r="CG181">
            <v>2.1</v>
          </cell>
          <cell r="CH181">
            <v>2.5</v>
          </cell>
          <cell r="CI181">
            <v>2.5</v>
          </cell>
          <cell r="CJ181">
            <v>2.7</v>
          </cell>
          <cell r="CK181">
            <v>2.7</v>
          </cell>
          <cell r="CL181">
            <v>3.3</v>
          </cell>
          <cell r="CM181">
            <v>3.3</v>
          </cell>
          <cell r="CN181">
            <v>3.5</v>
          </cell>
          <cell r="CO181">
            <v>3.5</v>
          </cell>
          <cell r="CP181">
            <v>4.5</v>
          </cell>
        </row>
        <row r="182">
          <cell r="A182" t="str">
            <v>% growth y-o-y</v>
          </cell>
          <cell r="BS182" t="str">
            <v>NA</v>
          </cell>
          <cell r="BT182" t="str">
            <v>NA</v>
          </cell>
          <cell r="BU182" t="str">
            <v>NA</v>
          </cell>
          <cell r="BV182" t="str">
            <v>NA</v>
          </cell>
          <cell r="BW182" t="str">
            <v>NA</v>
          </cell>
          <cell r="BX182" t="str">
            <v>NA</v>
          </cell>
          <cell r="BY182" t="str">
            <v>NA</v>
          </cell>
          <cell r="BZ182" t="str">
            <v>NA</v>
          </cell>
          <cell r="CA182" t="str">
            <v>NA</v>
          </cell>
          <cell r="CB182" t="str">
            <v>NA</v>
          </cell>
          <cell r="CC182" t="str">
            <v>NA</v>
          </cell>
          <cell r="CD182" t="str">
            <v>NA</v>
          </cell>
          <cell r="CE182" t="str">
            <v>NA</v>
          </cell>
          <cell r="CF182" t="str">
            <v>NA</v>
          </cell>
          <cell r="CG182" t="str">
            <v>NA</v>
          </cell>
          <cell r="CH182" t="str">
            <v>NA</v>
          </cell>
          <cell r="CI182" t="str">
            <v>NA</v>
          </cell>
          <cell r="CJ182">
            <v>0.35000000000000009</v>
          </cell>
          <cell r="CK182">
            <v>0.28571428571428581</v>
          </cell>
          <cell r="CL182">
            <v>0.31999999999999984</v>
          </cell>
          <cell r="CM182">
            <v>0.31999999999999984</v>
          </cell>
          <cell r="CN182">
            <v>0.29629629629629628</v>
          </cell>
          <cell r="CO182">
            <v>0.29629629629629628</v>
          </cell>
          <cell r="CP182">
            <v>0.36363636363636376</v>
          </cell>
        </row>
        <row r="183">
          <cell r="A183" t="str">
            <v>% growth seq</v>
          </cell>
          <cell r="BS183" t="str">
            <v>NA</v>
          </cell>
          <cell r="BT183" t="str">
            <v>NA</v>
          </cell>
          <cell r="BU183" t="str">
            <v>NA</v>
          </cell>
          <cell r="BV183" t="str">
            <v>NA</v>
          </cell>
          <cell r="BW183" t="str">
            <v>NA</v>
          </cell>
          <cell r="BX183" t="str">
            <v>NA</v>
          </cell>
          <cell r="BY183" t="str">
            <v>NA</v>
          </cell>
          <cell r="BZ183" t="str">
            <v>NA</v>
          </cell>
          <cell r="CA183" t="str">
            <v>NA</v>
          </cell>
          <cell r="CB183" t="str">
            <v>NA</v>
          </cell>
          <cell r="CC183" t="str">
            <v>NA</v>
          </cell>
          <cell r="CD183" t="str">
            <v>NA</v>
          </cell>
          <cell r="CE183" t="str">
            <v>NA</v>
          </cell>
          <cell r="CF183" t="str">
            <v>NA</v>
          </cell>
          <cell r="CG183">
            <v>5.0000000000000044E-2</v>
          </cell>
          <cell r="CH183">
            <v>0.19047619047619047</v>
          </cell>
          <cell r="CI183">
            <v>0</v>
          </cell>
          <cell r="CJ183">
            <v>8.0000000000000071E-2</v>
          </cell>
          <cell r="CK183">
            <v>0</v>
          </cell>
          <cell r="CL183">
            <v>0.2222222222222221</v>
          </cell>
          <cell r="CM183">
            <v>0</v>
          </cell>
          <cell r="CN183">
            <v>6.0606060606060552E-2</v>
          </cell>
          <cell r="CO183">
            <v>0</v>
          </cell>
          <cell r="CP183">
            <v>0.28571428571428581</v>
          </cell>
        </row>
        <row r="187">
          <cell r="A187" t="str">
            <v>Source: Company data, Wells Fargo Securities, LLC estimates</v>
          </cell>
          <cell r="EB187" t="str">
            <v>Subscription billings/sales &amp; marketing headcount</v>
          </cell>
          <cell r="EC187">
            <v>670388.52479338844</v>
          </cell>
          <cell r="ED187">
            <v>761347.49399999983</v>
          </cell>
          <cell r="EE187">
            <v>722291.0569105692</v>
          </cell>
          <cell r="EF187">
            <v>727606.33036597411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persons/person.xml><?xml version="1.0" encoding="utf-8"?>
<personList xmlns="http://schemas.microsoft.com/office/spreadsheetml/2018/threadedcomments" xmlns:x="http://schemas.openxmlformats.org/spreadsheetml/2006/main">
  <person displayName="Unger, David" id="{B2608B9B-E642-4031-BD00-9C3399A66C4E}" userId="S::David.Unger@wellsfargo.com::e6d0cbf0-34d4-4be6-8c5f-8d9f8e7fbd04" providerId="AD"/>
  <person displayName="Poland, Richard D." id="{52599D75-2C01-44F5-A019-E3234820E152}" userId="S::Richard.D.Poland@wellsfargo.com::43660759-007b-4820-aac3-99738a811a8b" providerId="AD"/>
</personList>
</file>

<file path=xl/theme/theme1.xml><?xml version="1.0" encoding="utf-8"?>
<a:theme xmlns:a="http://schemas.openxmlformats.org/drawingml/2006/main" name="Theme1">
  <a:themeElements>
    <a:clrScheme name="WF CIB Full color Theme">
      <a:dk1>
        <a:srgbClr val="141414"/>
      </a:dk1>
      <a:lt1>
        <a:srgbClr val="FFFFFF"/>
      </a:lt1>
      <a:dk2>
        <a:srgbClr val="706D6B"/>
      </a:dk2>
      <a:lt2>
        <a:srgbClr val="E1E1E1"/>
      </a:lt2>
      <a:accent1>
        <a:srgbClr val="B42D19"/>
      </a:accent1>
      <a:accent2>
        <a:srgbClr val="87190A"/>
      </a:accent2>
      <a:accent3>
        <a:srgbClr val="640A4B"/>
      </a:accent3>
      <a:accent4>
        <a:srgbClr val="5A469B"/>
      </a:accent4>
      <a:accent5>
        <a:srgbClr val="352B6B"/>
      </a:accent5>
      <a:accent6>
        <a:srgbClr val="403C3A"/>
      </a:accent6>
      <a:hlink>
        <a:srgbClr val="5A469B"/>
      </a:hlink>
      <a:folHlink>
        <a:srgbClr val="5A469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L24" dT="2024-08-22T20:41:05.94" personId="{B2608B9B-E642-4031-BD00-9C3399A66C4E}" id="{07209DA1-25D6-4579-A6AA-DD13931521A2}">
    <text>884-904</text>
  </threadedComment>
  <threadedComment ref="BM24" dT="2024-08-22T20:39:41.73" personId="{B2608B9B-E642-4031-BD00-9C3399A66C4E}" id="{E2584E86-D391-4669-B3E8-5F6F52406581}">
    <text>7,241-7,316</text>
  </threadedComment>
  <threadedComment ref="BM24" dT="2024-11-21T22:22:49.06" personId="{B2608B9B-E642-4031-BD00-9C3399A66C4E}" id="{9A631D5F-814C-49E4-890B-9C0B4EE07326}" parentId="{E2584E86-D391-4669-B3E8-5F6F52406581}">
    <text>7,241 - 7,316</text>
  </threadedComment>
  <threadedComment ref="BN24" dT="2025-08-21T22:14:40.93" personId="{52599D75-2C01-44F5-A019-E3234820E152}" id="{56C3096B-E226-41AA-8030-59BA6823B466}">
    <text>8611 - 8688</text>
  </threadedComment>
  <threadedComment ref="BM32" dT="2024-08-22T20:39:16.29" personId="{B2608B9B-E642-4031-BD00-9C3399A66C4E}" id="{B458FDFD-7249-4342-8F2A-93F6ADE263F9}">
    <text>24%</text>
  </threadedComment>
  <threadedComment ref="AJ35" dT="2024-02-22T22:15:13.32" personId="{B2608B9B-E642-4031-BD00-9C3399A66C4E}" id="{07DD2E31-0499-4C58-9B4D-27847538C881}">
    <text>$9.31-9.38</text>
  </threadedComment>
  <threadedComment ref="AL35" dT="2024-08-22T20:40:31.42" personId="{B2608B9B-E642-4031-BD00-9C3399A66C4E}" id="{349EE313-22B9-47DB-A11A-030381A65F25}">
    <text>2.33-2.38</text>
  </threadedComment>
  <threadedComment ref="AM35" dT="2024-11-21T22:16:02.76" personId="{B2608B9B-E642-4031-BD00-9C3399A66C4E}" id="{65F9CD91-2453-49F4-973A-301FA7B6AC52}">
    <text>$2.55 - $2.61</text>
  </threadedComment>
  <threadedComment ref="AN35" dT="2024-02-22T22:15:13.32" personId="{B2608B9B-E642-4031-BD00-9C3399A66C4E}" id="{D650E271-A537-4DC3-882C-F1B08AA595BE}">
    <text>$9.31-9.38</text>
  </threadedComment>
  <threadedComment ref="BM35" dT="2024-08-22T20:39:25.76" personId="{B2608B9B-E642-4031-BD00-9C3399A66C4E}" id="{4D1ABEC0-43B1-4B41-B7EF-0EF75E074FA9}">
    <text>19.16-19.36</text>
  </threadedComment>
  <threadedComment ref="BM35" dT="2024-11-21T22:22:34.45" personId="{B2608B9B-E642-4031-BD00-9C3399A66C4E}" id="{3DE98E46-0F20-4324-9445-849692F56AEF}" parentId="{4D1ABEC0-43B1-4B41-B7EF-0EF75E074FA9}">
    <text>$19.16 - $19.36</text>
  </threadedComment>
  <threadedComment ref="BM35" dT="2025-05-22T22:43:44.45" personId="{52599D75-2C01-44F5-A019-E3234820E152}" id="{9C5A9ACB-2704-4927-A2B8-F58076ADF8D5}" parentId="{4D1ABEC0-43B1-4B41-B7EF-0EF75E074FA9}">
    <text>20.07 - 20.12</text>
  </threadedComment>
  <threadedComment ref="BM37" dT="2024-08-22T20:38:50.27" personId="{B2608B9B-E642-4031-BD00-9C3399A66C4E}" id="{3D06C662-1F57-4EC0-A752-489CA782CE34}">
    <text>284</text>
  </threadedComment>
  <threadedComment ref="AL59" dT="2024-08-22T20:41:45.95" personId="{B2608B9B-E642-4031-BD00-9C3399A66C4E}" id="{2CA26D0E-6C68-4BA3-9893-55C601338BB0}">
    <text>231-251</text>
  </threadedComment>
  <threadedComment ref="BM59" dT="2024-08-22T20:40:05.96" personId="{B2608B9B-E642-4031-BD00-9C3399A66C4E}" id="{EF5B40AB-2713-4FED-B6CE-AA5099906361}">
    <text>4,649-4,724</text>
  </threadedComment>
  <threadedComment ref="AJ62" dT="2024-02-22T22:15:39.15" personId="{B2608B9B-E642-4031-BD00-9C3399A66C4E}" id="{3FB1FF88-46FA-40B6-B682-739DD6065C9F}">
    <text>$7.77-7.84</text>
  </threadedComment>
  <threadedComment ref="AL62" dT="2024-08-22T20:41:36.11" personId="{B2608B9B-E642-4031-BD00-9C3399A66C4E}" id="{7FF49717-5F86-494B-B1DD-D78E5F4EC53D}">
    <text>0.61-0.66</text>
  </threadedComment>
  <threadedComment ref="AM62" dT="2024-11-21T22:16:14.63" personId="{B2608B9B-E642-4031-BD00-9C3399A66C4E}" id="{1E1EA1DC-9C97-458F-AAF9-AF827D3201A9}">
    <text>$0.84- $0.90</text>
  </threadedComment>
  <threadedComment ref="AN62" dT="2025-02-25T22:19:51.88" personId="{B2608B9B-E642-4031-BD00-9C3399A66C4E}" id="{F8853269-0DFB-448B-979E-C175C98211F1}">
    <text>9.22-9.28</text>
  </threadedComment>
  <threadedComment ref="BM62" dT="2024-08-22T20:39:54.33" personId="{B2608B9B-E642-4031-BD00-9C3399A66C4E}" id="{80D5B7CC-1411-4410-9EA0-86C6D7964D97}">
    <text>12.34-12.54</text>
  </threadedComment>
</ThreadedComments>
</file>

<file path=xl/threadedComments/threadedComment2.xml><?xml version="1.0" encoding="utf-8"?>
<ThreadedComments xmlns="http://schemas.microsoft.com/office/spreadsheetml/2018/threadedcomments" xmlns:x="http://schemas.openxmlformats.org/spreadsheetml/2006/main">
  <threadedComment ref="AL6" dT="2024-08-22T21:31:28.74" personId="{B2608B9B-E642-4031-BD00-9C3399A66C4E}" id="{6BF4F310-6A9C-436D-ACA7-B37328844963}">
    <text>3,114-3,145</text>
  </threadedComment>
  <threadedComment ref="AM6" dT="2024-11-21T22:00:34.04" personId="{B2608B9B-E642-4031-BD00-9C3399A66C4E}" id="{339A77DB-4604-452D-A379-42502CBE4284}">
    <text>3,812 - 3,845</text>
  </threadedComment>
  <threadedComment ref="AN6" dT="2025-02-25T21:51:14.29" personId="{B2608B9B-E642-4031-BD00-9C3399A66C4E}" id="{B98CC252-4A36-4618-B856-9879CAE2D464}">
    <text>7.55-7.6</text>
  </threadedComment>
  <threadedComment ref="AO6" dT="2025-05-22T22:23:34.06" personId="{52599D75-2C01-44F5-A019-E3234820E152}" id="{8CEDBD45-F746-4040-8B94-81C8108B7870}">
    <text>F3Q call: 3,723 - 3,760</text>
  </threadedComment>
  <threadedComment ref="BM6" dT="2024-08-22T20:34:04.78" personId="{B2608B9B-E642-4031-BD00-9C3399A66C4E}" id="{24159C4B-5DB8-4F75-9191-AA9AA55074EE}">
    <text>18,160-18,347</text>
  </threadedComment>
  <threadedComment ref="BM6" dT="2024-11-21T22:22:08.19" personId="{B2608B9B-E642-4031-BD00-9C3399A66C4E}" id="{24AC4998-E660-4500-B3BF-7F9E4F9745FA}" parentId="{24159C4B-5DB8-4F75-9191-AA9AA55074EE}">
    <text>$18,160 - $18,347</text>
  </threadedComment>
  <threadedComment ref="BM6" dT="2025-05-22T22:20:48.98" personId="{52599D75-2C01-44F5-A019-E3234820E152}" id="{07B01359-E794-4D1C-B118-261E8C72716A}" parentId="{24159C4B-5DB8-4F75-9191-AA9AA55074EE}">
    <text>F3Q call: 18,723 - 18,760</text>
  </threadedComment>
  <threadedComment ref="AJ7" dT="2024-02-22T22:10:28.25" personId="{B2608B9B-E642-4031-BD00-9C3399A66C4E}" id="{88CFDC65-2232-49C2-9604-6E0B8A78853F}">
    <text>10%-11%</text>
  </threadedComment>
  <threadedComment ref="AL7" dT="2024-08-22T21:31:37.73" personId="{B2608B9B-E642-4031-BD00-9C3399A66C4E}" id="{B5B63386-ADFD-4667-A8F9-B8D2F5811555}">
    <text>5%-6%</text>
  </threadedComment>
  <threadedComment ref="AM7" dT="2024-11-21T22:00:40.99" personId="{B2608B9B-E642-4031-BD00-9C3399A66C4E}" id="{74EFE7A1-24C0-43E4-B37F-1FF859ADA022}">
    <text>13% - 14%</text>
  </threadedComment>
  <threadedComment ref="AN7" dT="2025-02-25T21:51:21.77" personId="{B2608B9B-E642-4031-BD00-9C3399A66C4E}" id="{4BB9583D-7211-47C8-9A34-4FC206E45027}">
    <text>12-13%</text>
  </threadedComment>
  <threadedComment ref="BM7" dT="2024-08-22T20:34:14.79" personId="{B2608B9B-E642-4031-BD00-9C3399A66C4E}" id="{6D5435B6-10FB-474E-ABD3-1A2B05D8A5FC}">
    <text>12%-13%</text>
  </threadedComment>
  <threadedComment ref="BM7" dT="2024-11-21T22:22:20.37" personId="{B2608B9B-E642-4031-BD00-9C3399A66C4E}" id="{FD36D1BE-5854-4C81-B0FF-DFBA5C854505}" parentId="{6D5435B6-10FB-474E-ABD3-1A2B05D8A5FC}">
    <text>12% - 13%</text>
  </threadedComment>
  <threadedComment ref="BM24" dT="2024-08-22T20:35:38.49" personId="{B2608B9B-E642-4031-BD00-9C3399A66C4E}" id="{92562030-7E0B-4656-8FBA-C6316E4369E9}">
    <text>11,011-11,106</text>
  </threadedComment>
  <threadedComment ref="BM24" dT="2025-05-22T22:21:43.08" personId="{52599D75-2C01-44F5-A019-E3234820E152}" id="{5EB61AC7-8C3A-434E-A569-C31E4AB15164}" parentId="{92562030-7E0B-4656-8FBA-C6316E4369E9}">
    <text>F3Q call: 11,052 - 11,073</text>
  </threadedComment>
  <threadedComment ref="BN24" dT="2025-08-21T21:50:51.65" personId="{52599D75-2C01-44F5-A019-E3234820E152}" id="{5AAF7FD1-D2B0-4F5E-BB11-7089F66584BB}">
    <text>12,633 - 12,742</text>
  </threadedComment>
  <threadedComment ref="BM25" dT="2024-08-22T20:35:47.87" personId="{B2608B9B-E642-4031-BD00-9C3399A66C4E}" id="{DC971349-8CAD-4503-B1B4-25F88EC63DD2}">
    <text>16%-17%</text>
  </threadedComment>
  <threadedComment ref="BM25" dT="2024-11-21T21:56:25.75" personId="{B2608B9B-E642-4031-BD00-9C3399A66C4E}" id="{589396AA-8414-473A-8147-13EE453975F6}" parentId="{DC971349-8CAD-4503-B1B4-25F88EC63DD2}">
    <text>16% - 17%</text>
  </threadedComment>
  <threadedComment ref="AL33" dT="2024-08-22T21:32:15.44" personId="{B2608B9B-E642-4031-BD00-9C3399A66C4E}" id="{0EED218C-A220-4530-B4C1-B13C6336B1F2}">
    <text>19%</text>
  </threadedComment>
  <threadedComment ref="AO33" dT="2025-08-21T19:24:54.54" personId="{52599D75-2C01-44F5-A019-E3234820E152}" id="{6815FEE3-74E2-4769-BBEE-85A4525AC43A}">
    <text>21%</text>
  </threadedComment>
  <threadedComment ref="BM33" dT="2024-08-22T21:42:20.71" personId="{B2608B9B-E642-4031-BD00-9C3399A66C4E}" id="{1668FF42-FAA3-4247-AE06-6A28434979A3}">
    <text>20%</text>
  </threadedComment>
  <threadedComment ref="BM33" dT="2024-11-21T21:56:06.38" personId="{B2608B9B-E642-4031-BD00-9C3399A66C4E}" id="{AC3D1366-0975-47B8-9A02-68928CD7676C}" parentId="{1668FF42-FAA3-4247-AE06-6A28434979A3}">
    <text>20%</text>
  </threadedComment>
  <threadedComment ref="BL115" dT="2025-05-23T06:25:43.90" personId="{52599D75-2C01-44F5-A019-E3234820E152}" id="{16A88C10-C5B0-47F5-B117-ADA8545ABFCE}">
    <text>2024 analyst day: $1Bn +36% yy</text>
  </threadedComment>
  <threadedComment ref="BL123" dT="2025-05-23T06:12:56.44" personId="{52599D75-2C01-44F5-A019-E3234820E152}" id="{55EBA5DC-577B-41D0-88FD-2EA28E3251B1}">
    <text>$1.1Bn +23% yy from '24 a-day</text>
  </threadedComment>
  <threadedComment ref="AL136" dT="2024-08-22T21:33:25.84" personId="{B2608B9B-E642-4031-BD00-9C3399A66C4E}" id="{A57169FA-3497-45CB-8812-389AC64D3622}">
    <text>-20%</text>
  </threadedComment>
  <threadedComment ref="AM136" dT="2024-08-22T21:33:33.64" personId="{B2608B9B-E642-4031-BD00-9C3399A66C4E}" id="{8638540D-8EA7-4427-8FDF-E7FB35575DB5}">
    <text>Return to growth</text>
  </threadedComment>
  <threadedComment ref="BM136" dT="2025-05-22T21:37:48.49" personId="{52599D75-2C01-44F5-A019-E3234820E152}" id="{40AFE129-BAE1-4FD0-887A-CA45681B6662}">
    <text>MSD growth</text>
  </threadedComment>
  <threadedComment ref="BM171" dT="2024-08-22T20:36:06.35" personId="{B2608B9B-E642-4031-BD00-9C3399A66C4E}" id="{7E7959DB-7626-46F3-A8D7-B3982E9A381A}">
    <text>4,739-4,784</text>
  </threadedComment>
  <threadedComment ref="BM171" dT="2025-05-22T22:24:21.72" personId="{52599D75-2C01-44F5-A019-E3234820E152}" id="{68C1057D-56B1-4BB2-82EC-3A34E05869B9}" parentId="{7E7959DB-7626-46F3-A8D7-B3982E9A381A}">
    <text>F3Q call: 4,868 - 4,876</text>
  </threadedComment>
  <threadedComment ref="BN171" dT="2025-08-21T22:06:50.14" personId="{52599D75-2C01-44F5-A019-E3234820E152}" id="{ACFFBAD8-B536-48F2-ABD7-7D34F9792583}">
    <text>5305 - 5330 +8%</text>
  </threadedComment>
  <threadedComment ref="BM172" dT="2024-08-22T20:36:14.91" personId="{B2608B9B-E642-4031-BD00-9C3399A66C4E}" id="{38C8072E-E8A4-42DA-81CD-7B92811CF756}">
    <text>7%-8%</text>
  </threadedComment>
  <threadedComment ref="BN172" dT="2024-08-22T21:41:29.51" personId="{B2608B9B-E642-4031-BD00-9C3399A66C4E}" id="{AD346423-03FE-4771-AE20-5B9833624CDA}">
    <text>LT target to 6-10%</text>
  </threadedComment>
  <threadedComment ref="BO172" dT="2024-08-22T21:41:29.51" personId="{B2608B9B-E642-4031-BD00-9C3399A66C4E}" id="{2E22A630-B054-4BF8-BE07-7F08F73ABAD0}">
    <text>LT target to 6-10%</text>
  </threadedComment>
  <threadedComment ref="BP172" dT="2024-08-22T21:41:29.51" personId="{B2608B9B-E642-4031-BD00-9C3399A66C4E}" id="{F830BB53-8A96-434E-BAB3-5AE114CEB432}">
    <text>LT target to 6-10%</text>
  </threadedComment>
  <threadedComment ref="AM178" dT="2024-11-21T22:03:12.20" personId="{B2608B9B-E642-4031-BD00-9C3399A66C4E}" id="{5979C2FA-6AA1-4079-B2F1-CE4A8960DD70}">
    <text xml:space="preserve">The company expects a single digit decline in Consumer Group revenue due to some promotional changes in retail channels largely related to its desktop offering. </text>
  </threadedComment>
  <threadedComment ref="BM178" dT="2024-08-22T20:36:06.35" personId="{B2608B9B-E642-4031-BD00-9C3399A66C4E}" id="{D534828D-F594-42CF-896B-D216F6B5E477}">
    <text>4,739-4,784</text>
  </threadedComment>
  <threadedComment ref="BM178" dT="2025-05-22T22:24:21.72" personId="{52599D75-2C01-44F5-A019-E3234820E152}" id="{1C48908A-C9FB-4293-878F-8B54DABB79C9}" parentId="{D534828D-F594-42CF-896B-D216F6B5E477}">
    <text>F3Q call: 4,868 - 4,876</text>
  </threadedComment>
  <threadedComment ref="BM179" dT="2024-08-22T20:36:14.91" personId="{B2608B9B-E642-4031-BD00-9C3399A66C4E}" id="{AFE5D669-B67F-4E93-83A5-D0FDEB6D17FD}">
    <text>7%-8%</text>
  </threadedComment>
  <threadedComment ref="BN179" dT="2024-08-22T21:41:29.51" personId="{B2608B9B-E642-4031-BD00-9C3399A66C4E}" id="{A636A5E2-5E00-4C0E-B931-5A2CF924C45D}">
    <text>LT target to 6-10%</text>
  </threadedComment>
  <threadedComment ref="BO179" dT="2024-08-22T21:41:29.51" personId="{B2608B9B-E642-4031-BD00-9C3399A66C4E}" id="{53140970-4675-4C37-A43B-F1C917C3D2DD}">
    <text>LT target to 6-10%</text>
  </threadedComment>
  <threadedComment ref="BP179" dT="2024-08-22T21:41:29.51" personId="{B2608B9B-E642-4031-BD00-9C3399A66C4E}" id="{5DF68385-453F-4CAF-B7F2-A1356657AE9F}">
    <text>LT target to 6-10%</text>
  </threadedComment>
  <threadedComment ref="BM197" dT="2024-08-22T20:34:40.54" personId="{B2608B9B-E642-4031-BD00-9C3399A66C4E}" id="{2414FCFB-21E1-4FD7-9BE8-9A342A811638}">
    <text>1,795-1,837</text>
  </threadedComment>
  <threadedComment ref="BM197" dT="2024-11-21T21:29:36.76" personId="{B2608B9B-E642-4031-BD00-9C3399A66C4E}" id="{F27EBE19-5567-4744-9454-C34D2B74254C}" parentId="{2414FCFB-21E1-4FD7-9BE8-9A342A811638}">
    <text>1,795 - 1,837</text>
  </threadedComment>
  <threadedComment ref="BM197" dT="2025-05-22T20:32:22.74" personId="{52599D75-2C01-44F5-A019-E3234820E152}" id="{07176F5E-32B0-4B9B-AA8E-DEBDAD08B1F0}" parentId="{2414FCFB-21E1-4FD7-9BE8-9A342A811638}">
    <text>F3Q25 call: 2,185 - 2,191</text>
  </threadedComment>
  <threadedComment ref="BN197" dT="2025-08-21T21:18:23.03" personId="{52599D75-2C01-44F5-A019-E3234820E152}" id="{C6C6A562-A83E-4D22-97A1-7FE4B1464029}">
    <text>2,423-2,475</text>
  </threadedComment>
  <threadedComment ref="BM198" dT="2024-08-22T20:34:49.89" personId="{B2608B9B-E642-4031-BD00-9C3399A66C4E}" id="{D25FB385-7206-4B97-879B-154453939230}">
    <text>5%-8%</text>
  </threadedComment>
  <threadedComment ref="BM198" dT="2024-11-21T21:29:21.75" personId="{B2608B9B-E642-4031-BD00-9C3399A66C4E}" id="{9C250343-76AE-487F-98EF-DA8ABDBDCE45}" parentId="{D25FB385-7206-4B97-879B-154453939230}">
    <text>5% - 8%</text>
  </threadedComment>
  <threadedComment ref="BN198" dT="2024-08-22T21:41:16.62" personId="{B2608B9B-E642-4031-BD00-9C3399A66C4E}" id="{A21FAAE2-5872-4942-A773-751EBCC3C1FA}">
    <text>LT target to 10-15%</text>
  </threadedComment>
  <threadedComment ref="BO198" dT="2024-08-22T21:41:16.62" personId="{B2608B9B-E642-4031-BD00-9C3399A66C4E}" id="{C5F3D9B1-29FF-444C-A9B2-E63D6E278474}">
    <text>LT target to 10-15%</text>
  </threadedComment>
  <threadedComment ref="BP198" dT="2024-08-22T21:41:16.62" personId="{B2608B9B-E642-4031-BD00-9C3399A66C4E}" id="{A25966EE-3E64-4C92-898F-9A468ED0A633}">
    <text>LT target to 10-15%</text>
  </threadedComment>
  <threadedComment ref="BM207" dT="2024-08-22T20:36:32.10" personId="{B2608B9B-E642-4031-BD00-9C3399A66C4E}" id="{7EF61AD1-042C-441D-91B3-9CEE0DD81A8A}">
    <text>615-620</text>
  </threadedComment>
  <threadedComment ref="BM208" dT="2024-08-22T20:36:40.53" personId="{B2608B9B-E642-4031-BD00-9C3399A66C4E}" id="{06582D8E-DB87-4680-AAF7-FB4AFE003576}">
    <text>3%-4%</text>
  </threadedComment>
  <threadedComment ref="A272" dT="2025-08-15T16:12:51.49" personId="{52599D75-2C01-44F5-A019-E3234820E152}" id="{05293575-0710-43DE-B2B3-C58C9640F8AA}">
    <text xml:space="preserve">Includes QBO, Standalone Services (customers who subscribed to a service such as Payroll, GoPayment, and Time outside their QBO experience), and Mailchimp paying customers. </text>
  </threadedComment>
  <threadedComment ref="A283" dT="2025-08-15T14:18:06.43" personId="{52599D75-2C01-44F5-A019-E3234820E152}" id="{799BD6E1-7D52-4B1E-9F5E-E972590914EA}">
    <text xml:space="preserve">US QBO includes Advanced, Plus, Essentials, and Simple Start (excludes QuickBooks Self-Employed and Solopreneur) </text>
  </threadedComment>
  <threadedComment ref="A309" dT="2025-08-15T14:14:35.92" personId="{52599D75-2C01-44F5-A019-E3234820E152}" id="{CB4394E0-EF0B-4CA4-8C93-2C08E683D493}">
    <text>2024 analyst day “Intuit Enterprise Suite ARPC is based on early customer data and is not indicative of future results as we scale the customer base. IES ARPC is based on contracts signed. Customers with multiple entities have one IES contract but would have had separate QBO subscriptions for each entity“</text>
  </threadedComment>
  <threadedComment ref="A336" dT="2025-08-15T14:50:43.10" personId="{52599D75-2C01-44F5-A019-E3234820E152}" id="{4CA8040C-A833-4416-99AD-96318D5E56C5}">
    <text xml:space="preserve">Includes QuickBooks Term Loan, QuickBooks Line of Credit, and Marketplace loans. FY24 QuickBooks Term Loan and Line of Credit Loan financing at $2.0B, +35% YoY. </text>
  </threadedComment>
</ThreadedComments>
</file>

<file path=xl/threadedComments/threadedComment3.xml><?xml version="1.0" encoding="utf-8"?>
<ThreadedComments xmlns="http://schemas.microsoft.com/office/spreadsheetml/2018/threadedcomments" xmlns:x="http://schemas.openxmlformats.org/spreadsheetml/2006/main">
  <threadedComment ref="BM36" dT="2024-08-22T20:38:37.57" personId="{B2608B9B-E642-4031-BD00-9C3399A66C4E}" id="{775E4A4C-1150-4130-B76D-7A587291F078}">
    <text>175</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ichael.berg3@wellsfargo.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bonnie.herzog@wellsfarg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2.75"/>
  <sheetData>
    <row r="1" spans="1:2">
      <c r="B1" t="s">
        <v>20</v>
      </c>
    </row>
    <row r="2" spans="1:2"/>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200"/>
  <sheetViews>
    <sheetView showGridLines="0" workbookViewId="0"/>
  </sheetViews>
  <sheetFormatPr defaultColWidth="9.140625" defaultRowHeight="12.75"/>
  <cols>
    <col min="1" max="1" width="2.85546875" style="113" customWidth="1"/>
    <col min="2" max="2" width="0.5703125" style="113" customWidth="1"/>
    <col min="3" max="3" width="29.140625" style="113" customWidth="1"/>
    <col min="4" max="4" width="2.85546875" style="113" customWidth="1"/>
    <col min="5" max="5" width="29.140625" style="113" customWidth="1"/>
    <col min="6" max="6" width="2.85546875" style="113" customWidth="1"/>
    <col min="7" max="7" width="29.140625" style="113" customWidth="1"/>
    <col min="8" max="8" width="2.85546875" style="113" customWidth="1"/>
    <col min="9" max="9" width="29.140625" style="113" customWidth="1"/>
    <col min="10" max="10" width="2.85546875" style="113" customWidth="1"/>
    <col min="11" max="11" width="29.140625" style="113" customWidth="1"/>
    <col min="12" max="12" width="2.85546875" style="113" customWidth="1"/>
    <col min="13" max="59" width="9.140625" style="114"/>
    <col min="60" max="62" width="9.140625" style="1458"/>
    <col min="63" max="16384" width="9.140625" style="114"/>
  </cols>
  <sheetData>
    <row r="1" spans="2:62" s="113" customFormat="1">
      <c r="BH1" s="1457"/>
      <c r="BI1" s="1457"/>
      <c r="BJ1" s="1457"/>
    </row>
    <row r="2" spans="2:62" s="113" customFormat="1">
      <c r="BH2" s="1457"/>
      <c r="BI2" s="1457"/>
      <c r="BJ2" s="1457"/>
    </row>
    <row r="3" spans="2:62" s="113" customFormat="1" ht="3" customHeight="1">
      <c r="BH3" s="1457"/>
      <c r="BI3" s="1457"/>
      <c r="BJ3" s="1457"/>
    </row>
    <row r="5" spans="2:62" ht="30">
      <c r="B5" s="255"/>
      <c r="C5" s="256" t="s">
        <v>189</v>
      </c>
      <c r="E5" s="115"/>
      <c r="G5" s="115"/>
      <c r="I5" s="115"/>
      <c r="K5" s="115"/>
    </row>
    <row r="6" spans="2:62" ht="49.15" customHeight="1">
      <c r="C6" s="257"/>
      <c r="E6" s="116"/>
      <c r="G6" s="116"/>
      <c r="I6" s="116"/>
      <c r="K6" s="116"/>
    </row>
    <row r="7" spans="2:62" ht="16.5">
      <c r="C7" s="258" t="s">
        <v>188</v>
      </c>
      <c r="E7" s="117"/>
      <c r="G7" s="117"/>
      <c r="I7" s="117"/>
      <c r="K7" s="117"/>
    </row>
    <row r="8" spans="2:62" ht="16.5">
      <c r="C8" s="259" t="s">
        <v>190</v>
      </c>
      <c r="E8" s="116"/>
      <c r="G8" s="116"/>
      <c r="I8" s="116"/>
      <c r="K8" s="116"/>
    </row>
    <row r="9" spans="2:62" ht="16.5">
      <c r="C9" s="260">
        <v>46090</v>
      </c>
      <c r="E9" s="116"/>
      <c r="G9" s="116"/>
      <c r="I9" s="116"/>
      <c r="K9" s="116"/>
    </row>
    <row r="10" spans="2:62" s="113" customFormat="1" ht="3" customHeight="1">
      <c r="BH10" s="1457"/>
      <c r="BI10" s="1457"/>
      <c r="BJ10" s="1457"/>
    </row>
    <row r="11" spans="2:62" s="113" customFormat="1">
      <c r="AO11" s="1457"/>
      <c r="AP11" s="1457"/>
      <c r="AQ11" s="1457"/>
      <c r="AR11" s="1457"/>
      <c r="AS11" s="1457"/>
      <c r="AT11" s="1457"/>
      <c r="AU11" s="1457"/>
      <c r="AV11" s="1457"/>
      <c r="AW11" s="1457"/>
      <c r="AX11" s="1457"/>
      <c r="AY11" s="1457"/>
      <c r="AZ11" s="1457"/>
      <c r="BA11" s="1457"/>
      <c r="BB11" s="1457"/>
      <c r="BC11" s="1457"/>
      <c r="BD11" s="1457"/>
      <c r="BE11" s="1457"/>
      <c r="BF11" s="1457"/>
      <c r="BH11" s="1457"/>
      <c r="BI11" s="1457"/>
      <c r="BJ11" s="1457"/>
    </row>
    <row r="12" spans="2:62" s="113" customFormat="1" ht="33">
      <c r="C12" s="261" t="s">
        <v>230</v>
      </c>
      <c r="E12" s="118"/>
      <c r="G12" s="118"/>
      <c r="I12" s="118"/>
      <c r="K12" s="118"/>
      <c r="AO12" s="1457"/>
      <c r="AP12" s="1457"/>
      <c r="AQ12" s="1457"/>
      <c r="AR12" s="1457"/>
      <c r="AS12" s="1457"/>
      <c r="AT12" s="1457"/>
      <c r="AU12" s="1457"/>
      <c r="AV12" s="1457"/>
      <c r="AW12" s="1457"/>
      <c r="AX12" s="1457"/>
      <c r="AY12" s="1457"/>
      <c r="AZ12" s="1457"/>
      <c r="BA12" s="1457"/>
      <c r="BB12" s="1457"/>
      <c r="BC12" s="1457"/>
      <c r="BD12" s="1457"/>
      <c r="BE12" s="1457"/>
      <c r="BF12" s="1457"/>
      <c r="BH12" s="1457"/>
      <c r="BI12" s="1457"/>
      <c r="BJ12" s="1457"/>
    </row>
    <row r="13" spans="2:62" s="113" customFormat="1">
      <c r="C13" s="119"/>
      <c r="E13" s="119"/>
      <c r="G13" s="119"/>
      <c r="I13" s="119"/>
      <c r="K13" s="119"/>
      <c r="BH13" s="1457"/>
      <c r="BI13" s="1457"/>
      <c r="BJ13" s="1457"/>
    </row>
    <row r="14" spans="2:62" s="113" customFormat="1">
      <c r="BH14" s="1457"/>
      <c r="BI14" s="1457"/>
      <c r="BJ14" s="1457"/>
    </row>
    <row r="15" spans="2:62" ht="3" customHeight="1">
      <c r="B15" s="262"/>
      <c r="C15" s="262"/>
      <c r="D15" s="262"/>
      <c r="E15" s="262"/>
      <c r="F15" s="262"/>
      <c r="G15" s="262"/>
      <c r="H15" s="262"/>
      <c r="I15" s="262"/>
      <c r="J15" s="262"/>
      <c r="K15" s="262"/>
      <c r="L15" s="262"/>
    </row>
    <row r="16" spans="2:62" s="113" customFormat="1">
      <c r="BH16" s="1457"/>
      <c r="BI16" s="1457"/>
      <c r="BJ16" s="1457"/>
    </row>
    <row r="17" spans="3:62" s="113" customFormat="1" ht="16.5">
      <c r="C17" s="263" t="s">
        <v>406</v>
      </c>
      <c r="E17" s="120"/>
      <c r="G17" s="120"/>
      <c r="I17" s="120"/>
      <c r="K17" s="120"/>
      <c r="BH17" s="1457"/>
      <c r="BI17" s="1457"/>
      <c r="BJ17" s="1457"/>
    </row>
    <row r="18" spans="3:62" s="113" customFormat="1">
      <c r="BH18" s="1457"/>
      <c r="BI18" s="1457"/>
      <c r="BJ18" s="1457"/>
    </row>
    <row r="19" spans="3:62" s="113" customFormat="1" ht="14.25">
      <c r="C19" s="264" t="s">
        <v>44</v>
      </c>
      <c r="BH19" s="1457"/>
      <c r="BI19" s="1457"/>
      <c r="BJ19" s="1457"/>
    </row>
    <row r="20" spans="3:62" s="113" customFormat="1">
      <c r="C20" s="265" t="s">
        <v>191</v>
      </c>
      <c r="BH20" s="1457"/>
      <c r="BI20" s="1457"/>
      <c r="BJ20" s="1457"/>
    </row>
    <row r="21" spans="3:62" s="113" customFormat="1">
      <c r="C21" s="266" t="s">
        <v>192</v>
      </c>
      <c r="BH21" s="1457"/>
      <c r="BI21" s="1457"/>
      <c r="BJ21" s="1457"/>
    </row>
    <row r="22" spans="3:62" s="113" customFormat="1">
      <c r="C22" s="267" t="s">
        <v>29</v>
      </c>
      <c r="BH22" s="1457"/>
      <c r="BI22" s="1457"/>
      <c r="BJ22" s="1457"/>
    </row>
    <row r="23" spans="3:62" s="113" customFormat="1">
      <c r="BH23" s="1457"/>
      <c r="BI23" s="1457"/>
      <c r="BJ23" s="1457"/>
    </row>
    <row r="24" spans="3:62" s="113" customFormat="1" ht="14.25">
      <c r="C24" s="264" t="s">
        <v>185</v>
      </c>
      <c r="D24" s="268"/>
      <c r="E24" s="264" t="s">
        <v>686</v>
      </c>
      <c r="F24" s="268"/>
      <c r="G24" s="264" t="s">
        <v>687</v>
      </c>
      <c r="H24" s="268"/>
      <c r="I24" s="264" t="s">
        <v>688</v>
      </c>
      <c r="BH24" s="1457"/>
      <c r="BI24" s="1457"/>
      <c r="BJ24" s="1457"/>
    </row>
    <row r="25" spans="3:62" s="113" customFormat="1">
      <c r="C25" s="265" t="s">
        <v>193</v>
      </c>
      <c r="D25" s="268"/>
      <c r="E25" s="265" t="s">
        <v>193</v>
      </c>
      <c r="F25" s="268"/>
      <c r="G25" s="265" t="s">
        <v>193</v>
      </c>
      <c r="H25" s="268"/>
      <c r="I25" s="265" t="s">
        <v>193</v>
      </c>
      <c r="BH25" s="1457"/>
      <c r="BI25" s="1457"/>
      <c r="BJ25" s="1457"/>
    </row>
    <row r="26" spans="3:62" s="113" customFormat="1">
      <c r="C26" s="266" t="s">
        <v>186</v>
      </c>
      <c r="D26" s="268"/>
      <c r="E26" s="266" t="s">
        <v>689</v>
      </c>
      <c r="F26" s="268"/>
      <c r="G26" s="266" t="s">
        <v>690</v>
      </c>
      <c r="H26" s="268"/>
      <c r="I26" s="266" t="s">
        <v>691</v>
      </c>
      <c r="BH26" s="1457"/>
      <c r="BI26" s="1457"/>
      <c r="BJ26" s="1457"/>
    </row>
    <row r="27" spans="3:62" s="113" customFormat="1">
      <c r="C27" s="267" t="s">
        <v>187</v>
      </c>
      <c r="D27" s="269"/>
      <c r="E27" s="267" t="s">
        <v>692</v>
      </c>
      <c r="F27" s="267"/>
      <c r="G27" s="1907" t="s">
        <v>693</v>
      </c>
      <c r="H27" s="267"/>
      <c r="I27" s="1907" t="s">
        <v>694</v>
      </c>
      <c r="BH27" s="1457"/>
      <c r="BI27" s="1457"/>
      <c r="BJ27" s="1457"/>
    </row>
    <row r="28" spans="3:62" s="113" customFormat="1">
      <c r="F28" s="269"/>
      <c r="H28" s="269"/>
      <c r="I28" s="267"/>
      <c r="BH28" s="1457"/>
      <c r="BI28" s="1457"/>
      <c r="BJ28" s="1457"/>
    </row>
    <row r="29" spans="3:62" s="113" customFormat="1">
      <c r="C29" s="270"/>
      <c r="D29" s="269"/>
      <c r="E29" s="270"/>
      <c r="F29" s="269"/>
      <c r="G29" s="270"/>
      <c r="H29" s="269"/>
      <c r="I29" s="269"/>
      <c r="BH29" s="1457"/>
      <c r="BI29" s="1457"/>
      <c r="BJ29" s="1457"/>
    </row>
    <row r="30" spans="3:62" s="113" customFormat="1">
      <c r="C30" s="271"/>
      <c r="D30" s="112"/>
      <c r="E30" s="271"/>
      <c r="F30" s="112"/>
      <c r="G30" s="271"/>
      <c r="H30" s="112"/>
      <c r="I30" s="112"/>
      <c r="BH30" s="1457"/>
      <c r="BI30" s="1457"/>
      <c r="BJ30" s="1457"/>
    </row>
    <row r="31" spans="3:62" s="113" customFormat="1">
      <c r="D31" s="112"/>
      <c r="E31" s="271"/>
      <c r="F31" s="112"/>
      <c r="G31" s="271"/>
      <c r="H31" s="112"/>
      <c r="I31" s="112"/>
      <c r="BH31" s="1457"/>
      <c r="BI31" s="1457"/>
      <c r="BJ31" s="1457"/>
    </row>
    <row r="32" spans="3:62" s="113" customFormat="1" ht="13.5">
      <c r="C32" s="272" t="s">
        <v>229</v>
      </c>
      <c r="D32" s="112"/>
      <c r="E32" s="271"/>
      <c r="F32" s="112"/>
      <c r="G32" s="271"/>
      <c r="H32" s="112"/>
      <c r="I32" s="112"/>
      <c r="BH32" s="1457"/>
      <c r="BI32" s="1457"/>
      <c r="BJ32" s="1457"/>
    </row>
    <row r="33" spans="3:62" s="113" customFormat="1">
      <c r="C33" s="271"/>
      <c r="D33" s="112"/>
      <c r="E33" s="271"/>
      <c r="F33" s="112"/>
      <c r="G33" s="271"/>
      <c r="H33" s="112"/>
      <c r="I33" s="112"/>
      <c r="BH33" s="1457"/>
      <c r="BI33" s="1457"/>
      <c r="BJ33" s="1457"/>
    </row>
    <row r="34" spans="3:62" s="113" customFormat="1">
      <c r="C34" s="271"/>
      <c r="D34" s="112"/>
      <c r="E34" s="271"/>
      <c r="F34" s="112"/>
      <c r="G34" s="271"/>
      <c r="H34" s="112"/>
      <c r="I34" s="112"/>
      <c r="BH34" s="1457"/>
      <c r="BI34" s="1457"/>
      <c r="BJ34" s="1457"/>
    </row>
    <row r="35" spans="3:62" s="113" customFormat="1">
      <c r="C35" s="271"/>
      <c r="D35" s="112"/>
      <c r="E35" s="271"/>
      <c r="F35" s="112"/>
      <c r="G35" s="271"/>
      <c r="H35" s="112"/>
      <c r="I35" s="112"/>
      <c r="BH35" s="1457"/>
      <c r="BI35" s="1457"/>
      <c r="BJ35" s="1457"/>
    </row>
    <row r="36" spans="3:62" s="113" customFormat="1">
      <c r="C36" s="271"/>
      <c r="D36" s="112"/>
      <c r="E36" s="271"/>
      <c r="F36" s="112"/>
      <c r="G36" s="271"/>
      <c r="H36" s="112"/>
      <c r="I36" s="112"/>
      <c r="BH36" s="1457"/>
      <c r="BI36" s="1457"/>
      <c r="BJ36" s="1457"/>
    </row>
    <row r="37" spans="3:62" s="113" customFormat="1">
      <c r="D37" s="273"/>
      <c r="E37" s="274"/>
      <c r="F37" s="112"/>
      <c r="G37" s="271"/>
      <c r="H37" s="112"/>
      <c r="I37" s="112"/>
      <c r="BH37" s="1457"/>
      <c r="BI37" s="1457"/>
      <c r="BJ37" s="1457"/>
    </row>
    <row r="38" spans="3:62" s="113" customFormat="1">
      <c r="C38" s="271"/>
      <c r="D38" s="112"/>
      <c r="E38" s="271"/>
      <c r="F38" s="112"/>
      <c r="G38" s="271"/>
      <c r="H38" s="112"/>
      <c r="I38" s="112"/>
      <c r="BH38" s="1457"/>
      <c r="BI38" s="1457"/>
      <c r="BJ38" s="1457"/>
    </row>
    <row r="39" spans="3:62" s="113" customFormat="1">
      <c r="C39" s="271"/>
      <c r="D39" s="112"/>
      <c r="E39" s="271"/>
      <c r="F39" s="112"/>
      <c r="G39" s="271"/>
      <c r="H39" s="112"/>
      <c r="I39" s="112"/>
      <c r="BH39" s="1457"/>
      <c r="BI39" s="1457"/>
      <c r="BJ39" s="1457"/>
    </row>
    <row r="40" spans="3:62" s="113" customFormat="1">
      <c r="C40" s="271"/>
      <c r="D40" s="112"/>
      <c r="E40" s="271"/>
      <c r="F40" s="112"/>
      <c r="G40" s="271"/>
      <c r="H40" s="112"/>
      <c r="I40" s="112"/>
      <c r="BH40" s="1457"/>
      <c r="BI40" s="1457"/>
      <c r="BJ40" s="1457"/>
    </row>
    <row r="41" spans="3:62" s="113" customFormat="1">
      <c r="C41" s="271"/>
      <c r="D41" s="112"/>
      <c r="E41" s="271"/>
      <c r="F41" s="112"/>
      <c r="G41" s="271"/>
      <c r="H41" s="112"/>
      <c r="I41" s="112"/>
      <c r="BH41" s="1457"/>
      <c r="BI41" s="1457"/>
      <c r="BJ41" s="1457"/>
    </row>
    <row r="42" spans="3:62" s="113" customFormat="1">
      <c r="C42" s="271"/>
      <c r="D42" s="112"/>
      <c r="E42" s="271"/>
      <c r="F42" s="112"/>
      <c r="G42" s="271"/>
      <c r="H42" s="112"/>
      <c r="I42" s="112"/>
      <c r="BH42" s="1457"/>
      <c r="BI42" s="1457"/>
      <c r="BJ42" s="1457"/>
    </row>
    <row r="43" spans="3:62" s="113" customFormat="1">
      <c r="C43" s="271"/>
      <c r="D43" s="112"/>
      <c r="E43" s="271"/>
      <c r="F43" s="112"/>
      <c r="G43" s="271"/>
      <c r="H43" s="112"/>
      <c r="I43" s="112"/>
      <c r="BH43" s="1457"/>
      <c r="BI43" s="1457"/>
      <c r="BJ43" s="1457"/>
    </row>
    <row r="44" spans="3:62" s="113" customFormat="1">
      <c r="C44" s="271"/>
      <c r="D44" s="112"/>
      <c r="E44" s="271"/>
      <c r="F44" s="112"/>
      <c r="G44" s="271"/>
      <c r="H44" s="112"/>
      <c r="I44" s="112"/>
      <c r="BH44" s="1457"/>
      <c r="BI44" s="1457"/>
      <c r="BJ44" s="1457"/>
    </row>
    <row r="45" spans="3:62" s="113" customFormat="1">
      <c r="C45" s="271"/>
      <c r="D45" s="112"/>
      <c r="E45" s="271"/>
      <c r="F45" s="112"/>
      <c r="G45" s="271"/>
      <c r="H45" s="112"/>
      <c r="I45" s="112"/>
      <c r="AD45" s="113">
        <v>1</v>
      </c>
      <c r="AE45" s="113" t="s">
        <v>431</v>
      </c>
      <c r="BH45" s="1457"/>
      <c r="BI45" s="1457"/>
      <c r="BJ45" s="1457"/>
    </row>
    <row r="46" spans="3:62" s="113" customFormat="1">
      <c r="C46" s="271"/>
      <c r="D46" s="112"/>
      <c r="E46" s="271"/>
      <c r="F46" s="112"/>
      <c r="G46" s="271"/>
      <c r="H46" s="112"/>
      <c r="I46" s="112"/>
      <c r="BH46" s="1457"/>
      <c r="BI46" s="1457"/>
      <c r="BJ46" s="1457"/>
    </row>
    <row r="47" spans="3:62" s="113" customFormat="1">
      <c r="C47" s="271"/>
      <c r="D47" s="112"/>
      <c r="E47" s="271"/>
      <c r="F47" s="112"/>
      <c r="G47" s="271"/>
      <c r="H47" s="112"/>
      <c r="I47" s="112"/>
      <c r="BH47" s="1457"/>
      <c r="BI47" s="1457"/>
      <c r="BJ47" s="1457"/>
    </row>
    <row r="48" spans="3:62" s="113" customFormat="1">
      <c r="C48" s="271"/>
      <c r="D48" s="112"/>
      <c r="E48" s="271"/>
      <c r="F48" s="112"/>
      <c r="G48" s="271"/>
      <c r="H48" s="112"/>
      <c r="I48" s="112"/>
      <c r="BH48" s="1457"/>
      <c r="BI48" s="1457"/>
      <c r="BJ48" s="1457"/>
    </row>
    <row r="49" spans="2:62" s="113" customFormat="1">
      <c r="C49" s="271"/>
      <c r="D49" s="112"/>
      <c r="E49" s="271"/>
      <c r="F49" s="112"/>
      <c r="G49" s="271"/>
      <c r="H49" s="112"/>
      <c r="I49" s="112"/>
      <c r="BH49" s="1457"/>
      <c r="BI49" s="1457"/>
      <c r="BJ49" s="1457"/>
    </row>
    <row r="50" spans="2:62" s="113" customFormat="1">
      <c r="BH50" s="1457"/>
      <c r="BI50" s="1457"/>
      <c r="BJ50" s="1457"/>
    </row>
    <row r="51" spans="2:62" ht="3" customHeight="1">
      <c r="B51" s="262"/>
      <c r="C51" s="262"/>
      <c r="D51" s="262"/>
      <c r="E51" s="262"/>
      <c r="F51" s="262"/>
      <c r="G51" s="262"/>
      <c r="H51" s="262"/>
      <c r="I51" s="262"/>
      <c r="J51" s="262"/>
      <c r="K51" s="262"/>
      <c r="L51" s="262"/>
    </row>
    <row r="52" spans="2:62" ht="3" customHeight="1">
      <c r="B52" s="262"/>
      <c r="C52" s="262"/>
      <c r="D52" s="262"/>
      <c r="E52" s="262"/>
      <c r="F52" s="262"/>
      <c r="G52" s="262"/>
      <c r="H52" s="262"/>
      <c r="I52" s="262"/>
      <c r="J52" s="262"/>
      <c r="K52" s="262"/>
      <c r="L52" s="262"/>
    </row>
    <row r="53" spans="2:62" s="113" customFormat="1">
      <c r="BH53" s="1457"/>
      <c r="BI53" s="1457"/>
      <c r="BJ53" s="1457"/>
    </row>
    <row r="54" spans="2:62" s="113" customFormat="1">
      <c r="BH54" s="1457"/>
      <c r="BI54" s="1457"/>
      <c r="BJ54" s="1457"/>
    </row>
    <row r="55" spans="2:62" s="113" customFormat="1">
      <c r="BH55" s="1457"/>
      <c r="BI55" s="1457"/>
      <c r="BJ55" s="1457"/>
    </row>
    <row r="56" spans="2:62" s="113" customFormat="1">
      <c r="BH56" s="1457"/>
      <c r="BI56" s="1457"/>
      <c r="BJ56" s="1457"/>
    </row>
    <row r="57" spans="2:62" s="113" customFormat="1">
      <c r="BH57" s="1457"/>
      <c r="BI57" s="1457"/>
      <c r="BJ57" s="1457"/>
    </row>
    <row r="58" spans="2:62" s="113" customFormat="1">
      <c r="BH58" s="1457"/>
      <c r="BI58" s="1457"/>
      <c r="BJ58" s="1457"/>
    </row>
    <row r="59" spans="2:62" s="113" customFormat="1">
      <c r="BH59" s="1457"/>
      <c r="BI59" s="1457"/>
      <c r="BJ59" s="1457"/>
    </row>
    <row r="60" spans="2:62" s="113" customFormat="1">
      <c r="BH60" s="1457"/>
      <c r="BI60" s="1457"/>
      <c r="BJ60" s="1457"/>
    </row>
    <row r="61" spans="2:62" s="113" customFormat="1">
      <c r="BH61" s="1457"/>
      <c r="BI61" s="1457"/>
      <c r="BJ61" s="1457"/>
    </row>
    <row r="62" spans="2:62" s="113" customFormat="1">
      <c r="BH62" s="1457"/>
      <c r="BI62" s="1457"/>
      <c r="BJ62" s="1457"/>
    </row>
    <row r="63" spans="2:62" s="113" customFormat="1">
      <c r="BH63" s="1457"/>
      <c r="BI63" s="1457"/>
      <c r="BJ63" s="1457"/>
    </row>
    <row r="64" spans="2:62" s="113" customFormat="1">
      <c r="BH64" s="1457"/>
      <c r="BI64" s="1457"/>
      <c r="BJ64" s="1457"/>
    </row>
    <row r="65" spans="60:62" s="113" customFormat="1">
      <c r="BH65" s="1457"/>
      <c r="BI65" s="1457"/>
      <c r="BJ65" s="1457"/>
    </row>
    <row r="66" spans="60:62" s="113" customFormat="1">
      <c r="BH66" s="1457"/>
      <c r="BI66" s="1457"/>
      <c r="BJ66" s="1457"/>
    </row>
    <row r="67" spans="60:62" s="113" customFormat="1">
      <c r="BH67" s="1457"/>
      <c r="BI67" s="1457"/>
      <c r="BJ67" s="1457"/>
    </row>
    <row r="68" spans="60:62" s="113" customFormat="1">
      <c r="BH68" s="1457"/>
      <c r="BI68" s="1457"/>
      <c r="BJ68" s="1457"/>
    </row>
    <row r="69" spans="60:62" s="113" customFormat="1">
      <c r="BH69" s="1457"/>
      <c r="BI69" s="1457"/>
      <c r="BJ69" s="1457"/>
    </row>
    <row r="70" spans="60:62" s="113" customFormat="1">
      <c r="BH70" s="1457"/>
      <c r="BI70" s="1457"/>
      <c r="BJ70" s="1457"/>
    </row>
    <row r="71" spans="60:62" s="113" customFormat="1">
      <c r="BH71" s="1457"/>
      <c r="BI71" s="1457"/>
      <c r="BJ71" s="1457"/>
    </row>
    <row r="72" spans="60:62" s="113" customFormat="1">
      <c r="BH72" s="1457"/>
      <c r="BI72" s="1457"/>
      <c r="BJ72" s="1457"/>
    </row>
    <row r="73" spans="60:62" s="113" customFormat="1">
      <c r="BH73" s="1457"/>
      <c r="BI73" s="1457"/>
      <c r="BJ73" s="1457"/>
    </row>
    <row r="74" spans="60:62" s="113" customFormat="1">
      <c r="BH74" s="1457"/>
      <c r="BI74" s="1457"/>
      <c r="BJ74" s="1457"/>
    </row>
    <row r="75" spans="60:62" s="113" customFormat="1">
      <c r="BH75" s="1457"/>
      <c r="BI75" s="1457"/>
      <c r="BJ75" s="1457"/>
    </row>
    <row r="76" spans="60:62" s="113" customFormat="1">
      <c r="BH76" s="1457"/>
      <c r="BI76" s="1457"/>
      <c r="BJ76" s="1457"/>
    </row>
    <row r="77" spans="60:62" s="113" customFormat="1">
      <c r="BH77" s="1457"/>
      <c r="BI77" s="1457"/>
      <c r="BJ77" s="1457"/>
    </row>
    <row r="78" spans="60:62" s="113" customFormat="1">
      <c r="BH78" s="1457"/>
      <c r="BI78" s="1457"/>
      <c r="BJ78" s="1457"/>
    </row>
    <row r="79" spans="60:62" s="113" customFormat="1">
      <c r="BH79" s="1457"/>
      <c r="BI79" s="1457"/>
      <c r="BJ79" s="1457"/>
    </row>
    <row r="80" spans="60:62" s="113" customFormat="1">
      <c r="BH80" s="1457"/>
      <c r="BI80" s="1457"/>
      <c r="BJ80" s="1457"/>
    </row>
    <row r="81" spans="60:62" s="113" customFormat="1">
      <c r="BH81" s="1457"/>
      <c r="BI81" s="1457"/>
      <c r="BJ81" s="1457"/>
    </row>
    <row r="82" spans="60:62" s="113" customFormat="1">
      <c r="BH82" s="1457"/>
      <c r="BI82" s="1457"/>
      <c r="BJ82" s="1457"/>
    </row>
    <row r="83" spans="60:62" s="113" customFormat="1">
      <c r="BH83" s="1457"/>
      <c r="BI83" s="1457"/>
      <c r="BJ83" s="1457"/>
    </row>
    <row r="84" spans="60:62" s="113" customFormat="1">
      <c r="BH84" s="1457"/>
      <c r="BI84" s="1457"/>
      <c r="BJ84" s="1457"/>
    </row>
    <row r="85" spans="60:62" s="113" customFormat="1">
      <c r="BH85" s="1457"/>
      <c r="BI85" s="1457"/>
      <c r="BJ85" s="1457"/>
    </row>
    <row r="86" spans="60:62" s="113" customFormat="1">
      <c r="BH86" s="1457"/>
      <c r="BI86" s="1457"/>
      <c r="BJ86" s="1457"/>
    </row>
    <row r="87" spans="60:62" s="113" customFormat="1">
      <c r="BH87" s="1457"/>
      <c r="BI87" s="1457"/>
      <c r="BJ87" s="1457"/>
    </row>
    <row r="88" spans="60:62" s="113" customFormat="1">
      <c r="BH88" s="1457"/>
      <c r="BI88" s="1457"/>
      <c r="BJ88" s="1457"/>
    </row>
    <row r="89" spans="60:62" s="113" customFormat="1">
      <c r="BH89" s="1457"/>
      <c r="BI89" s="1457"/>
      <c r="BJ89" s="1457"/>
    </row>
    <row r="90" spans="60:62" s="113" customFormat="1">
      <c r="BH90" s="1457"/>
      <c r="BI90" s="1457"/>
      <c r="BJ90" s="1457"/>
    </row>
    <row r="91" spans="60:62" s="113" customFormat="1">
      <c r="BH91" s="1457"/>
      <c r="BI91" s="1457"/>
      <c r="BJ91" s="1457"/>
    </row>
    <row r="92" spans="60:62" s="113" customFormat="1">
      <c r="BH92" s="1457"/>
      <c r="BI92" s="1457"/>
      <c r="BJ92" s="1457"/>
    </row>
    <row r="93" spans="60:62" s="113" customFormat="1">
      <c r="BH93" s="1457"/>
      <c r="BI93" s="1457"/>
      <c r="BJ93" s="1457"/>
    </row>
    <row r="94" spans="60:62" s="113" customFormat="1">
      <c r="BH94" s="1457"/>
      <c r="BI94" s="1457"/>
      <c r="BJ94" s="1457"/>
    </row>
    <row r="95" spans="60:62" s="113" customFormat="1">
      <c r="BH95" s="1457"/>
      <c r="BI95" s="1457"/>
      <c r="BJ95" s="1457"/>
    </row>
    <row r="96" spans="60:62" s="113" customFormat="1">
      <c r="BH96" s="1457"/>
      <c r="BI96" s="1457"/>
      <c r="BJ96" s="1457"/>
    </row>
    <row r="97" spans="60:62" s="113" customFormat="1">
      <c r="BH97" s="1457"/>
      <c r="BI97" s="1457"/>
      <c r="BJ97" s="1457"/>
    </row>
    <row r="98" spans="60:62" s="113" customFormat="1">
      <c r="BH98" s="1457"/>
      <c r="BI98" s="1457"/>
      <c r="BJ98" s="1457"/>
    </row>
    <row r="99" spans="60:62" s="113" customFormat="1">
      <c r="BH99" s="1457"/>
      <c r="BI99" s="1457"/>
      <c r="BJ99" s="1457"/>
    </row>
    <row r="100" spans="60:62" s="113" customFormat="1">
      <c r="BH100" s="1457"/>
      <c r="BI100" s="1457"/>
      <c r="BJ100" s="1457"/>
    </row>
    <row r="101" spans="60:62" s="113" customFormat="1">
      <c r="BH101" s="1457"/>
      <c r="BI101" s="1457"/>
      <c r="BJ101" s="1457"/>
    </row>
    <row r="102" spans="60:62" s="113" customFormat="1">
      <c r="BH102" s="1457"/>
      <c r="BI102" s="1457"/>
      <c r="BJ102" s="1457"/>
    </row>
    <row r="103" spans="60:62" s="113" customFormat="1">
      <c r="BH103" s="1457"/>
      <c r="BI103" s="1457"/>
      <c r="BJ103" s="1457"/>
    </row>
    <row r="104" spans="60:62" s="113" customFormat="1">
      <c r="BH104" s="1457"/>
      <c r="BI104" s="1457"/>
      <c r="BJ104" s="1457"/>
    </row>
    <row r="105" spans="60:62" s="113" customFormat="1">
      <c r="BH105" s="1457"/>
      <c r="BI105" s="1457"/>
      <c r="BJ105" s="1457"/>
    </row>
    <row r="106" spans="60:62" s="113" customFormat="1">
      <c r="BH106" s="1457"/>
      <c r="BI106" s="1457"/>
      <c r="BJ106" s="1457"/>
    </row>
    <row r="107" spans="60:62" s="113" customFormat="1">
      <c r="BH107" s="1457"/>
      <c r="BI107" s="1457"/>
      <c r="BJ107" s="1457"/>
    </row>
    <row r="108" spans="60:62" s="113" customFormat="1">
      <c r="BH108" s="1457"/>
      <c r="BI108" s="1457"/>
      <c r="BJ108" s="1457"/>
    </row>
    <row r="109" spans="60:62" s="113" customFormat="1">
      <c r="BH109" s="1457"/>
      <c r="BI109" s="1457"/>
      <c r="BJ109" s="1457"/>
    </row>
    <row r="110" spans="60:62" s="113" customFormat="1">
      <c r="BH110" s="1457"/>
      <c r="BI110" s="1457"/>
      <c r="BJ110" s="1457"/>
    </row>
    <row r="111" spans="60:62" s="113" customFormat="1">
      <c r="BH111" s="1457"/>
      <c r="BI111" s="1457"/>
      <c r="BJ111" s="1457"/>
    </row>
    <row r="112" spans="60:62" s="113" customFormat="1">
      <c r="BH112" s="1457"/>
      <c r="BI112" s="1457"/>
      <c r="BJ112" s="1457"/>
    </row>
    <row r="113" spans="60:62" s="113" customFormat="1">
      <c r="BH113" s="1457"/>
      <c r="BI113" s="1457"/>
      <c r="BJ113" s="1457"/>
    </row>
    <row r="114" spans="60:62" s="113" customFormat="1">
      <c r="BH114" s="1457"/>
      <c r="BI114" s="1457"/>
      <c r="BJ114" s="1457"/>
    </row>
    <row r="115" spans="60:62" s="113" customFormat="1">
      <c r="BH115" s="1457"/>
      <c r="BI115" s="1457"/>
      <c r="BJ115" s="1457"/>
    </row>
    <row r="116" spans="60:62" s="113" customFormat="1">
      <c r="BH116" s="1457"/>
      <c r="BI116" s="1457"/>
      <c r="BJ116" s="1457"/>
    </row>
    <row r="117" spans="60:62" s="113" customFormat="1">
      <c r="BH117" s="1457"/>
      <c r="BI117" s="1457"/>
      <c r="BJ117" s="1457"/>
    </row>
    <row r="118" spans="60:62" s="113" customFormat="1">
      <c r="BH118" s="1457"/>
      <c r="BI118" s="1457"/>
      <c r="BJ118" s="1457"/>
    </row>
    <row r="119" spans="60:62" s="113" customFormat="1">
      <c r="BH119" s="1457"/>
      <c r="BI119" s="1457"/>
      <c r="BJ119" s="1457"/>
    </row>
    <row r="120" spans="60:62" s="113" customFormat="1">
      <c r="BH120" s="1457"/>
      <c r="BI120" s="1457"/>
      <c r="BJ120" s="1457"/>
    </row>
    <row r="121" spans="60:62" s="113" customFormat="1">
      <c r="BH121" s="1457"/>
      <c r="BI121" s="1457"/>
      <c r="BJ121" s="1457"/>
    </row>
    <row r="122" spans="60:62" s="113" customFormat="1">
      <c r="BH122" s="1457"/>
      <c r="BI122" s="1457"/>
      <c r="BJ122" s="1457"/>
    </row>
    <row r="123" spans="60:62" s="113" customFormat="1">
      <c r="BH123" s="1457"/>
      <c r="BI123" s="1457"/>
      <c r="BJ123" s="1457"/>
    </row>
    <row r="124" spans="60:62" s="113" customFormat="1">
      <c r="BH124" s="1457"/>
      <c r="BI124" s="1457"/>
      <c r="BJ124" s="1457"/>
    </row>
    <row r="125" spans="60:62" s="113" customFormat="1">
      <c r="BH125" s="1457"/>
      <c r="BI125" s="1457"/>
      <c r="BJ125" s="1457"/>
    </row>
    <row r="126" spans="60:62" s="113" customFormat="1">
      <c r="BH126" s="1457"/>
      <c r="BI126" s="1457"/>
      <c r="BJ126" s="1457"/>
    </row>
    <row r="127" spans="60:62" s="113" customFormat="1">
      <c r="BH127" s="1457"/>
      <c r="BI127" s="1457"/>
      <c r="BJ127" s="1457"/>
    </row>
    <row r="128" spans="60:62" s="113" customFormat="1">
      <c r="BH128" s="1457"/>
      <c r="BI128" s="1457"/>
      <c r="BJ128" s="1457"/>
    </row>
    <row r="129" spans="60:62" s="113" customFormat="1">
      <c r="BH129" s="1457"/>
      <c r="BI129" s="1457"/>
      <c r="BJ129" s="1457"/>
    </row>
    <row r="130" spans="60:62" s="113" customFormat="1">
      <c r="BH130" s="1457"/>
      <c r="BI130" s="1457"/>
      <c r="BJ130" s="1457"/>
    </row>
    <row r="131" spans="60:62" s="113" customFormat="1">
      <c r="BH131" s="1457"/>
      <c r="BI131" s="1457"/>
      <c r="BJ131" s="1457"/>
    </row>
    <row r="132" spans="60:62" s="113" customFormat="1">
      <c r="BH132" s="1457"/>
      <c r="BI132" s="1457"/>
      <c r="BJ132" s="1457"/>
    </row>
    <row r="133" spans="60:62" s="113" customFormat="1">
      <c r="BH133" s="1457"/>
      <c r="BI133" s="1457"/>
      <c r="BJ133" s="1457"/>
    </row>
    <row r="134" spans="60:62" s="113" customFormat="1">
      <c r="BH134" s="1457"/>
      <c r="BI134" s="1457"/>
      <c r="BJ134" s="1457"/>
    </row>
    <row r="135" spans="60:62" s="113" customFormat="1">
      <c r="BH135" s="1457"/>
      <c r="BI135" s="1457"/>
      <c r="BJ135" s="1457"/>
    </row>
    <row r="136" spans="60:62" s="113" customFormat="1">
      <c r="BH136" s="1457"/>
      <c r="BI136" s="1457"/>
      <c r="BJ136" s="1457"/>
    </row>
    <row r="137" spans="60:62" s="113" customFormat="1">
      <c r="BH137" s="1457"/>
      <c r="BI137" s="1457"/>
      <c r="BJ137" s="1457"/>
    </row>
    <row r="138" spans="60:62" s="113" customFormat="1">
      <c r="BH138" s="1457"/>
      <c r="BI138" s="1457"/>
      <c r="BJ138" s="1457"/>
    </row>
    <row r="139" spans="60:62" s="113" customFormat="1">
      <c r="BH139" s="1457"/>
      <c r="BI139" s="1457"/>
      <c r="BJ139" s="1457"/>
    </row>
    <row r="140" spans="60:62" s="113" customFormat="1">
      <c r="BH140" s="1457"/>
      <c r="BI140" s="1457"/>
      <c r="BJ140" s="1457"/>
    </row>
    <row r="141" spans="60:62" s="113" customFormat="1">
      <c r="BH141" s="1457"/>
      <c r="BI141" s="1457"/>
      <c r="BJ141" s="1457"/>
    </row>
    <row r="142" spans="60:62" s="113" customFormat="1">
      <c r="BH142" s="1457"/>
      <c r="BI142" s="1457"/>
      <c r="BJ142" s="1457"/>
    </row>
    <row r="143" spans="60:62" s="113" customFormat="1">
      <c r="BH143" s="1457"/>
      <c r="BI143" s="1457"/>
      <c r="BJ143" s="1457"/>
    </row>
    <row r="144" spans="60:62" s="113" customFormat="1">
      <c r="BH144" s="1457"/>
      <c r="BI144" s="1457"/>
      <c r="BJ144" s="1457"/>
    </row>
    <row r="145" spans="60:62" s="113" customFormat="1">
      <c r="BH145" s="1457"/>
      <c r="BI145" s="1457"/>
      <c r="BJ145" s="1457"/>
    </row>
    <row r="146" spans="60:62" s="113" customFormat="1">
      <c r="BH146" s="1457"/>
      <c r="BI146" s="1457"/>
      <c r="BJ146" s="1457"/>
    </row>
    <row r="147" spans="60:62" s="113" customFormat="1">
      <c r="BH147" s="1457"/>
      <c r="BI147" s="1457"/>
      <c r="BJ147" s="1457"/>
    </row>
    <row r="148" spans="60:62" s="113" customFormat="1">
      <c r="BH148" s="1457"/>
      <c r="BI148" s="1457"/>
      <c r="BJ148" s="1457"/>
    </row>
    <row r="149" spans="60:62" s="113" customFormat="1">
      <c r="BH149" s="1457"/>
      <c r="BI149" s="1457"/>
      <c r="BJ149" s="1457"/>
    </row>
    <row r="150" spans="60:62" s="113" customFormat="1">
      <c r="BH150" s="1457"/>
      <c r="BI150" s="1457"/>
      <c r="BJ150" s="1457"/>
    </row>
    <row r="151" spans="60:62" s="113" customFormat="1">
      <c r="BH151" s="1457"/>
      <c r="BI151" s="1457"/>
      <c r="BJ151" s="1457"/>
    </row>
    <row r="152" spans="60:62" s="113" customFormat="1">
      <c r="BH152" s="1457"/>
      <c r="BI152" s="1457"/>
      <c r="BJ152" s="1457"/>
    </row>
    <row r="153" spans="60:62" s="113" customFormat="1">
      <c r="BH153" s="1457"/>
      <c r="BI153" s="1457"/>
      <c r="BJ153" s="1457"/>
    </row>
    <row r="154" spans="60:62" s="113" customFormat="1">
      <c r="BH154" s="1457"/>
      <c r="BI154" s="1457"/>
      <c r="BJ154" s="1457"/>
    </row>
    <row r="155" spans="60:62" s="113" customFormat="1">
      <c r="BH155" s="1457"/>
      <c r="BI155" s="1457"/>
      <c r="BJ155" s="1457"/>
    </row>
    <row r="156" spans="60:62" s="113" customFormat="1">
      <c r="BH156" s="1457"/>
      <c r="BI156" s="1457"/>
      <c r="BJ156" s="1457"/>
    </row>
    <row r="157" spans="60:62" s="113" customFormat="1">
      <c r="BH157" s="1457"/>
      <c r="BI157" s="1457"/>
      <c r="BJ157" s="1457"/>
    </row>
    <row r="158" spans="60:62" s="113" customFormat="1">
      <c r="BH158" s="1457"/>
      <c r="BI158" s="1457"/>
      <c r="BJ158" s="1457"/>
    </row>
    <row r="159" spans="60:62" s="113" customFormat="1">
      <c r="BH159" s="1457"/>
      <c r="BI159" s="1457"/>
      <c r="BJ159" s="1457"/>
    </row>
    <row r="160" spans="60:62" s="113" customFormat="1">
      <c r="BH160" s="1457"/>
      <c r="BI160" s="1457"/>
      <c r="BJ160" s="1457"/>
    </row>
    <row r="161" spans="60:62" s="113" customFormat="1">
      <c r="BH161" s="1457"/>
      <c r="BI161" s="1457"/>
      <c r="BJ161" s="1457"/>
    </row>
    <row r="162" spans="60:62" s="113" customFormat="1">
      <c r="BH162" s="1457"/>
      <c r="BI162" s="1457"/>
      <c r="BJ162" s="1457"/>
    </row>
    <row r="163" spans="60:62" s="113" customFormat="1">
      <c r="BH163" s="1457"/>
      <c r="BI163" s="1457"/>
      <c r="BJ163" s="1457"/>
    </row>
    <row r="164" spans="60:62" s="113" customFormat="1">
      <c r="BH164" s="1457"/>
      <c r="BI164" s="1457"/>
      <c r="BJ164" s="1457"/>
    </row>
    <row r="165" spans="60:62" s="113" customFormat="1">
      <c r="BH165" s="1457"/>
      <c r="BI165" s="1457"/>
      <c r="BJ165" s="1457"/>
    </row>
    <row r="166" spans="60:62" s="113" customFormat="1">
      <c r="BH166" s="1457"/>
      <c r="BI166" s="1457"/>
      <c r="BJ166" s="1457"/>
    </row>
    <row r="167" spans="60:62" s="113" customFormat="1">
      <c r="BH167" s="1457"/>
      <c r="BI167" s="1457"/>
      <c r="BJ167" s="1457"/>
    </row>
    <row r="168" spans="60:62" s="113" customFormat="1">
      <c r="BH168" s="1457"/>
      <c r="BI168" s="1457"/>
      <c r="BJ168" s="1457"/>
    </row>
    <row r="169" spans="60:62" s="113" customFormat="1">
      <c r="BH169" s="1457"/>
      <c r="BI169" s="1457"/>
      <c r="BJ169" s="1457"/>
    </row>
    <row r="170" spans="60:62" s="113" customFormat="1">
      <c r="BH170" s="1457"/>
      <c r="BI170" s="1457"/>
      <c r="BJ170" s="1457"/>
    </row>
    <row r="171" spans="60:62" s="113" customFormat="1">
      <c r="BH171" s="1457"/>
      <c r="BI171" s="1457"/>
      <c r="BJ171" s="1457"/>
    </row>
    <row r="172" spans="60:62" s="113" customFormat="1">
      <c r="BH172" s="1457"/>
      <c r="BI172" s="1457"/>
      <c r="BJ172" s="1457"/>
    </row>
    <row r="173" spans="60:62" s="113" customFormat="1">
      <c r="BH173" s="1457"/>
      <c r="BI173" s="1457"/>
      <c r="BJ173" s="1457"/>
    </row>
    <row r="174" spans="60:62" s="113" customFormat="1">
      <c r="BH174" s="1457"/>
      <c r="BI174" s="1457"/>
      <c r="BJ174" s="1457"/>
    </row>
    <row r="175" spans="60:62" s="113" customFormat="1">
      <c r="BH175" s="1457"/>
      <c r="BI175" s="1457"/>
      <c r="BJ175" s="1457"/>
    </row>
    <row r="176" spans="60:62" s="113" customFormat="1">
      <c r="BH176" s="1457"/>
      <c r="BI176" s="1457"/>
      <c r="BJ176" s="1457"/>
    </row>
    <row r="177" spans="60:62" s="113" customFormat="1">
      <c r="BH177" s="1457"/>
      <c r="BI177" s="1457"/>
      <c r="BJ177" s="1457"/>
    </row>
    <row r="178" spans="60:62" s="113" customFormat="1">
      <c r="BH178" s="1457"/>
      <c r="BI178" s="1457"/>
      <c r="BJ178" s="1457"/>
    </row>
    <row r="179" spans="60:62" s="113" customFormat="1">
      <c r="BH179" s="1457"/>
      <c r="BI179" s="1457"/>
      <c r="BJ179" s="1457"/>
    </row>
    <row r="180" spans="60:62" s="113" customFormat="1">
      <c r="BH180" s="1457"/>
      <c r="BI180" s="1457"/>
      <c r="BJ180" s="1457"/>
    </row>
    <row r="181" spans="60:62" s="113" customFormat="1">
      <c r="BH181" s="1457"/>
      <c r="BI181" s="1457"/>
      <c r="BJ181" s="1457"/>
    </row>
    <row r="182" spans="60:62" s="113" customFormat="1">
      <c r="BH182" s="1457"/>
      <c r="BI182" s="1457"/>
      <c r="BJ182" s="1457"/>
    </row>
    <row r="183" spans="60:62" s="113" customFormat="1">
      <c r="BH183" s="1457"/>
      <c r="BI183" s="1457"/>
      <c r="BJ183" s="1457"/>
    </row>
    <row r="184" spans="60:62" s="113" customFormat="1">
      <c r="BH184" s="1457"/>
      <c r="BI184" s="1457"/>
      <c r="BJ184" s="1457"/>
    </row>
    <row r="185" spans="60:62" s="113" customFormat="1">
      <c r="BH185" s="1457"/>
      <c r="BI185" s="1457"/>
      <c r="BJ185" s="1457"/>
    </row>
    <row r="186" spans="60:62" s="113" customFormat="1">
      <c r="BH186" s="1457"/>
      <c r="BI186" s="1457"/>
      <c r="BJ186" s="1457"/>
    </row>
    <row r="187" spans="60:62" s="113" customFormat="1">
      <c r="BH187" s="1457"/>
      <c r="BI187" s="1457"/>
      <c r="BJ187" s="1457"/>
    </row>
    <row r="188" spans="60:62" s="113" customFormat="1">
      <c r="BH188" s="1457"/>
      <c r="BI188" s="1457"/>
      <c r="BJ188" s="1457"/>
    </row>
    <row r="189" spans="60:62" s="113" customFormat="1">
      <c r="BH189" s="1457"/>
      <c r="BI189" s="1457"/>
      <c r="BJ189" s="1457"/>
    </row>
    <row r="190" spans="60:62" s="113" customFormat="1">
      <c r="BH190" s="1457"/>
      <c r="BI190" s="1457"/>
      <c r="BJ190" s="1457"/>
    </row>
    <row r="191" spans="60:62" s="113" customFormat="1">
      <c r="BH191" s="1457"/>
      <c r="BI191" s="1457"/>
      <c r="BJ191" s="1457"/>
    </row>
    <row r="192" spans="60:62" s="113" customFormat="1">
      <c r="BH192" s="1457"/>
      <c r="BI192" s="1457"/>
      <c r="BJ192" s="1457"/>
    </row>
    <row r="193" spans="60:62" s="113" customFormat="1">
      <c r="BH193" s="1457"/>
      <c r="BI193" s="1457"/>
      <c r="BJ193" s="1457"/>
    </row>
    <row r="194" spans="60:62" s="113" customFormat="1">
      <c r="BH194" s="1457"/>
      <c r="BI194" s="1457"/>
      <c r="BJ194" s="1457"/>
    </row>
    <row r="195" spans="60:62" s="113" customFormat="1">
      <c r="BH195" s="1457"/>
      <c r="BI195" s="1457"/>
      <c r="BJ195" s="1457"/>
    </row>
    <row r="196" spans="60:62" s="113" customFormat="1">
      <c r="BH196" s="1457"/>
      <c r="BI196" s="1457"/>
      <c r="BJ196" s="1457"/>
    </row>
    <row r="197" spans="60:62" s="113" customFormat="1">
      <c r="BH197" s="1457"/>
      <c r="BI197" s="1457"/>
      <c r="BJ197" s="1457"/>
    </row>
    <row r="198" spans="60:62" s="113" customFormat="1">
      <c r="BH198" s="1457"/>
      <c r="BI198" s="1457"/>
      <c r="BJ198" s="1457"/>
    </row>
    <row r="199" spans="60:62" s="113" customFormat="1">
      <c r="BH199" s="1457"/>
      <c r="BI199" s="1457"/>
      <c r="BJ199" s="1457"/>
    </row>
    <row r="200" spans="60:62" s="113" customFormat="1">
      <c r="BH200" s="1457"/>
      <c r="BI200" s="1457"/>
      <c r="BJ200" s="1457"/>
    </row>
  </sheetData>
  <hyperlinks>
    <hyperlink ref="E27" r:id="rId1" display="michael.berg3@wellsfargo.com" xr:uid="{560D2CF8-A5DB-4342-A42B-102461A20664}"/>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pageSetUpPr fitToPage="1"/>
  </sheetPr>
  <dimension ref="A1:BX336"/>
  <sheetViews>
    <sheetView showGridLines="0" zoomScaleNormal="100" workbookViewId="0">
      <pane xSplit="1" ySplit="4" topLeftCell="AD64" activePane="bottomRight" state="frozen"/>
      <selection activeCell="CS46" sqref="CS46"/>
      <selection pane="topRight" activeCell="CS46" sqref="CS46"/>
      <selection pane="bottomLeft" activeCell="CS46" sqref="CS46"/>
      <selection pane="bottomRight" activeCell="AP11" sqref="AP11"/>
    </sheetView>
  </sheetViews>
  <sheetFormatPr defaultColWidth="6.85546875" defaultRowHeight="11.25" outlineLevelRow="1" outlineLevelCol="1"/>
  <cols>
    <col min="1" max="1" width="46.42578125" style="281" customWidth="1"/>
    <col min="2" max="2" width="7.85546875" style="281" hidden="1" customWidth="1" outlineLevel="1" collapsed="1"/>
    <col min="3" max="13" width="7.85546875" style="281" hidden="1" customWidth="1" outlineLevel="1"/>
    <col min="14" max="14" width="7.85546875" style="281" hidden="1" customWidth="1" outlineLevel="1" collapsed="1"/>
    <col min="15" max="19" width="7.85546875" style="281" hidden="1" customWidth="1" outlineLevel="1"/>
    <col min="20" max="20" width="7.85546875" style="167" hidden="1" customWidth="1" outlineLevel="1"/>
    <col min="21" max="25" width="7.85546875" style="281" hidden="1" customWidth="1" outlineLevel="1"/>
    <col min="26" max="26" width="7.85546875" style="281" hidden="1" customWidth="1" outlineLevel="1" collapsed="1"/>
    <col min="27" max="33" width="7.85546875" style="281" hidden="1" customWidth="1" outlineLevel="1"/>
    <col min="34" max="34" width="7.85546875" style="281" hidden="1" customWidth="1" outlineLevel="1" collapsed="1"/>
    <col min="35" max="37" width="7.85546875" style="281" hidden="1" customWidth="1" outlineLevel="1"/>
    <col min="38" max="38" width="7.85546875" style="281" customWidth="1" collapsed="1"/>
    <col min="39" max="49" width="7.85546875" style="281" customWidth="1"/>
    <col min="50" max="53" width="7.85546875" style="281" hidden="1" customWidth="1" outlineLevel="1"/>
    <col min="54" max="54" width="2.5703125" style="281" customWidth="1" collapsed="1"/>
    <col min="55" max="57" width="9.140625" style="281" hidden="1" customWidth="1" outlineLevel="1"/>
    <col min="58" max="58" width="9.140625" style="281" hidden="1" customWidth="1" outlineLevel="1" collapsed="1"/>
    <col min="59" max="60" width="9.140625" style="281" hidden="1" customWidth="1" outlineLevel="1"/>
    <col min="61" max="61" width="9.140625" style="281" hidden="1" customWidth="1" outlineLevel="1" collapsed="1"/>
    <col min="62" max="62" width="9.140625" style="281" hidden="1" customWidth="1" outlineLevel="1"/>
    <col min="63" max="63" width="9.140625" style="281" customWidth="1" collapsed="1"/>
    <col min="64" max="68" width="9.140625" style="281" customWidth="1"/>
    <col min="69" max="69" width="2.85546875" style="281" customWidth="1"/>
    <col min="70" max="72" width="6.85546875" style="284"/>
    <col min="73" max="73" width="6.85546875" style="281"/>
    <col min="74" max="74" width="7.85546875" style="281" bestFit="1" customWidth="1"/>
    <col min="75" max="16384" width="6.85546875" style="281"/>
  </cols>
  <sheetData>
    <row r="1" spans="1:76" ht="15.75">
      <c r="A1" s="275" t="s">
        <v>231</v>
      </c>
      <c r="B1" s="276"/>
      <c r="C1" s="276"/>
      <c r="D1" s="276"/>
      <c r="E1" s="276"/>
      <c r="F1" s="277"/>
      <c r="G1" s="277"/>
      <c r="H1" s="277"/>
      <c r="I1" s="277"/>
      <c r="J1" s="277"/>
      <c r="K1" s="277"/>
      <c r="L1" s="277"/>
      <c r="M1" s="277"/>
      <c r="N1" s="276"/>
      <c r="O1" s="278"/>
      <c r="P1" s="276"/>
      <c r="Q1" s="276"/>
      <c r="R1" s="167"/>
      <c r="S1" s="279"/>
      <c r="T1" s="280"/>
      <c r="U1" s="276"/>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c r="AW1" s="276"/>
      <c r="AX1" s="276"/>
      <c r="AY1" s="276"/>
      <c r="AZ1" s="276"/>
      <c r="BA1" s="276"/>
      <c r="BB1" s="276"/>
      <c r="BC1" s="276"/>
      <c r="BD1" s="276"/>
      <c r="BE1" s="276"/>
      <c r="BF1" s="276"/>
      <c r="BG1" s="276"/>
      <c r="BH1" s="276"/>
      <c r="BI1" s="276"/>
      <c r="BJ1" s="276"/>
      <c r="BK1" s="276"/>
      <c r="BL1" s="276"/>
      <c r="BM1" s="276"/>
      <c r="BN1" s="276"/>
      <c r="BO1" s="276"/>
      <c r="BP1" s="276"/>
    </row>
    <row r="2" spans="1:76" s="284" customFormat="1" ht="15.75">
      <c r="A2" s="275" t="s">
        <v>232</v>
      </c>
      <c r="B2" s="283"/>
      <c r="C2" s="283"/>
      <c r="D2" s="283"/>
      <c r="E2" s="283"/>
      <c r="F2" s="166"/>
      <c r="G2" s="166"/>
      <c r="H2" s="166"/>
      <c r="I2" s="283"/>
      <c r="J2" s="283"/>
      <c r="K2" s="283"/>
      <c r="L2" s="283"/>
      <c r="M2" s="283"/>
      <c r="N2" s="283" t="s">
        <v>245</v>
      </c>
      <c r="O2" s="283" t="s">
        <v>246</v>
      </c>
      <c r="P2" s="283" t="s">
        <v>247</v>
      </c>
      <c r="Q2" s="283" t="s">
        <v>248</v>
      </c>
      <c r="R2" s="166" t="s">
        <v>249</v>
      </c>
      <c r="S2" s="166" t="s">
        <v>250</v>
      </c>
      <c r="T2" s="166" t="s">
        <v>251</v>
      </c>
      <c r="U2" s="283" t="s">
        <v>252</v>
      </c>
      <c r="V2" s="283" t="s">
        <v>241</v>
      </c>
      <c r="W2" s="283" t="s">
        <v>242</v>
      </c>
      <c r="X2" s="283" t="s">
        <v>243</v>
      </c>
      <c r="Y2" s="283" t="s">
        <v>244</v>
      </c>
      <c r="Z2" s="283" t="s">
        <v>253</v>
      </c>
      <c r="AA2" s="283" t="s">
        <v>254</v>
      </c>
      <c r="AB2" s="283" t="s">
        <v>255</v>
      </c>
      <c r="AC2" s="283" t="s">
        <v>256</v>
      </c>
      <c r="AD2" s="283" t="s">
        <v>257</v>
      </c>
      <c r="AE2" s="283" t="s">
        <v>258</v>
      </c>
      <c r="AF2" s="283" t="s">
        <v>259</v>
      </c>
      <c r="AG2" s="283" t="s">
        <v>260</v>
      </c>
      <c r="AH2" s="283" t="s">
        <v>261</v>
      </c>
      <c r="AI2" s="283" t="s">
        <v>262</v>
      </c>
      <c r="AJ2" s="283" t="s">
        <v>263</v>
      </c>
      <c r="AK2" s="283" t="s">
        <v>264</v>
      </c>
      <c r="AL2" s="283" t="s">
        <v>265</v>
      </c>
      <c r="AM2" s="283" t="s">
        <v>266</v>
      </c>
      <c r="AN2" s="283" t="s">
        <v>267</v>
      </c>
      <c r="AO2" s="283" t="s">
        <v>268</v>
      </c>
      <c r="AP2" s="283" t="s">
        <v>733</v>
      </c>
      <c r="AQ2" s="283" t="s">
        <v>428</v>
      </c>
      <c r="AR2" s="283" t="s">
        <v>429</v>
      </c>
      <c r="AS2" s="283" t="s">
        <v>430</v>
      </c>
      <c r="AT2" s="283" t="s">
        <v>471</v>
      </c>
      <c r="AU2" s="283" t="s">
        <v>468</v>
      </c>
      <c r="AV2" s="283" t="s">
        <v>469</v>
      </c>
      <c r="AW2" s="283" t="s">
        <v>470</v>
      </c>
      <c r="AX2" s="283" t="s">
        <v>503</v>
      </c>
      <c r="AY2" s="283" t="s">
        <v>504</v>
      </c>
      <c r="AZ2" s="283" t="s">
        <v>505</v>
      </c>
      <c r="BA2" s="283" t="s">
        <v>506</v>
      </c>
      <c r="BB2" s="282"/>
    </row>
    <row r="3" spans="1:76" s="288" customFormat="1" ht="12" customHeight="1">
      <c r="A3" s="530"/>
      <c r="B3" s="2170" t="s">
        <v>209</v>
      </c>
      <c r="C3" s="2170"/>
      <c r="D3" s="2170"/>
      <c r="E3" s="2174"/>
      <c r="F3" s="2175" t="s">
        <v>210</v>
      </c>
      <c r="G3" s="2170"/>
      <c r="H3" s="2170"/>
      <c r="I3" s="2170"/>
      <c r="J3" s="2170" t="s">
        <v>211</v>
      </c>
      <c r="K3" s="2170"/>
      <c r="L3" s="2170"/>
      <c r="M3" s="2170"/>
      <c r="N3" s="2170" t="s">
        <v>212</v>
      </c>
      <c r="O3" s="2170"/>
      <c r="P3" s="2170"/>
      <c r="Q3" s="2170"/>
      <c r="R3" s="2170" t="s">
        <v>213</v>
      </c>
      <c r="S3" s="2170"/>
      <c r="T3" s="2170"/>
      <c r="U3" s="2170"/>
      <c r="V3" s="2170" t="s">
        <v>235</v>
      </c>
      <c r="W3" s="2170"/>
      <c r="X3" s="2170"/>
      <c r="Y3" s="2170"/>
      <c r="Z3" s="2170" t="s">
        <v>236</v>
      </c>
      <c r="AA3" s="2170"/>
      <c r="AB3" s="2170"/>
      <c r="AC3" s="2170"/>
      <c r="AD3" s="2170" t="s">
        <v>237</v>
      </c>
      <c r="AE3" s="2170"/>
      <c r="AF3" s="2170"/>
      <c r="AG3" s="2170"/>
      <c r="AH3" s="2170" t="s">
        <v>238</v>
      </c>
      <c r="AI3" s="2170"/>
      <c r="AJ3" s="2170"/>
      <c r="AK3" s="2170"/>
      <c r="AL3" s="2170" t="s">
        <v>239</v>
      </c>
      <c r="AM3" s="2170"/>
      <c r="AN3" s="2170"/>
      <c r="AO3" s="2170"/>
      <c r="AP3" s="2170" t="s">
        <v>420</v>
      </c>
      <c r="AQ3" s="2170"/>
      <c r="AR3" s="2170"/>
      <c r="AS3" s="2170"/>
      <c r="AT3" s="2170" t="s">
        <v>458</v>
      </c>
      <c r="AU3" s="2170"/>
      <c r="AV3" s="2170"/>
      <c r="AW3" s="2170"/>
      <c r="AX3" s="2170" t="s">
        <v>472</v>
      </c>
      <c r="AY3" s="2170"/>
      <c r="AZ3" s="2170"/>
      <c r="BA3" s="2170"/>
      <c r="BB3" s="1255"/>
      <c r="BC3" s="1350"/>
      <c r="BD3" s="1351"/>
      <c r="BE3" s="1351"/>
      <c r="BF3" s="1351"/>
      <c r="BG3" s="1351"/>
      <c r="BH3" s="1351"/>
      <c r="BI3" s="1351"/>
      <c r="BJ3" s="1351"/>
      <c r="BK3" s="1662"/>
      <c r="BL3" s="1662"/>
      <c r="BM3" s="1662"/>
      <c r="BN3" s="1662"/>
      <c r="BO3" s="1359"/>
      <c r="BP3" s="1359"/>
      <c r="BQ3" s="414"/>
      <c r="BR3" s="1378"/>
      <c r="BS3" s="1378"/>
      <c r="BT3" s="1378"/>
    </row>
    <row r="4" spans="1:76" s="111" customFormat="1" ht="12" customHeight="1">
      <c r="A4" s="175" t="s">
        <v>233</v>
      </c>
      <c r="B4" s="177">
        <v>42308</v>
      </c>
      <c r="C4" s="177">
        <v>42400</v>
      </c>
      <c r="D4" s="289">
        <v>42490</v>
      </c>
      <c r="E4" s="178">
        <v>42582</v>
      </c>
      <c r="F4" s="290">
        <v>42674</v>
      </c>
      <c r="G4" s="177">
        <v>42766</v>
      </c>
      <c r="H4" s="289">
        <v>42855</v>
      </c>
      <c r="I4" s="178">
        <v>42947</v>
      </c>
      <c r="J4" s="290">
        <v>43039</v>
      </c>
      <c r="K4" s="177">
        <v>43131</v>
      </c>
      <c r="L4" s="289">
        <v>43220</v>
      </c>
      <c r="M4" s="178">
        <v>43312</v>
      </c>
      <c r="N4" s="290">
        <v>43404</v>
      </c>
      <c r="O4" s="177">
        <v>43496</v>
      </c>
      <c r="P4" s="289">
        <v>43585</v>
      </c>
      <c r="Q4" s="178">
        <v>43677</v>
      </c>
      <c r="R4" s="290">
        <v>43769</v>
      </c>
      <c r="S4" s="177">
        <v>43861</v>
      </c>
      <c r="T4" s="289">
        <v>43951</v>
      </c>
      <c r="U4" s="291">
        <v>44043</v>
      </c>
      <c r="V4" s="290">
        <v>44135</v>
      </c>
      <c r="W4" s="289" t="s">
        <v>398</v>
      </c>
      <c r="X4" s="289" t="s">
        <v>401</v>
      </c>
      <c r="Y4" s="291" t="s">
        <v>402</v>
      </c>
      <c r="Z4" s="553" t="s">
        <v>405</v>
      </c>
      <c r="AA4" s="289" t="s">
        <v>408</v>
      </c>
      <c r="AB4" s="289" t="s">
        <v>409</v>
      </c>
      <c r="AC4" s="291" t="s">
        <v>413</v>
      </c>
      <c r="AD4" s="553" t="s">
        <v>414</v>
      </c>
      <c r="AE4" s="289" t="s">
        <v>416</v>
      </c>
      <c r="AF4" s="289" t="s">
        <v>418</v>
      </c>
      <c r="AG4" s="291" t="s">
        <v>419</v>
      </c>
      <c r="AH4" s="553" t="s">
        <v>424</v>
      </c>
      <c r="AI4" s="289" t="s">
        <v>425</v>
      </c>
      <c r="AJ4" s="289" t="s">
        <v>427</v>
      </c>
      <c r="AK4" s="291" t="s">
        <v>432</v>
      </c>
      <c r="AL4" s="553" t="s">
        <v>453</v>
      </c>
      <c r="AM4" s="289" t="s">
        <v>478</v>
      </c>
      <c r="AN4" s="289" t="s">
        <v>502</v>
      </c>
      <c r="AO4" s="291" t="s">
        <v>713</v>
      </c>
      <c r="AP4" s="553" t="s">
        <v>732</v>
      </c>
      <c r="AQ4" s="289" t="s">
        <v>735</v>
      </c>
      <c r="AR4" s="289" t="s">
        <v>421</v>
      </c>
      <c r="AS4" s="291" t="s">
        <v>422</v>
      </c>
      <c r="AT4" s="553" t="s">
        <v>457</v>
      </c>
      <c r="AU4" s="289" t="s">
        <v>456</v>
      </c>
      <c r="AV4" s="289" t="s">
        <v>454</v>
      </c>
      <c r="AW4" s="291" t="s">
        <v>455</v>
      </c>
      <c r="AX4" s="553" t="s">
        <v>476</v>
      </c>
      <c r="AY4" s="289" t="s">
        <v>473</v>
      </c>
      <c r="AZ4" s="289" t="s">
        <v>474</v>
      </c>
      <c r="BA4" s="291" t="s">
        <v>475</v>
      </c>
      <c r="BB4" s="292"/>
      <c r="BC4" s="1352" t="s">
        <v>21</v>
      </c>
      <c r="BD4" s="1353" t="s">
        <v>24</v>
      </c>
      <c r="BE4" s="1353" t="s">
        <v>26</v>
      </c>
      <c r="BF4" s="1354" t="s">
        <v>27</v>
      </c>
      <c r="BG4" s="1355" t="s">
        <v>58</v>
      </c>
      <c r="BH4" s="1356" t="s">
        <v>217</v>
      </c>
      <c r="BI4" s="1354" t="s">
        <v>403</v>
      </c>
      <c r="BJ4" s="1357" t="s">
        <v>404</v>
      </c>
      <c r="BK4" s="1357" t="s">
        <v>411</v>
      </c>
      <c r="BL4" s="1355" t="s">
        <v>412</v>
      </c>
      <c r="BM4" s="1355" t="s">
        <v>681</v>
      </c>
      <c r="BN4" s="1355" t="s">
        <v>423</v>
      </c>
      <c r="BO4" s="1355" t="s">
        <v>459</v>
      </c>
      <c r="BP4" s="1355" t="s">
        <v>477</v>
      </c>
      <c r="BQ4" s="292"/>
      <c r="BR4" s="1443"/>
      <c r="BS4" s="1443"/>
      <c r="BT4" s="1443"/>
    </row>
    <row r="5" spans="1:76" s="305" customFormat="1" ht="12" customHeight="1">
      <c r="A5" s="297" t="s">
        <v>234</v>
      </c>
      <c r="B5" s="298"/>
      <c r="C5" s="298"/>
      <c r="D5" s="298"/>
      <c r="E5" s="299"/>
      <c r="F5" s="300"/>
      <c r="G5" s="298"/>
      <c r="H5" s="298"/>
      <c r="I5" s="299"/>
      <c r="J5" s="300"/>
      <c r="K5" s="298"/>
      <c r="L5" s="298"/>
      <c r="M5" s="299"/>
      <c r="N5" s="300"/>
      <c r="O5" s="298"/>
      <c r="P5" s="298"/>
      <c r="Q5" s="299"/>
      <c r="R5" s="298"/>
      <c r="S5" s="298"/>
      <c r="T5" s="298"/>
      <c r="U5" s="299"/>
      <c r="V5" s="298"/>
      <c r="W5" s="298"/>
      <c r="X5" s="298"/>
      <c r="Y5" s="299"/>
      <c r="Z5" s="298"/>
      <c r="AA5" s="298"/>
      <c r="AB5" s="298"/>
      <c r="AC5" s="299"/>
      <c r="AD5" s="298"/>
      <c r="AE5" s="298"/>
      <c r="AF5" s="298"/>
      <c r="AG5" s="299"/>
      <c r="AH5" s="298"/>
      <c r="AI5" s="298"/>
      <c r="AJ5" s="298"/>
      <c r="AK5" s="299"/>
      <c r="AL5" s="298"/>
      <c r="AM5" s="298"/>
      <c r="AN5" s="298"/>
      <c r="AO5" s="299"/>
      <c r="AP5" s="298"/>
      <c r="AQ5" s="298"/>
      <c r="AR5" s="298"/>
      <c r="AS5" s="299"/>
      <c r="AT5" s="298"/>
      <c r="AU5" s="298"/>
      <c r="AV5" s="298"/>
      <c r="AW5" s="299"/>
      <c r="AX5" s="298"/>
      <c r="AY5" s="298"/>
      <c r="AZ5" s="298"/>
      <c r="BA5" s="299"/>
      <c r="BB5" s="301"/>
      <c r="BC5" s="584"/>
      <c r="BD5" s="584"/>
      <c r="BE5" s="585"/>
      <c r="BF5" s="303"/>
      <c r="BG5" s="586"/>
      <c r="BH5" s="585"/>
      <c r="BI5" s="587"/>
      <c r="BJ5" s="587"/>
      <c r="BK5" s="588"/>
      <c r="BL5" s="588"/>
      <c r="BM5" s="302"/>
      <c r="BN5" s="302"/>
      <c r="BO5" s="302"/>
      <c r="BP5" s="302"/>
      <c r="BQ5" s="304"/>
      <c r="BR5" s="1379"/>
      <c r="BS5" s="1379"/>
      <c r="BT5" s="1379"/>
    </row>
    <row r="6" spans="1:76" s="316" customFormat="1" ht="12" customHeight="1">
      <c r="A6" s="554" t="s">
        <v>16</v>
      </c>
      <c r="B6" s="311"/>
      <c r="C6" s="311"/>
      <c r="D6" s="311"/>
      <c r="E6" s="312"/>
      <c r="F6" s="311"/>
      <c r="G6" s="311"/>
      <c r="H6" s="311"/>
      <c r="I6" s="312"/>
      <c r="J6" s="311"/>
      <c r="K6" s="311"/>
      <c r="L6" s="311"/>
      <c r="M6" s="312"/>
      <c r="N6" s="313"/>
      <c r="O6" s="311"/>
      <c r="P6" s="311"/>
      <c r="Q6" s="312"/>
      <c r="R6" s="311"/>
      <c r="S6" s="311"/>
      <c r="T6" s="311"/>
      <c r="U6" s="312"/>
      <c r="V6" s="311"/>
      <c r="W6" s="311"/>
      <c r="X6" s="311"/>
      <c r="Y6" s="312"/>
      <c r="Z6" s="311"/>
      <c r="AA6" s="311"/>
      <c r="AB6" s="311"/>
      <c r="AC6" s="312"/>
      <c r="AD6" s="311"/>
      <c r="AE6" s="311"/>
      <c r="AF6" s="311"/>
      <c r="AG6" s="312"/>
      <c r="AH6" s="311"/>
      <c r="AI6" s="311"/>
      <c r="AJ6" s="311"/>
      <c r="AK6" s="312"/>
      <c r="AL6" s="311"/>
      <c r="AM6" s="311"/>
      <c r="AN6" s="311"/>
      <c r="AO6" s="312"/>
      <c r="AP6" s="311"/>
      <c r="AQ6" s="311"/>
      <c r="AR6" s="311"/>
      <c r="AS6" s="312"/>
      <c r="AT6" s="311"/>
      <c r="AU6" s="311"/>
      <c r="AV6" s="311"/>
      <c r="AW6" s="312"/>
      <c r="AX6" s="311"/>
      <c r="AY6" s="311"/>
      <c r="AZ6" s="311"/>
      <c r="BA6" s="312"/>
      <c r="BB6" s="314"/>
      <c r="BC6" s="372"/>
      <c r="BD6" s="372"/>
      <c r="BE6" s="372"/>
      <c r="BF6" s="372"/>
      <c r="BG6" s="372"/>
      <c r="BH6" s="372"/>
      <c r="BI6" s="372"/>
      <c r="BJ6" s="372"/>
      <c r="BK6" s="372"/>
      <c r="BL6" s="372"/>
      <c r="BM6" s="372"/>
      <c r="BN6" s="372"/>
      <c r="BO6" s="372"/>
      <c r="BP6" s="372"/>
      <c r="BQ6" s="314"/>
      <c r="BR6" s="1444"/>
      <c r="BS6" s="1444"/>
      <c r="BT6" s="1444"/>
    </row>
    <row r="7" spans="1:76" s="322" customFormat="1" ht="12" customHeight="1">
      <c r="A7" s="948" t="s">
        <v>66</v>
      </c>
      <c r="B7" s="2088">
        <f>+'Revenue Build'!B13</f>
        <v>271</v>
      </c>
      <c r="C7" s="2088">
        <f>+'Revenue Build'!C13</f>
        <v>264</v>
      </c>
      <c r="D7" s="2088">
        <f>+'Revenue Build'!D13</f>
        <v>459</v>
      </c>
      <c r="E7" s="2089">
        <f>+'Revenue Build'!E13</f>
        <v>295</v>
      </c>
      <c r="F7" s="2088">
        <f>+'Revenue Build'!F13</f>
        <v>297</v>
      </c>
      <c r="G7" s="2088">
        <f>+'Revenue Build'!G13</f>
        <v>299</v>
      </c>
      <c r="H7" s="2088">
        <f>+'Revenue Build'!H13</f>
        <v>467</v>
      </c>
      <c r="I7" s="2089">
        <f>+'Revenue Build'!I13</f>
        <v>313</v>
      </c>
      <c r="J7" s="2088">
        <f>+'Revenue Build'!J13</f>
        <v>370</v>
      </c>
      <c r="K7" s="2088">
        <f>+'Revenue Build'!K13</f>
        <v>529</v>
      </c>
      <c r="L7" s="2088">
        <f>+'Revenue Build'!L13</f>
        <v>479</v>
      </c>
      <c r="M7" s="2089">
        <f>+'Revenue Build'!M13</f>
        <v>246</v>
      </c>
      <c r="N7" s="2090">
        <f>+'Revenue Build'!N13</f>
        <v>347</v>
      </c>
      <c r="O7" s="2088">
        <f>+'Revenue Build'!O13</f>
        <v>533</v>
      </c>
      <c r="P7" s="2088">
        <f>+'Revenue Build'!P13</f>
        <v>498</v>
      </c>
      <c r="Q7" s="2089">
        <f>+'Revenue Build'!Q13</f>
        <v>245</v>
      </c>
      <c r="R7" s="2088">
        <f>+'Revenue Build'!R13</f>
        <v>353</v>
      </c>
      <c r="S7" s="2088">
        <f>+'Revenue Build'!S13</f>
        <v>545</v>
      </c>
      <c r="T7" s="2088">
        <f>+'Revenue Build'!T13</f>
        <v>443</v>
      </c>
      <c r="U7" s="2089">
        <f>+'Revenue Build'!U13</f>
        <v>294</v>
      </c>
      <c r="V7" s="2088">
        <f>+'Revenue Build'!V13</f>
        <v>367</v>
      </c>
      <c r="W7" s="2088">
        <f>+'Revenue Build'!W13</f>
        <v>495</v>
      </c>
      <c r="X7" s="2088">
        <f>+'Revenue Build'!X13</f>
        <v>533</v>
      </c>
      <c r="Y7" s="2089">
        <f>+'Revenue Build'!Y13</f>
        <v>314</v>
      </c>
      <c r="Z7" s="2088">
        <f>+'Revenue Build'!Z13</f>
        <v>410.56521739130437</v>
      </c>
      <c r="AA7" s="2088">
        <f>+'Revenue Build'!AA13</f>
        <v>658.54465730956417</v>
      </c>
      <c r="AB7" s="2088">
        <f>+'Revenue Build'!AB13</f>
        <v>674.48676827992699</v>
      </c>
      <c r="AC7" s="2089">
        <f>+'Revenue Build'!AC13</f>
        <v>362.8955446020928</v>
      </c>
      <c r="AD7" s="2088">
        <f>+'Revenue Build'!AD13</f>
        <v>543.97995714384456</v>
      </c>
      <c r="AE7" s="2088">
        <f>+'Revenue Build'!AE13</f>
        <v>701.47606011445691</v>
      </c>
      <c r="AF7" s="2088">
        <f>+'Revenue Build'!AF13</f>
        <v>721.72771564711684</v>
      </c>
      <c r="AG7" s="2089">
        <f>+'Revenue Build'!AG13</f>
        <v>413.15075663121019</v>
      </c>
      <c r="AH7" s="2088">
        <f>+'Revenue Build'!AH13</f>
        <v>536.8730434782608</v>
      </c>
      <c r="AI7" s="2088">
        <f>+'Revenue Build'!AI13</f>
        <v>693.06</v>
      </c>
      <c r="AJ7" s="2088">
        <f>+'Revenue Build'!AJ13</f>
        <v>788.34115017082627</v>
      </c>
      <c r="AK7" s="2089">
        <f>+'Revenue Build'!AK13</f>
        <v>465.75060059051776</v>
      </c>
      <c r="AL7" s="571">
        <f>+'Revenue Build'!AL13</f>
        <v>394.15</v>
      </c>
      <c r="AM7" s="571">
        <f>+'Revenue Build'!AM13</f>
        <v>714.01749999999993</v>
      </c>
      <c r="AN7" s="571">
        <f>+'Revenue Build'!AN13</f>
        <v>782.79960000000005</v>
      </c>
      <c r="AO7" s="572">
        <f>+'Revenue Build'!AO13</f>
        <v>540.03899999999999</v>
      </c>
      <c r="AP7" s="571">
        <f>+'Revenue Build'!AP13</f>
        <v>387.77</v>
      </c>
      <c r="AQ7" s="571">
        <f>+'Revenue Build'!AQ13</f>
        <v>778.71</v>
      </c>
      <c r="AR7" s="571">
        <f>+'Revenue Build'!AR13</f>
        <v>829.88966593021132</v>
      </c>
      <c r="AS7" s="572">
        <f>+'Revenue Build'!AS13</f>
        <v>570.54144427001768</v>
      </c>
      <c r="AT7" s="571">
        <f>+'Revenue Build'!AT13</f>
        <v>414.46111267724746</v>
      </c>
      <c r="AU7" s="571">
        <f>+'Revenue Build'!AU13</f>
        <v>832.26616481593214</v>
      </c>
      <c r="AV7" s="571">
        <f>+'Revenue Build'!AV13</f>
        <v>878.6113665855263</v>
      </c>
      <c r="AW7" s="572">
        <f>+'Revenue Build'!AW13</f>
        <v>604.8570505287322</v>
      </c>
      <c r="AX7" s="571">
        <f>+'Revenue Build'!AX13</f>
        <v>433.93777180518026</v>
      </c>
      <c r="AY7" s="571">
        <f>+'Revenue Build'!AY13</f>
        <v>882.88464954112123</v>
      </c>
      <c r="AZ7" s="571">
        <f>+'Revenue Build'!AZ13</f>
        <v>930.40244204660348</v>
      </c>
      <c r="BA7" s="572">
        <f>+'Revenue Build'!BA13</f>
        <v>644.78225739012839</v>
      </c>
      <c r="BB7" s="321"/>
      <c r="BC7" s="368"/>
      <c r="BD7" s="590">
        <f t="shared" ref="BD7:BD8" si="0">+SUM(B7:E7)</f>
        <v>1289</v>
      </c>
      <c r="BE7" s="590">
        <f t="shared" ref="BE7:BE8" si="1">+SUM(F7:I7)</f>
        <v>1376</v>
      </c>
      <c r="BF7" s="590">
        <f t="shared" ref="BF7:BF8" si="2">+SUM(J7:M7)</f>
        <v>1624</v>
      </c>
      <c r="BG7" s="590">
        <f t="shared" ref="BG7:BG9" si="3">SUM(N7:Q7)</f>
        <v>1623</v>
      </c>
      <c r="BH7" s="590">
        <f t="shared" ref="BH7:BH9" si="4">+SUM(R7:U7)</f>
        <v>1635</v>
      </c>
      <c r="BI7" s="590">
        <f t="shared" ref="BI7:BI9" si="5">SUM(V7:Y7)</f>
        <v>1709</v>
      </c>
      <c r="BJ7" s="590">
        <f t="shared" ref="BJ7:BJ9" si="6">+SUM(Z7:AC7)</f>
        <v>2106.4921875828886</v>
      </c>
      <c r="BK7" s="590">
        <f t="shared" ref="BK7:BK9" si="7">+SUM(AD7:AG7)</f>
        <v>2380.3344895366286</v>
      </c>
      <c r="BL7" s="590">
        <f t="shared" ref="BL7:BL9" si="8">+SUM(AH7:AK7)</f>
        <v>2484.0247942396049</v>
      </c>
      <c r="BM7" s="590">
        <f>+SUM(AL7:AO7)</f>
        <v>2431.0061000000001</v>
      </c>
      <c r="BN7" s="590">
        <f>+SUM(AP7:AS7)</f>
        <v>2566.9111102002289</v>
      </c>
      <c r="BO7" s="590">
        <f>+SUM(AT7:AW7)</f>
        <v>2730.1956946074379</v>
      </c>
      <c r="BP7" s="590">
        <f>+SUM(AX7:BA7)</f>
        <v>2892.0071207830333</v>
      </c>
      <c r="BQ7" s="321"/>
      <c r="BR7" s="1445"/>
      <c r="BS7" s="1445"/>
      <c r="BT7" s="1445"/>
    </row>
    <row r="8" spans="1:76" s="322" customFormat="1" ht="12" customHeight="1">
      <c r="A8" s="948" t="s">
        <v>269</v>
      </c>
      <c r="B8" s="2088">
        <f>+'Revenue Build'!B18</f>
        <v>442</v>
      </c>
      <c r="C8" s="2088">
        <f>+'Revenue Build'!C18</f>
        <v>659</v>
      </c>
      <c r="D8" s="2088">
        <f>+'Revenue Build'!D18</f>
        <v>1845</v>
      </c>
      <c r="E8" s="2089">
        <f>+'Revenue Build'!E18</f>
        <v>459</v>
      </c>
      <c r="F8" s="2088">
        <f>+'Revenue Build'!F18</f>
        <v>481</v>
      </c>
      <c r="G8" s="2088">
        <f>+'Revenue Build'!G18</f>
        <v>717</v>
      </c>
      <c r="H8" s="2088">
        <f>+'Revenue Build'!H18</f>
        <v>2074</v>
      </c>
      <c r="I8" s="2089">
        <f>+'Revenue Build'!I18</f>
        <v>529</v>
      </c>
      <c r="J8" s="2088">
        <f>+'Revenue Build'!J18</f>
        <v>540</v>
      </c>
      <c r="K8" s="2088">
        <f>+'Revenue Build'!K18</f>
        <v>810</v>
      </c>
      <c r="L8" s="2088">
        <f>+'Revenue Build'!L18</f>
        <v>2433</v>
      </c>
      <c r="M8" s="2089">
        <f>+'Revenue Build'!M18</f>
        <v>618</v>
      </c>
      <c r="N8" s="2090">
        <f>+'Revenue Build'!N18</f>
        <v>669</v>
      </c>
      <c r="O8" s="2088">
        <f>+'Revenue Build'!O18</f>
        <v>969</v>
      </c>
      <c r="P8" s="2088">
        <f>+'Revenue Build'!P18</f>
        <v>2774</v>
      </c>
      <c r="Q8" s="2089">
        <f>+'Revenue Build'!Q18</f>
        <v>749</v>
      </c>
      <c r="R8" s="2088">
        <f>+'Revenue Build'!R18</f>
        <v>812</v>
      </c>
      <c r="S8" s="2088">
        <f>+'Revenue Build'!S18</f>
        <v>1151</v>
      </c>
      <c r="T8" s="2088">
        <f>+'Revenue Build'!T18</f>
        <v>2559</v>
      </c>
      <c r="U8" s="2089">
        <f>+'Revenue Build'!U18</f>
        <v>1522</v>
      </c>
      <c r="V8" s="2088">
        <f>+'Revenue Build'!V18</f>
        <v>956</v>
      </c>
      <c r="W8" s="2088">
        <f>+'Revenue Build'!W18</f>
        <v>1081</v>
      </c>
      <c r="X8" s="2088">
        <f>+'Revenue Build'!X18</f>
        <v>3640</v>
      </c>
      <c r="Y8" s="2089">
        <f>+'Revenue Build'!Y18</f>
        <v>2247</v>
      </c>
      <c r="Z8" s="2088">
        <f>+'Revenue Build'!Z18</f>
        <v>1596.4347826086957</v>
      </c>
      <c r="AA8" s="2088">
        <f>+'Revenue Build'!AA18</f>
        <v>2014.4553426904358</v>
      </c>
      <c r="AB8" s="2088">
        <f>+'Revenue Build'!AB18</f>
        <v>4957.5132317200723</v>
      </c>
      <c r="AC8" s="2089">
        <f>+'Revenue Build'!AC18</f>
        <v>2051.1044553979073</v>
      </c>
      <c r="AD8" s="2088">
        <f>+'Revenue Build'!AD18</f>
        <v>2053.0200428561557</v>
      </c>
      <c r="AE8" s="2088">
        <f>+'Revenue Build'!AE18</f>
        <v>2339.5239398855429</v>
      </c>
      <c r="AF8" s="2088">
        <f>+'Revenue Build'!AF18</f>
        <v>5296.2722843528827</v>
      </c>
      <c r="AG8" s="2089">
        <f>+'Revenue Build'!AG18</f>
        <v>2298.8492433687898</v>
      </c>
      <c r="AH8" s="2088">
        <f>+'Revenue Build'!AH18</f>
        <v>2441.126956521739</v>
      </c>
      <c r="AI8" s="2088">
        <f>+'Revenue Build'!AI18</f>
        <v>2692.94</v>
      </c>
      <c r="AJ8" s="2088">
        <f>+'Revenue Build'!AJ18</f>
        <v>5948.6588498291731</v>
      </c>
      <c r="AK8" s="2089">
        <f>+'Revenue Build'!AK18</f>
        <v>2718.2493994094825</v>
      </c>
      <c r="AL8" s="571">
        <f>+'Revenue Build'!AL18</f>
        <v>2888.85</v>
      </c>
      <c r="AM8" s="571">
        <f>+'Revenue Build'!AM18</f>
        <v>3248.9825000000001</v>
      </c>
      <c r="AN8" s="571">
        <f>+'Revenue Build'!AN18</f>
        <v>6971.2003999999997</v>
      </c>
      <c r="AO8" s="572">
        <f>+'Revenue Build'!AO18</f>
        <v>3290.9610000000002</v>
      </c>
      <c r="AP8" s="571">
        <f>+'Revenue Build'!AP18</f>
        <v>3497.23</v>
      </c>
      <c r="AQ8" s="571">
        <f>+'Revenue Build'!AQ18</f>
        <v>3872.2900000000004</v>
      </c>
      <c r="AR8" s="571">
        <f>+'Revenue Build'!AR18</f>
        <v>7658.6803340697879</v>
      </c>
      <c r="AS8" s="572">
        <f>+'Revenue Build'!AS18</f>
        <v>3682.0860557299816</v>
      </c>
      <c r="AT8" s="571">
        <f>+'Revenue Build'!AT18</f>
        <v>4002.8388873227527</v>
      </c>
      <c r="AU8" s="571">
        <f>+'Revenue Build'!AU18</f>
        <v>4469.0289456845585</v>
      </c>
      <c r="AV8" s="571">
        <f>+'Revenue Build'!AV18</f>
        <v>8424.6563715973025</v>
      </c>
      <c r="AW8" s="572">
        <f>+'Revenue Build'!AW18</f>
        <v>4140.6171666351484</v>
      </c>
      <c r="AX8" s="571">
        <f>+'Revenue Build'!AX18</f>
        <v>4544.4935757028607</v>
      </c>
      <c r="AY8" s="571">
        <f>+'Revenue Build'!AY18</f>
        <v>5140.1596577196688</v>
      </c>
      <c r="AZ8" s="571">
        <f>+'Revenue Build'!AZ18</f>
        <v>9306.9618849335457</v>
      </c>
      <c r="BA8" s="572">
        <f>+'Revenue Build'!BA18</f>
        <v>4688.0900945716312</v>
      </c>
      <c r="BB8" s="321"/>
      <c r="BC8" s="368"/>
      <c r="BD8" s="590">
        <f t="shared" si="0"/>
        <v>3405</v>
      </c>
      <c r="BE8" s="590">
        <f t="shared" si="1"/>
        <v>3801</v>
      </c>
      <c r="BF8" s="590">
        <f t="shared" si="2"/>
        <v>4401</v>
      </c>
      <c r="BG8" s="590">
        <f t="shared" si="3"/>
        <v>5161</v>
      </c>
      <c r="BH8" s="590">
        <f t="shared" si="4"/>
        <v>6044</v>
      </c>
      <c r="BI8" s="590">
        <f t="shared" si="5"/>
        <v>7924</v>
      </c>
      <c r="BJ8" s="590">
        <f t="shared" si="6"/>
        <v>10619.507812417112</v>
      </c>
      <c r="BK8" s="590">
        <f t="shared" si="7"/>
        <v>11987.665510463372</v>
      </c>
      <c r="BL8" s="590">
        <f t="shared" si="8"/>
        <v>13800.975205760395</v>
      </c>
      <c r="BM8" s="590">
        <f>+SUM(AL8:AO8)</f>
        <v>16399.993900000001</v>
      </c>
      <c r="BN8" s="590">
        <f>+SUM(AP8:AS8)</f>
        <v>18710.28638979977</v>
      </c>
      <c r="BO8" s="590">
        <f>+SUM(AT8:AW8)</f>
        <v>21037.141371239759</v>
      </c>
      <c r="BP8" s="590">
        <f>+SUM(AX8:BA8)</f>
        <v>23679.705212927707</v>
      </c>
      <c r="BQ8" s="321"/>
      <c r="BR8" s="1445"/>
      <c r="BS8" s="1445"/>
      <c r="BT8" s="1445"/>
    </row>
    <row r="9" spans="1:76" s="316" customFormat="1" ht="12" customHeight="1">
      <c r="A9" s="953" t="s">
        <v>31</v>
      </c>
      <c r="B9" s="2091">
        <f>+'Revenue Build'!B6</f>
        <v>713</v>
      </c>
      <c r="C9" s="2091">
        <f>+'Revenue Build'!C6</f>
        <v>923</v>
      </c>
      <c r="D9" s="2091">
        <f>+'Revenue Build'!D6</f>
        <v>2304</v>
      </c>
      <c r="E9" s="2092">
        <f>+'Revenue Build'!E6</f>
        <v>754</v>
      </c>
      <c r="F9" s="2091">
        <f>+'Revenue Build'!F6</f>
        <v>778</v>
      </c>
      <c r="G9" s="2091">
        <f>+'Revenue Build'!G6</f>
        <v>1016</v>
      </c>
      <c r="H9" s="2091">
        <f>+'Revenue Build'!H6</f>
        <v>2541</v>
      </c>
      <c r="I9" s="2092">
        <f>+'Revenue Build'!I6</f>
        <v>842</v>
      </c>
      <c r="J9" s="2091">
        <f>+'Revenue Build'!J6</f>
        <v>910</v>
      </c>
      <c r="K9" s="2091">
        <f>+'Revenue Build'!K6</f>
        <v>1339</v>
      </c>
      <c r="L9" s="2091">
        <f>+'Revenue Build'!L6</f>
        <v>2912</v>
      </c>
      <c r="M9" s="2092">
        <f>+'Revenue Build'!M6</f>
        <v>864</v>
      </c>
      <c r="N9" s="2093">
        <f>+'Revenue Build'!N6</f>
        <v>1016</v>
      </c>
      <c r="O9" s="2091">
        <f>+'Revenue Build'!O6</f>
        <v>1502</v>
      </c>
      <c r="P9" s="2091">
        <f>+'Revenue Build'!P6</f>
        <v>3272</v>
      </c>
      <c r="Q9" s="2092">
        <f>+'Revenue Build'!Q6</f>
        <v>994</v>
      </c>
      <c r="R9" s="2091">
        <f>+'Revenue Build'!R6</f>
        <v>1165</v>
      </c>
      <c r="S9" s="2091">
        <f>+'Revenue Build'!S6</f>
        <v>1696</v>
      </c>
      <c r="T9" s="2091">
        <f>+'Revenue Build'!T6</f>
        <v>3002</v>
      </c>
      <c r="U9" s="2092">
        <f>+'Revenue Build'!U6</f>
        <v>1816</v>
      </c>
      <c r="V9" s="2091">
        <f>+'Revenue Build'!V6</f>
        <v>1323</v>
      </c>
      <c r="W9" s="2091">
        <f>+'Revenue Build'!W6</f>
        <v>1576</v>
      </c>
      <c r="X9" s="2091">
        <f>+'Revenue Build'!X6</f>
        <v>4173</v>
      </c>
      <c r="Y9" s="2092">
        <f>+'Revenue Build'!Y6</f>
        <v>2561</v>
      </c>
      <c r="Z9" s="2091">
        <f>+'Revenue Build'!Z6</f>
        <v>2007</v>
      </c>
      <c r="AA9" s="2094">
        <f>+'Revenue Build'!AA6</f>
        <v>2673</v>
      </c>
      <c r="AB9" s="2091">
        <f>+'Revenue Build'!AB6</f>
        <v>5631.9999999999991</v>
      </c>
      <c r="AC9" s="2092">
        <f>+'Revenue Build'!AC6</f>
        <v>2414</v>
      </c>
      <c r="AD9" s="2091">
        <f>+'Revenue Build'!AD6</f>
        <v>2597</v>
      </c>
      <c r="AE9" s="2091">
        <f>+'Revenue Build'!AE6</f>
        <v>3041</v>
      </c>
      <c r="AF9" s="2091">
        <f>+'Revenue Build'!AF6</f>
        <v>6018</v>
      </c>
      <c r="AG9" s="2092">
        <f>+'Revenue Build'!AG6</f>
        <v>2712</v>
      </c>
      <c r="AH9" s="2091">
        <f>+'Revenue Build'!AH6</f>
        <v>2978</v>
      </c>
      <c r="AI9" s="2091">
        <f>+'Revenue Build'!AI6</f>
        <v>3386</v>
      </c>
      <c r="AJ9" s="2091">
        <f>+'Revenue Build'!AJ6</f>
        <v>6736.9999999999991</v>
      </c>
      <c r="AK9" s="2092">
        <f>+'Revenue Build'!AK6</f>
        <v>3184.0000000000005</v>
      </c>
      <c r="AL9" s="573">
        <f>+'Revenue Build'!AL6</f>
        <v>3283</v>
      </c>
      <c r="AM9" s="573">
        <f>+'Revenue Build'!AM6</f>
        <v>3963</v>
      </c>
      <c r="AN9" s="573">
        <f>+'Revenue Build'!AN6</f>
        <v>7754</v>
      </c>
      <c r="AO9" s="574">
        <f>+'Revenue Build'!AO6</f>
        <v>3831</v>
      </c>
      <c r="AP9" s="573">
        <f>+'Revenue Build'!AP6</f>
        <v>3885</v>
      </c>
      <c r="AQ9" s="573">
        <f>+'Revenue Build'!AQ6</f>
        <v>4651</v>
      </c>
      <c r="AR9" s="573">
        <f>+'Revenue Build'!AR6</f>
        <v>8488.57</v>
      </c>
      <c r="AS9" s="574">
        <f>+'Revenue Build'!AS6</f>
        <v>4252.6274999999996</v>
      </c>
      <c r="AT9" s="573">
        <f>+'Revenue Build'!AT6</f>
        <v>4417.3</v>
      </c>
      <c r="AU9" s="573">
        <f>+'Revenue Build'!AU6</f>
        <v>5301.2951105004904</v>
      </c>
      <c r="AV9" s="573">
        <f>+'Revenue Build'!AV6</f>
        <v>9303.2677381828289</v>
      </c>
      <c r="AW9" s="574">
        <f>+'Revenue Build'!AW6</f>
        <v>4745.4742171638809</v>
      </c>
      <c r="AX9" s="573">
        <f>+'Revenue Build'!AX6</f>
        <v>4978.4313475080407</v>
      </c>
      <c r="AY9" s="573">
        <f>+'Revenue Build'!AY6</f>
        <v>6023.0443072607904</v>
      </c>
      <c r="AZ9" s="573">
        <f>+'Revenue Build'!AZ6</f>
        <v>10237.364326980149</v>
      </c>
      <c r="BA9" s="574">
        <f>+'Revenue Build'!BA6</f>
        <v>5332.8723519617597</v>
      </c>
      <c r="BB9" s="314"/>
      <c r="BC9" s="372"/>
      <c r="BD9" s="591">
        <f>+SUM(B9:E9)</f>
        <v>4694</v>
      </c>
      <c r="BE9" s="591">
        <f>+SUM(F9:I9)</f>
        <v>5177</v>
      </c>
      <c r="BF9" s="591">
        <f>+SUM(J9:M9)</f>
        <v>6025</v>
      </c>
      <c r="BG9" s="591">
        <f t="shared" si="3"/>
        <v>6784</v>
      </c>
      <c r="BH9" s="591">
        <f t="shared" si="4"/>
        <v>7679</v>
      </c>
      <c r="BI9" s="591">
        <f t="shared" si="5"/>
        <v>9633</v>
      </c>
      <c r="BJ9" s="591">
        <f t="shared" si="6"/>
        <v>12726</v>
      </c>
      <c r="BK9" s="591">
        <f t="shared" si="7"/>
        <v>14368</v>
      </c>
      <c r="BL9" s="591">
        <f t="shared" si="8"/>
        <v>16285</v>
      </c>
      <c r="BM9" s="591">
        <f>+SUM(AL9:AO9)</f>
        <v>18831</v>
      </c>
      <c r="BN9" s="591">
        <f>+SUM(AP9:AS9)</f>
        <v>21277.197499999998</v>
      </c>
      <c r="BO9" s="591">
        <f>+SUM(AT9:AW9)</f>
        <v>23767.337065847198</v>
      </c>
      <c r="BP9" s="591">
        <f>+SUM(AX9:BA9)</f>
        <v>26571.712333710737</v>
      </c>
      <c r="BQ9" s="314"/>
      <c r="BR9" s="1444"/>
      <c r="BS9" s="1444"/>
      <c r="BT9" s="1444"/>
    </row>
    <row r="10" spans="1:76" s="320" customFormat="1" ht="12" hidden="1" customHeight="1" outlineLevel="1">
      <c r="A10" s="950" t="s">
        <v>240</v>
      </c>
      <c r="B10" s="577"/>
      <c r="C10" s="577"/>
      <c r="D10" s="577"/>
      <c r="E10" s="578"/>
      <c r="F10" s="577"/>
      <c r="G10" s="577"/>
      <c r="H10" s="577"/>
      <c r="I10" s="578"/>
      <c r="J10" s="577"/>
      <c r="K10" s="577"/>
      <c r="L10" s="577"/>
      <c r="M10" s="578"/>
      <c r="N10" s="579" cm="1">
        <f t="array" ref="N10">_xll.FDS("INTU-US","FE_ESTIMATE(SALES,MEAN,QTR_ROLL,"&amp;N2&amp;",NOW,,,'')")</f>
        <v>1016</v>
      </c>
      <c r="O10" s="580" cm="1">
        <f t="array" ref="O10">_xll.FDS("INTU-US","FE_ESTIMATE(SALES,MEAN,QTR_ROLL,"&amp;O2&amp;",NOW,,,'')")</f>
        <v>1502</v>
      </c>
      <c r="P10" s="577" cm="1">
        <f t="array" ref="P10">_xll.FDS("INTU-US","FE_ESTIMATE(SALES,MEAN,QTR_ROLL,"&amp;P2&amp;",NOW,,,'')")</f>
        <v>3272</v>
      </c>
      <c r="Q10" s="578" cm="1">
        <f t="array" ref="Q10">_xll.FDS("INTU-US","FE_ESTIMATE(SALES,MEAN,QTR_ROLL,"&amp;Q2&amp;",NOW,,,'')")</f>
        <v>994</v>
      </c>
      <c r="R10" s="577" cm="1">
        <f t="array" ref="R10">_xll.FDS("INTU-US","FE_ESTIMATE(SALES,MEAN,QTR_ROLL,"&amp;R2&amp;",NOW,,,'')")</f>
        <v>1165</v>
      </c>
      <c r="S10" s="577" cm="1">
        <f t="array" ref="S10">_xll.FDS("INTU-US","FE_ESTIMATE(SALES,MEAN,QTR_ROLL,"&amp;S2&amp;",NOW,,,'')")</f>
        <v>1697.26</v>
      </c>
      <c r="T10" s="577" cm="1">
        <f t="array" ref="T10">_xll.FDS("INTU-US","FE_ESTIMATE(SALES,MEAN,QTR_ROLL,"&amp;T2&amp;",NOW,,,'')")</f>
        <v>3002</v>
      </c>
      <c r="U10" s="578" cm="1">
        <f t="array" ref="U10">_xll.FDS("INTU-US","FE_ESTIMATE(SALES,MEAN,QTR_ROLL,"&amp;U2&amp;",NOW,,,'')")</f>
        <v>1816</v>
      </c>
      <c r="V10" s="577" cm="1">
        <f t="array" ref="V10">_xll.FDS("INTU-US","FE_ESTIMATE(SALES,MEAN,QTR_ROLL,"&amp;V2&amp;",NOW,,,'')")</f>
        <v>1323</v>
      </c>
      <c r="W10" s="577" cm="1">
        <f t="array" ref="W10">_xll.FDS("INTU-US","FE_ESTIMATE(SALES,MEAN,QTR_ROLL,"&amp;W2&amp;",NOW,,,'')")</f>
        <v>1576</v>
      </c>
      <c r="X10" s="577" cm="1">
        <f t="array" ref="X10">_xll.FDS("INTU-US","FE_ESTIMATE(SALES,MEAN,QTR_ROLL,"&amp;X2&amp;",NOW,,,'')")</f>
        <v>4173</v>
      </c>
      <c r="Y10" s="578" cm="1">
        <f t="array" ref="Y10">_xll.FDS("INTU-US","FE_ESTIMATE(SALES,MEAN,QTR_ROLL,"&amp;Y2&amp;",NOW,,,'')")</f>
        <v>2561</v>
      </c>
      <c r="Z10" s="577" cm="1">
        <f t="array" ref="Z10">_xll.FDS("INTU-US","FE_ESTIMATE(SALES,MEAN,QTR_ROLL,"&amp;Z2&amp;",NOW,,,'')")</f>
        <v>2007</v>
      </c>
      <c r="AA10" s="317" cm="1">
        <f t="array" ref="AA10">_xll.FDS("INTU-US","FE_ESTIMATE(SALES,MEAN,QTR_ROLL,"&amp;AA2&amp;",NOW,,,'')")</f>
        <v>2673</v>
      </c>
      <c r="AB10" s="577" cm="1">
        <f t="array" ref="AB10">_xll.FDS("INTU-US","FE_ESTIMATE(SALES,MEAN,QTR_ROLL,"&amp;AB2&amp;",NOW,,,'')")</f>
        <v>5632</v>
      </c>
      <c r="AC10" s="578" cm="1">
        <f t="array" ref="AC10">_xll.FDS("INTU-US","FE_ESTIMATE(SALES,MEAN,QTR_ROLL,"&amp;AC2&amp;",NOW,,,'')")</f>
        <v>2414</v>
      </c>
      <c r="AD10" s="577" cm="1">
        <f t="array" ref="AD10">_xll.FDS("INTU-US","FE_ESTIMATE(SALES,MEAN,QTR_ROLL,"&amp;AD2&amp;",NOW,,,'')")</f>
        <v>2597</v>
      </c>
      <c r="AE10" s="577" cm="1">
        <f t="array" ref="AE10">_xll.FDS("INTU-US","FE_ESTIMATE(SALES,MEAN,QTR_ROLL,"&amp;AE2&amp;",NOW,,,'')")</f>
        <v>3041</v>
      </c>
      <c r="AF10" s="577" cm="1">
        <f t="array" ref="AF10">_xll.FDS("INTU-US","FE_ESTIMATE(SALES,MEAN,QTR_ROLL,"&amp;AF2&amp;",NOW,,,'')")</f>
        <v>6018</v>
      </c>
      <c r="AG10" s="578" cm="1">
        <f t="array" ref="AG10">_xll.FDS("INTU-US","FE_ESTIMATE(SALES,MEAN,QTR_ROLL,"&amp;AG2&amp;",NOW,,,'')")</f>
        <v>2712</v>
      </c>
      <c r="AH10" s="577" cm="1">
        <f t="array" ref="AH10">_xll.FDS("INTU-US","FE_ESTIMATE(SALES,MEAN,QTR_ROLL,"&amp;AH2&amp;",NOW,,,'')")</f>
        <v>2978</v>
      </c>
      <c r="AI10" s="577" cm="1">
        <f t="array" ref="AI10">_xll.FDS("INTU-US","FE_ESTIMATE(SALES,MEAN,QTR_ROLL,"&amp;AI2&amp;",NOW,,,'')")</f>
        <v>3386</v>
      </c>
      <c r="AJ10" s="577" cm="1">
        <f t="array" ref="AJ10">_xll.FDS("INTU-US","FE_ESTIMATE(SALES,MEAN,QTR_ROLL,"&amp;AJ2&amp;",NOW,,,'')")</f>
        <v>6737</v>
      </c>
      <c r="AK10" s="578" cm="1">
        <f t="array" ref="AK10">_xll.FDS("INTU-US","FE_ESTIMATE(SALES,MEAN,QTR_ROLL,"&amp;AK2&amp;",NOW,,,'')")</f>
        <v>3184</v>
      </c>
      <c r="AL10" s="577" cm="1">
        <f t="array" ref="AL10">_xll.FDS("INTU-US","FE_ESTIMATE(SALES,MEAN,QTR_ROLL,"&amp;AL2&amp;",NOW,,,'')")</f>
        <v>3283</v>
      </c>
      <c r="AM10" s="577" cm="1">
        <f t="array" ref="AM10">_xll.FDS("INTU-US","FE_ESTIMATE(SALES,MEAN,QTR_ROLL,"&amp;AM2&amp;",NOW,,,'')")</f>
        <v>3963</v>
      </c>
      <c r="AN10" s="577" cm="1">
        <f t="array" ref="AN10">_xll.FDS("INTU-US","FE_ESTIMATE(SALES,MEAN,QTR_ROLL,"&amp;AN2&amp;",NOW,,,'')")</f>
        <v>7754</v>
      </c>
      <c r="AO10" s="578" cm="1">
        <f t="array" ref="AO10">_xll.FDS("INTU-US","FE_ESTIMATE(SALES,MEAN,QTR_ROLL,"&amp;AO2&amp;",NOW,,,'')")</f>
        <v>3831</v>
      </c>
      <c r="AP10" s="577" cm="1">
        <f t="array" ref="AP10">_xll.FDS("INTU-US","FE_ESTIMATE(SALES,MEAN,QTR_ROLL,"&amp;AP2&amp;",NOW,,,'')")</f>
        <v>3885</v>
      </c>
      <c r="AQ10" s="577" cm="1">
        <f t="array" ref="AQ10">_xll.FDS("INTU-US","FE_ESTIMATE(SALES,MEAN,QTR_ROLL,"&amp;AQ2&amp;",NOW,,,'')")</f>
        <v>4533.6143000000002</v>
      </c>
      <c r="AR10" s="577" cm="1">
        <f t="array" ref="AR10">_xll.FDS("INTU-US","FE_ESTIMATE(SALES,MEAN,QTR_ROLL,"&amp;AR2&amp;",NOW,,,'')")</f>
        <v>8517.9339999999993</v>
      </c>
      <c r="AS10" s="578" cm="1">
        <f t="array" ref="AS10">_xll.FDS("INTU-US","FE_ESTIMATE(SALES,MEAN,QTR_ROLL,"&amp;AS2&amp;",NOW,,,'')")</f>
        <v>4244.4480000000003</v>
      </c>
      <c r="AT10" s="577" cm="1">
        <f t="array" ref="AT10">_xll.FDS("INTU-US","FE_ESTIMATE(SALES,MEAN,QTR_ROLL,"&amp;AT2&amp;",NOW,,,'')")</f>
        <v>4426.5640000000003</v>
      </c>
      <c r="AU10" s="577" cm="1">
        <f t="array" ref="AU10">_xll.FDS("INTU-US","FE_ESTIMATE(SALES,MEAN,QTR_ROLL,"&amp;AU2&amp;",NOW,,,'')")</f>
        <v>5111.6016</v>
      </c>
      <c r="AV10" s="577" cm="1">
        <f t="array" ref="AV10">_xll.FDS("INTU-US","FE_ESTIMATE(SALES,MEAN,QTR_ROLL,"&amp;AV2&amp;",NOW,,,'')")</f>
        <v>9374.0139999999992</v>
      </c>
      <c r="AW10" s="578" cm="1">
        <f t="array" ref="AW10">_xll.FDS("INTU-US","FE_ESTIMATE(SALES,MEAN,QTR_ROLL,"&amp;AW2&amp;",NOW,,,'')")</f>
        <v>4839.0522000000001</v>
      </c>
      <c r="AX10" s="577" cm="1">
        <f t="array" ref="AX10">_xll.FDS("INTU-US","FE_ESTIMATE(SALES,MEAN,QTR_ROLL,"&amp;AX2&amp;",NOW,,,'')")</f>
        <v>5020.7309999999998</v>
      </c>
      <c r="AY10" s="577" cm="1">
        <f t="array" ref="AY10">_xll.FDS("INTU-US","FE_ESTIMATE(SALES,MEAN,QTR_ROLL,"&amp;AY2&amp;",NOW,,,'')")</f>
        <v>5741.7094999999999</v>
      </c>
      <c r="AZ10" s="577" cm="1">
        <f t="array" ref="AZ10">_xll.FDS("INTU-US","FE_ESTIMATE(SALES,MEAN,QTR_ROLL,"&amp;AZ2&amp;",NOW,,,'')")</f>
        <v>10220.325999999999</v>
      </c>
      <c r="BA10" s="578" cm="1">
        <f t="array" ref="BA10">_xll.FDS("INTU-US","FE_ESTIMATE(SALES,MEAN,QTR_ROLL,"&amp;BA2&amp;",NOW,,,'')")</f>
        <v>5422.1494000000002</v>
      </c>
      <c r="BB10" s="317"/>
      <c r="BC10" s="385"/>
      <c r="BD10" s="385"/>
      <c r="BE10" s="318"/>
      <c r="BF10" s="385"/>
      <c r="BG10" s="589">
        <f>SUM(N10:Q10)</f>
        <v>6784</v>
      </c>
      <c r="BH10" s="589">
        <f>+SUM(R10:U10)</f>
        <v>7680.26</v>
      </c>
      <c r="BI10" s="589">
        <f>SUM(V10:Y10)</f>
        <v>9633</v>
      </c>
      <c r="BJ10" s="589">
        <f>+SUM(Z10:AC10)</f>
        <v>12726</v>
      </c>
      <c r="BK10" s="589">
        <f>+SUM(AD10:AG10)</f>
        <v>14368</v>
      </c>
      <c r="BL10" s="589">
        <f>+SUM(AH10:AK10)</f>
        <v>16285</v>
      </c>
      <c r="BM10" s="589">
        <f t="shared" ref="BM10" si="9">+SUM(AL10:AO10)</f>
        <v>18831</v>
      </c>
      <c r="BN10" s="589">
        <f>+SUM(AP10:AS10)</f>
        <v>21180.996300000003</v>
      </c>
      <c r="BO10" s="589">
        <f>+SUM(AT10:AW10)</f>
        <v>23751.231800000001</v>
      </c>
      <c r="BP10" s="589">
        <f>+SUM(AX10:BA10)</f>
        <v>26404.9159</v>
      </c>
      <c r="BQ10" s="319"/>
      <c r="BR10" s="1446"/>
      <c r="BS10" s="1446"/>
      <c r="BT10" s="1446"/>
    </row>
    <row r="11" spans="1:76" s="305" customFormat="1" ht="12" customHeight="1" collapsed="1">
      <c r="A11" s="948"/>
      <c r="B11" s="571"/>
      <c r="C11" s="571"/>
      <c r="D11" s="571"/>
      <c r="E11" s="572"/>
      <c r="F11" s="571"/>
      <c r="G11" s="571"/>
      <c r="H11" s="571"/>
      <c r="I11" s="572"/>
      <c r="J11" s="571"/>
      <c r="K11" s="571"/>
      <c r="L11" s="571"/>
      <c r="M11" s="572"/>
      <c r="N11" s="575"/>
      <c r="O11" s="571"/>
      <c r="P11" s="571"/>
      <c r="Q11" s="572"/>
      <c r="R11" s="307"/>
      <c r="S11" s="307"/>
      <c r="T11" s="307"/>
      <c r="U11" s="308"/>
      <c r="V11" s="307"/>
      <c r="W11" s="307"/>
      <c r="X11" s="307"/>
      <c r="Y11" s="308"/>
      <c r="Z11" s="307"/>
      <c r="AA11" s="508"/>
      <c r="AB11" s="307"/>
      <c r="AC11" s="308"/>
      <c r="AD11" s="307"/>
      <c r="AE11" s="307"/>
      <c r="AF11" s="307"/>
      <c r="AG11" s="308"/>
      <c r="AH11" s="307"/>
      <c r="AI11" s="307"/>
      <c r="AJ11" s="307"/>
      <c r="AK11" s="308"/>
      <c r="AL11" s="307"/>
      <c r="AM11" s="307"/>
      <c r="AN11" s="307"/>
      <c r="AO11" s="2004"/>
      <c r="AP11" s="307"/>
      <c r="AQ11" s="307"/>
      <c r="AR11" s="1481"/>
      <c r="AS11" s="1482"/>
      <c r="AT11" s="1481"/>
      <c r="AU11" s="1481"/>
      <c r="AV11" s="1481"/>
      <c r="AW11" s="1482"/>
      <c r="AX11" s="1481"/>
      <c r="AY11" s="1481"/>
      <c r="AZ11" s="1481"/>
      <c r="BA11" s="1482"/>
      <c r="BB11" s="1483"/>
      <c r="BC11" s="1330"/>
      <c r="BD11" s="1330"/>
      <c r="BE11" s="1330"/>
      <c r="BF11" s="1330"/>
      <c r="BG11" s="1330"/>
      <c r="BH11" s="1330"/>
      <c r="BI11" s="1330"/>
      <c r="BJ11" s="1330"/>
      <c r="BK11" s="1330"/>
      <c r="BL11" s="1330"/>
      <c r="BM11" s="2040"/>
      <c r="BN11" s="2041"/>
      <c r="BO11" s="1480"/>
      <c r="BP11" s="1480"/>
      <c r="BQ11" s="304"/>
      <c r="BR11" s="1379"/>
      <c r="BS11" s="1379"/>
      <c r="BT11" s="1379"/>
      <c r="BU11" s="1032"/>
    </row>
    <row r="12" spans="1:76" s="316" customFormat="1" ht="12" customHeight="1">
      <c r="A12" s="954" t="s">
        <v>59</v>
      </c>
      <c r="B12" s="573"/>
      <c r="C12" s="573"/>
      <c r="D12" s="573"/>
      <c r="E12" s="574"/>
      <c r="F12" s="573"/>
      <c r="G12" s="573"/>
      <c r="H12" s="573"/>
      <c r="I12" s="574"/>
      <c r="J12" s="573"/>
      <c r="K12" s="573"/>
      <c r="L12" s="573"/>
      <c r="M12" s="574"/>
      <c r="N12" s="576"/>
      <c r="O12" s="573"/>
      <c r="P12" s="573"/>
      <c r="Q12" s="574"/>
      <c r="R12" s="311"/>
      <c r="S12" s="311"/>
      <c r="T12" s="311"/>
      <c r="U12" s="312"/>
      <c r="V12" s="311"/>
      <c r="W12" s="311"/>
      <c r="X12" s="311"/>
      <c r="Y12" s="312"/>
      <c r="Z12" s="311"/>
      <c r="AA12" s="311"/>
      <c r="AB12" s="311"/>
      <c r="AC12" s="312"/>
      <c r="AD12" s="311"/>
      <c r="AE12" s="311"/>
      <c r="AF12" s="311"/>
      <c r="AG12" s="312"/>
      <c r="AH12" s="311"/>
      <c r="AI12" s="311"/>
      <c r="AJ12" s="311"/>
      <c r="AK12" s="312"/>
      <c r="AL12" s="311"/>
      <c r="AM12" s="311"/>
      <c r="AN12" s="311"/>
      <c r="AO12" s="2004"/>
      <c r="AP12" s="311"/>
      <c r="AQ12" s="311"/>
      <c r="AR12" s="1484"/>
      <c r="AS12" s="1485"/>
      <c r="AT12" s="1484"/>
      <c r="AU12" s="1484"/>
      <c r="AV12" s="1484"/>
      <c r="AW12" s="1485"/>
      <c r="AX12" s="1484"/>
      <c r="AY12" s="1484"/>
      <c r="AZ12" s="1484"/>
      <c r="BA12" s="1485"/>
      <c r="BB12" s="1486"/>
      <c r="BC12" s="1487"/>
      <c r="BD12" s="1487"/>
      <c r="BE12" s="1487"/>
      <c r="BF12" s="1487"/>
      <c r="BG12" s="1487"/>
      <c r="BH12" s="1487"/>
      <c r="BI12" s="1487"/>
      <c r="BJ12" s="1487"/>
      <c r="BK12" s="1487"/>
      <c r="BL12" s="1487"/>
      <c r="BM12" s="1480"/>
      <c r="BN12" s="1480"/>
      <c r="BO12" s="1480"/>
      <c r="BP12" s="1480"/>
      <c r="BQ12" s="314"/>
      <c r="BR12" s="1444"/>
      <c r="BS12" s="2134"/>
      <c r="BT12" s="2134"/>
      <c r="BU12" s="2134"/>
      <c r="BV12" s="2134"/>
      <c r="BW12" s="2134"/>
      <c r="BX12" s="2134"/>
    </row>
    <row r="13" spans="1:76" s="322" customFormat="1" ht="12" customHeight="1">
      <c r="A13" s="948" t="s">
        <v>270</v>
      </c>
      <c r="B13" s="571">
        <f t="shared" ref="B13:T13" si="10">+B112</f>
        <v>29</v>
      </c>
      <c r="C13" s="571">
        <f t="shared" si="10"/>
        <v>40</v>
      </c>
      <c r="D13" s="571">
        <f t="shared" si="10"/>
        <v>30</v>
      </c>
      <c r="E13" s="572">
        <f t="shared" si="10"/>
        <v>32</v>
      </c>
      <c r="F13" s="571">
        <f t="shared" si="10"/>
        <v>29</v>
      </c>
      <c r="G13" s="571">
        <f t="shared" si="10"/>
        <v>37</v>
      </c>
      <c r="H13" s="571">
        <f t="shared" si="10"/>
        <v>29</v>
      </c>
      <c r="I13" s="572">
        <f t="shared" si="10"/>
        <v>25</v>
      </c>
      <c r="J13" s="571">
        <f t="shared" si="10"/>
        <v>18</v>
      </c>
      <c r="K13" s="571">
        <f t="shared" si="10"/>
        <v>27</v>
      </c>
      <c r="L13" s="571">
        <f t="shared" si="10"/>
        <v>20</v>
      </c>
      <c r="M13" s="572">
        <f t="shared" si="10"/>
        <v>17</v>
      </c>
      <c r="N13" s="575">
        <f t="shared" si="10"/>
        <v>15</v>
      </c>
      <c r="O13" s="571">
        <f t="shared" si="10"/>
        <v>26</v>
      </c>
      <c r="P13" s="571">
        <f t="shared" si="10"/>
        <v>19</v>
      </c>
      <c r="Q13" s="572">
        <f t="shared" si="10"/>
        <v>17</v>
      </c>
      <c r="R13" s="575">
        <f t="shared" si="10"/>
        <v>17</v>
      </c>
      <c r="S13" s="571">
        <f t="shared" si="10"/>
        <v>24</v>
      </c>
      <c r="T13" s="571">
        <f t="shared" si="10"/>
        <v>16</v>
      </c>
      <c r="U13" s="572">
        <f>+U112</f>
        <v>15</v>
      </c>
      <c r="V13" s="571">
        <f>+V112</f>
        <v>15</v>
      </c>
      <c r="W13" s="571">
        <f>+W112</f>
        <v>22</v>
      </c>
      <c r="X13" s="571">
        <f t="shared" ref="X13" si="11">+X112</f>
        <v>16</v>
      </c>
      <c r="Y13" s="572">
        <f>+Y112</f>
        <v>16</v>
      </c>
      <c r="Z13" s="571">
        <f>+Z112</f>
        <v>15</v>
      </c>
      <c r="AA13" s="571">
        <f>+AA112</f>
        <v>20</v>
      </c>
      <c r="AB13" s="571">
        <f t="shared" ref="AB13" si="12">+AB112</f>
        <v>18</v>
      </c>
      <c r="AC13" s="572">
        <f>+AC112</f>
        <v>16</v>
      </c>
      <c r="AD13" s="571">
        <f>+AD112</f>
        <v>15</v>
      </c>
      <c r="AE13" s="571">
        <f>+AE112</f>
        <v>23</v>
      </c>
      <c r="AF13" s="571">
        <f t="shared" ref="AF13" si="13">+AF112</f>
        <v>17</v>
      </c>
      <c r="AG13" s="572">
        <f>+AG112</f>
        <v>16</v>
      </c>
      <c r="AH13" s="571">
        <f>+AH112</f>
        <v>15</v>
      </c>
      <c r="AI13" s="571">
        <f>+AI112</f>
        <v>23</v>
      </c>
      <c r="AJ13" s="571">
        <f t="shared" ref="AJ13" si="14">+AJ112</f>
        <v>17</v>
      </c>
      <c r="AK13" s="572">
        <f>+AK112</f>
        <v>14</v>
      </c>
      <c r="AL13" s="571">
        <f>+AL112</f>
        <v>14</v>
      </c>
      <c r="AM13" s="571">
        <f>+AM112</f>
        <v>20</v>
      </c>
      <c r="AN13" s="571">
        <f t="shared" ref="AN13" si="15">+AN112</f>
        <v>18</v>
      </c>
      <c r="AO13" s="572">
        <f>+AO112</f>
        <v>16</v>
      </c>
      <c r="AP13" s="571">
        <f>+AP112</f>
        <v>15</v>
      </c>
      <c r="AQ13" s="571">
        <f>+AQ112</f>
        <v>18</v>
      </c>
      <c r="AR13" s="571">
        <f t="shared" ref="AR13:AS13" si="16">+AR7*(1-AR94)</f>
        <v>19.082807383580416</v>
      </c>
      <c r="AS13" s="572">
        <f t="shared" si="16"/>
        <v>16.903710858512571</v>
      </c>
      <c r="AT13" s="326">
        <f t="shared" ref="AT13:AW13" si="17">+AT7*(1-AT94)</f>
        <v>16.032484952829542</v>
      </c>
      <c r="AU13" s="326">
        <f t="shared" si="17"/>
        <v>19.237958889300007</v>
      </c>
      <c r="AV13" s="571">
        <f t="shared" si="17"/>
        <v>20.203133213838466</v>
      </c>
      <c r="AW13" s="572">
        <f t="shared" si="17"/>
        <v>17.920396135204498</v>
      </c>
      <c r="AX13" s="326">
        <f t="shared" ref="AX13:BA13" si="18">+AX7*(1-AX94)</f>
        <v>16.785895188069485</v>
      </c>
      <c r="AY13" s="326">
        <f t="shared" si="18"/>
        <v>20.40801285682759</v>
      </c>
      <c r="AZ13" s="571">
        <f t="shared" si="18"/>
        <v>21.394037448203672</v>
      </c>
      <c r="BA13" s="572">
        <f t="shared" si="18"/>
        <v>19.103279796907337</v>
      </c>
      <c r="BB13" s="321"/>
      <c r="BC13" s="368"/>
      <c r="BD13" s="590">
        <f t="shared" ref="BD13:BD16" si="19">+SUM(B13:E13)</f>
        <v>131</v>
      </c>
      <c r="BE13" s="575">
        <f t="shared" ref="BE13:BE16" si="20">+SUM(F13:I13)</f>
        <v>120</v>
      </c>
      <c r="BF13" s="590">
        <f t="shared" ref="BF13:BF17" si="21">+SUM(J13:M13)</f>
        <v>82</v>
      </c>
      <c r="BG13" s="590">
        <f t="shared" ref="BG13:BG17" si="22">SUM(N13:Q13)</f>
        <v>77</v>
      </c>
      <c r="BH13" s="590">
        <f t="shared" ref="BH13:BH17" si="23">+SUM(R13:U13)</f>
        <v>72</v>
      </c>
      <c r="BI13" s="590">
        <f t="shared" ref="BI13:BI17" si="24">SUM(V13:Y13)</f>
        <v>69</v>
      </c>
      <c r="BJ13" s="590">
        <f t="shared" ref="BJ13:BJ17" si="25">+SUM(Z13:AC13)</f>
        <v>69</v>
      </c>
      <c r="BK13" s="590">
        <f t="shared" ref="BK13:BK17" si="26">+SUM(AD13:AG13)</f>
        <v>71</v>
      </c>
      <c r="BL13" s="590">
        <f>+SUM(AH13:AK13)</f>
        <v>69</v>
      </c>
      <c r="BM13" s="590">
        <f t="shared" ref="BM13:BM16" si="27">+SUM(AL13:AO13)</f>
        <v>68</v>
      </c>
      <c r="BN13" s="590">
        <f>+SUM(AP13:AS13)</f>
        <v>68.986518242092984</v>
      </c>
      <c r="BO13" s="590">
        <f>+SUM(AT13:AW13)</f>
        <v>73.39397319117252</v>
      </c>
      <c r="BP13" s="590">
        <f>+SUM(AX13:BA13)</f>
        <v>77.691225290008077</v>
      </c>
      <c r="BQ13" s="321"/>
      <c r="BR13" s="1445"/>
      <c r="BS13" s="1445"/>
      <c r="BT13" s="1445"/>
    </row>
    <row r="14" spans="1:76" s="322" customFormat="1" ht="12" customHeight="1">
      <c r="A14" s="948" t="s">
        <v>271</v>
      </c>
      <c r="B14" s="571">
        <f t="shared" ref="B14:U14" si="28">+B113-B146</f>
        <v>129</v>
      </c>
      <c r="C14" s="571">
        <f t="shared" si="28"/>
        <v>151</v>
      </c>
      <c r="D14" s="571">
        <f t="shared" si="28"/>
        <v>179</v>
      </c>
      <c r="E14" s="572">
        <f t="shared" si="28"/>
        <v>132</v>
      </c>
      <c r="F14" s="571">
        <f t="shared" si="28"/>
        <v>149</v>
      </c>
      <c r="G14" s="571">
        <f t="shared" si="28"/>
        <v>164</v>
      </c>
      <c r="H14" s="571">
        <f t="shared" si="28"/>
        <v>203</v>
      </c>
      <c r="I14" s="572">
        <f t="shared" si="28"/>
        <v>153</v>
      </c>
      <c r="J14" s="571">
        <f t="shared" si="28"/>
        <v>175</v>
      </c>
      <c r="K14" s="571">
        <f t="shared" si="28"/>
        <v>203</v>
      </c>
      <c r="L14" s="571">
        <f t="shared" si="28"/>
        <v>266</v>
      </c>
      <c r="M14" s="572">
        <f t="shared" si="28"/>
        <v>194</v>
      </c>
      <c r="N14" s="575">
        <f t="shared" si="28"/>
        <v>213</v>
      </c>
      <c r="O14" s="571">
        <f t="shared" si="28"/>
        <v>239</v>
      </c>
      <c r="P14" s="571">
        <f t="shared" si="28"/>
        <v>315</v>
      </c>
      <c r="Q14" s="572">
        <f t="shared" si="28"/>
        <v>245</v>
      </c>
      <c r="R14" s="575">
        <f t="shared" si="28"/>
        <v>252</v>
      </c>
      <c r="S14" s="571">
        <f t="shared" si="28"/>
        <v>296</v>
      </c>
      <c r="T14" s="571">
        <f t="shared" si="28"/>
        <v>390</v>
      </c>
      <c r="U14" s="572">
        <f t="shared" si="28"/>
        <v>286</v>
      </c>
      <c r="V14" s="571">
        <f>+V113-V146</f>
        <v>219</v>
      </c>
      <c r="W14" s="571">
        <f>+W113-W146</f>
        <v>315</v>
      </c>
      <c r="X14" s="571">
        <f t="shared" ref="X14:Y14" si="29">+X113-X146</f>
        <v>549</v>
      </c>
      <c r="Y14" s="572">
        <f t="shared" si="29"/>
        <v>412</v>
      </c>
      <c r="Z14" s="571">
        <f>+Z113-Z146</f>
        <v>360</v>
      </c>
      <c r="AA14" s="571">
        <f>+AA113-AA146</f>
        <v>465</v>
      </c>
      <c r="AB14" s="571">
        <f t="shared" ref="AB14:AC14" si="30">+AB113-AB146</f>
        <v>724</v>
      </c>
      <c r="AC14" s="572">
        <f t="shared" si="30"/>
        <v>502</v>
      </c>
      <c r="AD14" s="571">
        <f>+AD113-AD146</f>
        <v>534</v>
      </c>
      <c r="AE14" s="571">
        <f>+AE113-AE146</f>
        <v>618</v>
      </c>
      <c r="AF14" s="571">
        <f t="shared" ref="AF14:AG14" si="31">+AF113-AF146</f>
        <v>810</v>
      </c>
      <c r="AG14" s="572">
        <f t="shared" si="31"/>
        <v>573</v>
      </c>
      <c r="AH14" s="571">
        <f>+AH113-AH146</f>
        <v>606</v>
      </c>
      <c r="AI14" s="571">
        <f>+AI113-AI146</f>
        <v>695</v>
      </c>
      <c r="AJ14" s="571">
        <f t="shared" ref="AJ14:AK14" si="32">+AJ113-AJ146</f>
        <v>916</v>
      </c>
      <c r="AK14" s="572">
        <f t="shared" si="32"/>
        <v>631</v>
      </c>
      <c r="AL14" s="571">
        <f>+AL113-AL146</f>
        <v>661</v>
      </c>
      <c r="AM14" s="571">
        <f>+AM113-AM146</f>
        <v>770</v>
      </c>
      <c r="AN14" s="571">
        <f t="shared" ref="AN14:AO14" si="33">+AN113-AN146</f>
        <v>1037</v>
      </c>
      <c r="AO14" s="572">
        <f t="shared" si="33"/>
        <v>733</v>
      </c>
      <c r="AP14" s="571">
        <f>+AP113-AP146</f>
        <v>727</v>
      </c>
      <c r="AQ14" s="571">
        <f>+AQ113-AQ146</f>
        <v>887</v>
      </c>
      <c r="AR14" s="571">
        <f t="shared" ref="AR14:AS14" si="34">+AR8*(1-AR95)</f>
        <v>1139.265987308351</v>
      </c>
      <c r="AS14" s="572">
        <f t="shared" si="34"/>
        <v>820.11578953687899</v>
      </c>
      <c r="AT14" s="326">
        <f t="shared" ref="AT14:AW14" si="35">+AT8*(1-AT95)</f>
        <v>832.10537227567011</v>
      </c>
      <c r="AU14" s="326">
        <f t="shared" si="35"/>
        <v>1023.6910651893847</v>
      </c>
      <c r="AV14" s="571">
        <f t="shared" si="35"/>
        <v>1253.2086521779527</v>
      </c>
      <c r="AW14" s="572">
        <f t="shared" si="35"/>
        <v>922.24501692471108</v>
      </c>
      <c r="AX14" s="326">
        <f t="shared" ref="AX14:BA14" si="36">+AX8*(1-AX95)</f>
        <v>944.70390267039352</v>
      </c>
      <c r="AY14" s="326">
        <f t="shared" si="36"/>
        <v>1177.4225629788434</v>
      </c>
      <c r="AZ14" s="571">
        <f t="shared" si="36"/>
        <v>1384.4558929443613</v>
      </c>
      <c r="BA14" s="572">
        <f t="shared" si="36"/>
        <v>1044.184370255681</v>
      </c>
      <c r="BB14" s="321"/>
      <c r="BC14" s="368"/>
      <c r="BD14" s="590">
        <f t="shared" si="19"/>
        <v>591</v>
      </c>
      <c r="BE14" s="575">
        <f t="shared" si="20"/>
        <v>669</v>
      </c>
      <c r="BF14" s="590">
        <f t="shared" si="21"/>
        <v>838</v>
      </c>
      <c r="BG14" s="590">
        <f t="shared" si="22"/>
        <v>1012</v>
      </c>
      <c r="BH14" s="590">
        <f t="shared" si="23"/>
        <v>1224</v>
      </c>
      <c r="BI14" s="590">
        <f t="shared" si="24"/>
        <v>1495</v>
      </c>
      <c r="BJ14" s="590">
        <f t="shared" si="25"/>
        <v>2051</v>
      </c>
      <c r="BK14" s="590">
        <f t="shared" si="26"/>
        <v>2535</v>
      </c>
      <c r="BL14" s="590">
        <f>+SUM(AH14:AK14)</f>
        <v>2848</v>
      </c>
      <c r="BM14" s="590">
        <f t="shared" si="27"/>
        <v>3201</v>
      </c>
      <c r="BN14" s="590">
        <f>+SUM(AP14:AS14)</f>
        <v>3573.38177684523</v>
      </c>
      <c r="BO14" s="590">
        <f>+SUM(AT14:AW14)</f>
        <v>4031.2501065677188</v>
      </c>
      <c r="BP14" s="590">
        <f>+SUM(AX14:BA14)</f>
        <v>4550.7667288492785</v>
      </c>
      <c r="BQ14" s="321"/>
      <c r="BR14" s="1445"/>
      <c r="BS14" s="1445"/>
      <c r="BT14" s="1445"/>
    </row>
    <row r="15" spans="1:76" s="316" customFormat="1" ht="12" customHeight="1">
      <c r="A15" s="953" t="s">
        <v>32</v>
      </c>
      <c r="B15" s="573">
        <f t="shared" ref="B15:U15" si="37">+SUM(B13:B14)</f>
        <v>158</v>
      </c>
      <c r="C15" s="573">
        <f t="shared" si="37"/>
        <v>191</v>
      </c>
      <c r="D15" s="573">
        <f t="shared" si="37"/>
        <v>209</v>
      </c>
      <c r="E15" s="574">
        <f t="shared" si="37"/>
        <v>164</v>
      </c>
      <c r="F15" s="573">
        <f t="shared" si="37"/>
        <v>178</v>
      </c>
      <c r="G15" s="573">
        <f t="shared" si="37"/>
        <v>201</v>
      </c>
      <c r="H15" s="573">
        <f t="shared" si="37"/>
        <v>232</v>
      </c>
      <c r="I15" s="574">
        <f t="shared" si="37"/>
        <v>178</v>
      </c>
      <c r="J15" s="573">
        <f t="shared" si="37"/>
        <v>193</v>
      </c>
      <c r="K15" s="573">
        <f t="shared" si="37"/>
        <v>230</v>
      </c>
      <c r="L15" s="573">
        <f t="shared" si="37"/>
        <v>286</v>
      </c>
      <c r="M15" s="574">
        <f t="shared" si="37"/>
        <v>211</v>
      </c>
      <c r="N15" s="576">
        <f t="shared" si="37"/>
        <v>228</v>
      </c>
      <c r="O15" s="573">
        <f t="shared" si="37"/>
        <v>265</v>
      </c>
      <c r="P15" s="573">
        <f t="shared" si="37"/>
        <v>334</v>
      </c>
      <c r="Q15" s="574">
        <f t="shared" si="37"/>
        <v>262</v>
      </c>
      <c r="R15" s="576">
        <f t="shared" si="37"/>
        <v>269</v>
      </c>
      <c r="S15" s="573">
        <f t="shared" si="37"/>
        <v>320</v>
      </c>
      <c r="T15" s="573">
        <f t="shared" si="37"/>
        <v>406</v>
      </c>
      <c r="U15" s="574">
        <f t="shared" si="37"/>
        <v>301</v>
      </c>
      <c r="V15" s="573">
        <f>+SUM(V13:V14)</f>
        <v>234</v>
      </c>
      <c r="W15" s="573">
        <f>+SUM(W13:W14)</f>
        <v>337</v>
      </c>
      <c r="X15" s="573">
        <f t="shared" ref="X15" si="38">+SUM(X13:X14)</f>
        <v>565</v>
      </c>
      <c r="Y15" s="574">
        <f t="shared" ref="Y15:AL15" si="39">+SUM(Y13:Y14)</f>
        <v>428</v>
      </c>
      <c r="Z15" s="573">
        <f>+SUM(Z13:Z14)</f>
        <v>375</v>
      </c>
      <c r="AA15" s="573">
        <f>+SUM(AA13:AA14)</f>
        <v>485</v>
      </c>
      <c r="AB15" s="573">
        <f t="shared" ref="AB15" si="40">+SUM(AB13:AB14)</f>
        <v>742</v>
      </c>
      <c r="AC15" s="574">
        <f t="shared" si="39"/>
        <v>518</v>
      </c>
      <c r="AD15" s="323">
        <f t="shared" si="39"/>
        <v>549</v>
      </c>
      <c r="AE15" s="323">
        <f t="shared" si="39"/>
        <v>641</v>
      </c>
      <c r="AF15" s="573">
        <f t="shared" si="39"/>
        <v>827</v>
      </c>
      <c r="AG15" s="1057">
        <f t="shared" si="39"/>
        <v>589</v>
      </c>
      <c r="AH15" s="323">
        <f t="shared" ref="AH15" si="41">+SUM(AH13:AH14)</f>
        <v>621</v>
      </c>
      <c r="AI15" s="323">
        <f t="shared" si="39"/>
        <v>718</v>
      </c>
      <c r="AJ15" s="573">
        <f t="shared" ref="AJ15:AK15" si="42">+SUM(AJ13:AJ14)</f>
        <v>933</v>
      </c>
      <c r="AK15" s="1057">
        <f t="shared" si="42"/>
        <v>645</v>
      </c>
      <c r="AL15" s="323">
        <f t="shared" si="39"/>
        <v>675</v>
      </c>
      <c r="AM15" s="323">
        <f t="shared" ref="AM15:AP15" si="43">+SUM(AM13:AM14)</f>
        <v>790</v>
      </c>
      <c r="AN15" s="323">
        <f t="shared" si="43"/>
        <v>1055</v>
      </c>
      <c r="AO15" s="1057">
        <f t="shared" si="43"/>
        <v>749</v>
      </c>
      <c r="AP15" s="323">
        <f t="shared" si="43"/>
        <v>742</v>
      </c>
      <c r="AQ15" s="323">
        <f t="shared" ref="AQ15" si="44">+SUM(AQ13:AQ14)</f>
        <v>905</v>
      </c>
      <c r="AR15" s="573">
        <f t="shared" ref="AR15:AS15" si="45">+SUM(AR13:AR14)</f>
        <v>1158.3487946919313</v>
      </c>
      <c r="AS15" s="574">
        <f t="shared" si="45"/>
        <v>837.01950039539156</v>
      </c>
      <c r="AT15" s="323">
        <f t="shared" ref="AT15:AW15" si="46">+SUM(AT13:AT14)</f>
        <v>848.13785722849968</v>
      </c>
      <c r="AU15" s="323">
        <f t="shared" si="46"/>
        <v>1042.9290240786847</v>
      </c>
      <c r="AV15" s="573">
        <f t="shared" si="46"/>
        <v>1273.4117853917912</v>
      </c>
      <c r="AW15" s="574">
        <f t="shared" si="46"/>
        <v>940.16541305991564</v>
      </c>
      <c r="AX15" s="323">
        <f t="shared" ref="AX15:BA15" si="47">+SUM(AX13:AX14)</f>
        <v>961.48979785846302</v>
      </c>
      <c r="AY15" s="323">
        <f t="shared" si="47"/>
        <v>1197.830575835671</v>
      </c>
      <c r="AZ15" s="573">
        <f t="shared" si="47"/>
        <v>1405.8499303925648</v>
      </c>
      <c r="BA15" s="574">
        <f t="shared" si="47"/>
        <v>1063.2876500525883</v>
      </c>
      <c r="BB15" s="314"/>
      <c r="BC15" s="372"/>
      <c r="BD15" s="591">
        <f t="shared" si="19"/>
        <v>722</v>
      </c>
      <c r="BE15" s="576">
        <f t="shared" si="20"/>
        <v>789</v>
      </c>
      <c r="BF15" s="591">
        <f t="shared" si="21"/>
        <v>920</v>
      </c>
      <c r="BG15" s="591">
        <f t="shared" si="22"/>
        <v>1089</v>
      </c>
      <c r="BH15" s="591">
        <f t="shared" si="23"/>
        <v>1296</v>
      </c>
      <c r="BI15" s="591">
        <f t="shared" si="24"/>
        <v>1564</v>
      </c>
      <c r="BJ15" s="591">
        <f t="shared" si="25"/>
        <v>2120</v>
      </c>
      <c r="BK15" s="591">
        <f t="shared" si="26"/>
        <v>2606</v>
      </c>
      <c r="BL15" s="591">
        <f>+SUM(AH15:AK15)</f>
        <v>2917</v>
      </c>
      <c r="BM15" s="591">
        <f t="shared" si="27"/>
        <v>3269</v>
      </c>
      <c r="BN15" s="591">
        <f>+SUM(AP15:AS15)</f>
        <v>3642.3682950873226</v>
      </c>
      <c r="BO15" s="591">
        <f>+SUM(AT15:AW15)</f>
        <v>4104.6440797588912</v>
      </c>
      <c r="BP15" s="591">
        <f>+SUM(AX15:BA15)</f>
        <v>4628.4579541392868</v>
      </c>
      <c r="BQ15" s="314"/>
      <c r="BR15" s="1444"/>
      <c r="BS15" s="1444"/>
      <c r="BT15" s="1444"/>
    </row>
    <row r="16" spans="1:76" s="322" customFormat="1" ht="12" customHeight="1">
      <c r="A16" s="949" t="s">
        <v>2</v>
      </c>
      <c r="B16" s="571">
        <f t="shared" ref="B16:U16" si="48">+B9-B15</f>
        <v>555</v>
      </c>
      <c r="C16" s="571">
        <f t="shared" si="48"/>
        <v>732</v>
      </c>
      <c r="D16" s="571">
        <f t="shared" si="48"/>
        <v>2095</v>
      </c>
      <c r="E16" s="572">
        <f t="shared" si="48"/>
        <v>590</v>
      </c>
      <c r="F16" s="571">
        <f t="shared" si="48"/>
        <v>600</v>
      </c>
      <c r="G16" s="571">
        <f t="shared" si="48"/>
        <v>815</v>
      </c>
      <c r="H16" s="571">
        <f t="shared" si="48"/>
        <v>2309</v>
      </c>
      <c r="I16" s="572">
        <f t="shared" si="48"/>
        <v>664</v>
      </c>
      <c r="J16" s="571">
        <f t="shared" si="48"/>
        <v>717</v>
      </c>
      <c r="K16" s="571">
        <f t="shared" si="48"/>
        <v>1109</v>
      </c>
      <c r="L16" s="571">
        <f t="shared" si="48"/>
        <v>2626</v>
      </c>
      <c r="M16" s="572">
        <f t="shared" si="48"/>
        <v>653</v>
      </c>
      <c r="N16" s="575">
        <f t="shared" si="48"/>
        <v>788</v>
      </c>
      <c r="O16" s="571">
        <f t="shared" si="48"/>
        <v>1237</v>
      </c>
      <c r="P16" s="571">
        <f t="shared" si="48"/>
        <v>2938</v>
      </c>
      <c r="Q16" s="572">
        <f t="shared" si="48"/>
        <v>732</v>
      </c>
      <c r="R16" s="575">
        <f t="shared" si="48"/>
        <v>896</v>
      </c>
      <c r="S16" s="571">
        <f t="shared" si="48"/>
        <v>1376</v>
      </c>
      <c r="T16" s="571">
        <f t="shared" si="48"/>
        <v>2596</v>
      </c>
      <c r="U16" s="572">
        <f t="shared" si="48"/>
        <v>1515</v>
      </c>
      <c r="V16" s="571">
        <f>+V9-V15</f>
        <v>1089</v>
      </c>
      <c r="W16" s="571">
        <f>+W9-W15</f>
        <v>1239</v>
      </c>
      <c r="X16" s="571">
        <f t="shared" ref="X16" si="49">+X9-X15</f>
        <v>3608</v>
      </c>
      <c r="Y16" s="572">
        <f t="shared" ref="Y16:AL16" si="50">+Y9-Y15</f>
        <v>2133</v>
      </c>
      <c r="Z16" s="571">
        <f>+Z9-Z15</f>
        <v>1632</v>
      </c>
      <c r="AA16" s="571">
        <f>+AA9-AA15</f>
        <v>2188</v>
      </c>
      <c r="AB16" s="571">
        <f t="shared" ref="AB16" si="51">+AB9-AB15</f>
        <v>4889.9999999999991</v>
      </c>
      <c r="AC16" s="572">
        <f t="shared" si="50"/>
        <v>1896</v>
      </c>
      <c r="AD16" s="326">
        <f t="shared" si="50"/>
        <v>2048</v>
      </c>
      <c r="AE16" s="326">
        <f t="shared" si="50"/>
        <v>2400</v>
      </c>
      <c r="AF16" s="571">
        <f t="shared" si="50"/>
        <v>5191</v>
      </c>
      <c r="AG16" s="1322">
        <f t="shared" si="50"/>
        <v>2123</v>
      </c>
      <c r="AH16" s="326">
        <f t="shared" ref="AH16" si="52">+AH9-AH15</f>
        <v>2357</v>
      </c>
      <c r="AI16" s="326">
        <f t="shared" si="50"/>
        <v>2668</v>
      </c>
      <c r="AJ16" s="571">
        <f t="shared" ref="AJ16:AK16" si="53">+AJ9-AJ15</f>
        <v>5803.9999999999991</v>
      </c>
      <c r="AK16" s="1322">
        <f t="shared" si="53"/>
        <v>2539.0000000000005</v>
      </c>
      <c r="AL16" s="326">
        <f t="shared" si="50"/>
        <v>2608</v>
      </c>
      <c r="AM16" s="326">
        <f t="shared" ref="AM16:AP16" si="54">+AM9-AM15</f>
        <v>3173</v>
      </c>
      <c r="AN16" s="326">
        <f t="shared" si="54"/>
        <v>6699</v>
      </c>
      <c r="AO16" s="1322">
        <f t="shared" si="54"/>
        <v>3082</v>
      </c>
      <c r="AP16" s="326">
        <f t="shared" si="54"/>
        <v>3143</v>
      </c>
      <c r="AQ16" s="326">
        <f t="shared" ref="AQ16" si="55">+AQ9-AQ15</f>
        <v>3746</v>
      </c>
      <c r="AR16" s="571">
        <f t="shared" ref="AR16:AS16" si="56">+AR9-AR15</f>
        <v>7330.2212053080684</v>
      </c>
      <c r="AS16" s="572">
        <f t="shared" si="56"/>
        <v>3415.6079996046083</v>
      </c>
      <c r="AT16" s="326">
        <f t="shared" ref="AT16:AW16" si="57">+AT9-AT15</f>
        <v>3569.1621427715004</v>
      </c>
      <c r="AU16" s="326">
        <f t="shared" si="57"/>
        <v>4258.3660864218054</v>
      </c>
      <c r="AV16" s="571">
        <f t="shared" si="57"/>
        <v>8029.8559527910375</v>
      </c>
      <c r="AW16" s="572">
        <f t="shared" si="57"/>
        <v>3805.3088041039655</v>
      </c>
      <c r="AX16" s="326">
        <f t="shared" ref="AX16:BA16" si="58">+AX9-AX15</f>
        <v>4016.9415496495776</v>
      </c>
      <c r="AY16" s="326">
        <f t="shared" si="58"/>
        <v>4825.2137314251195</v>
      </c>
      <c r="AZ16" s="571">
        <f t="shared" si="58"/>
        <v>8831.5143965875832</v>
      </c>
      <c r="BA16" s="572">
        <f t="shared" si="58"/>
        <v>4269.5847019091716</v>
      </c>
      <c r="BB16" s="321"/>
      <c r="BC16" s="310"/>
      <c r="BD16" s="592">
        <f t="shared" si="19"/>
        <v>3972</v>
      </c>
      <c r="BE16" s="575">
        <f t="shared" si="20"/>
        <v>4388</v>
      </c>
      <c r="BF16" s="592">
        <f t="shared" si="21"/>
        <v>5105</v>
      </c>
      <c r="BG16" s="592">
        <f t="shared" si="22"/>
        <v>5695</v>
      </c>
      <c r="BH16" s="592">
        <f t="shared" si="23"/>
        <v>6383</v>
      </c>
      <c r="BI16" s="592">
        <f t="shared" si="24"/>
        <v>8069</v>
      </c>
      <c r="BJ16" s="592">
        <f t="shared" si="25"/>
        <v>10606</v>
      </c>
      <c r="BK16" s="592">
        <f t="shared" si="26"/>
        <v>11762</v>
      </c>
      <c r="BL16" s="592">
        <f>+SUM(AH16:AK16)</f>
        <v>13368</v>
      </c>
      <c r="BM16" s="592">
        <f t="shared" si="27"/>
        <v>15562</v>
      </c>
      <c r="BN16" s="592">
        <f>+SUM(AP16:AS16)</f>
        <v>17634.829204912676</v>
      </c>
      <c r="BO16" s="592">
        <f>+SUM(AT16:AW16)</f>
        <v>19662.69298608831</v>
      </c>
      <c r="BP16" s="592">
        <f>+SUM(AX16:BA16)</f>
        <v>21943.254379571452</v>
      </c>
      <c r="BQ16" s="321"/>
      <c r="BR16" s="1445"/>
      <c r="BS16" s="1444"/>
      <c r="BT16" s="1445"/>
    </row>
    <row r="17" spans="1:74" s="334" customFormat="1" ht="12" hidden="1" customHeight="1" outlineLevel="1">
      <c r="A17" s="952" t="s">
        <v>323</v>
      </c>
      <c r="B17" s="333"/>
      <c r="C17" s="333"/>
      <c r="D17" s="333"/>
      <c r="E17" s="333"/>
      <c r="F17" s="631"/>
      <c r="G17" s="632"/>
      <c r="H17" s="632"/>
      <c r="I17" s="632"/>
      <c r="J17" s="631"/>
      <c r="K17" s="632"/>
      <c r="L17" s="632"/>
      <c r="M17" s="632"/>
      <c r="N17" s="634" cm="1">
        <f t="array" ref="N17">_xll.FDS("INTU-US","FE_ESTIMATE(GROSS_INC,MEAN,QTR_ROLL,"&amp;N2&amp;",NOW,,,'')")</f>
        <v>785.28570000000002</v>
      </c>
      <c r="O17" s="632" cm="1">
        <f t="array" ref="O17">_xll.FDS("INTU-US","FE_ESTIMATE(GROSS_INC,MEAN,QTR_ROLL,"&amp;O2&amp;",NOW,,,'')")</f>
        <v>1232</v>
      </c>
      <c r="P17" s="632" cm="1">
        <f t="array" ref="P17">_xll.FDS("INTU-US","FE_ESTIMATE(GROSS_INC,MEAN,QTR_ROLL,"&amp;P2&amp;",NOW,,,'')")</f>
        <v>2935.1428000000001</v>
      </c>
      <c r="Q17" s="632" cm="1">
        <f t="array" ref="Q17">_xll.FDS("INTU-US","FE_ESTIMATE(GROSS_INC,MEAN,QTR_ROLL,"&amp;Q2&amp;",NOW,,,'')")</f>
        <v>732</v>
      </c>
      <c r="R17" s="631" cm="1">
        <f t="array" ref="R17">_xll.FDS("INTU-US","FE_ESTIMATE(GROSS_INC,MEAN,QTR_ROLL,"&amp;R2&amp;",NOW,,,'')")</f>
        <v>893</v>
      </c>
      <c r="S17" s="632" cm="1">
        <f t="array" ref="S17">_xll.FDS("INTU-US","FE_ESTIMATE(GROSS_INC,MEAN,QTR_ROLL,"&amp;S2&amp;",NOW,,,'')")</f>
        <v>1370.8888999999999</v>
      </c>
      <c r="T17" s="632" cm="1">
        <f t="array" ref="T17">_xll.FDS("INTU-US","FE_ESTIMATE(GROSS_INC,MEAN,QTR_ROLL,"&amp;T2&amp;",NOW,,,'')")</f>
        <v>2590.2856000000002</v>
      </c>
      <c r="U17" s="632" cm="1">
        <f t="array" ref="U17">_xll.FDS("INTU-US","FE_ESTIMATE(GROSS_INC,MEAN,QTR_ROLL,"&amp;U2&amp;",NOW,,,'')")</f>
        <v>1509.8</v>
      </c>
      <c r="V17" s="631" cm="1">
        <f t="array" ref="V17">_xll.FDS("INTU-US","FE_ESTIMATE(GROSS_INC,MEAN,QTR_ROLL,"&amp;V2&amp;",NOW,,,'')")</f>
        <v>1083.0999999999999</v>
      </c>
      <c r="W17" s="632" cm="1">
        <f t="array" ref="W17">_xll.FDS("INTU-US","FE_ESTIMATE(GROSS_INC,MEAN,QTR_ROLL,"&amp;W2&amp;",NOW,,,'')")</f>
        <v>1233</v>
      </c>
      <c r="X17" s="632" cm="1">
        <f t="array" ref="X17">_xll.FDS("INTU-US","FE_ESTIMATE(GROSS_INC,MEAN,QTR_ROLL,"&amp;X2&amp;",NOW,,,'')")</f>
        <v>3600.5</v>
      </c>
      <c r="Y17" s="633" cm="1">
        <f t="array" ref="Y17">_xll.FDS("INTU-US","FE_ESTIMATE(GROSS_INC,MEAN,QTR_ROLL,"&amp;Y2&amp;",NOW,,,'')")</f>
        <v>2124.7777999999998</v>
      </c>
      <c r="Z17" s="631" cm="1">
        <f t="array" ref="Z17">_xll.FDS("INTU-US","FE_ESTIMATE(GROSS_INC,MEAN,QTR_ROLL,"&amp;Z2&amp;",NOW,,,'')")</f>
        <v>1621.5</v>
      </c>
      <c r="AA17" s="632" cm="1">
        <f t="array" ref="AA17">_xll.FDS("INTU-US","FE_ESTIMATE(GROSS_INC,MEAN,QTR_ROLL,"&amp;AA2&amp;",NOW,,,'')")</f>
        <v>2166.1819999999998</v>
      </c>
      <c r="AB17" s="632" cm="1">
        <f t="array" ref="AB17">_xll.FDS("INTU-US","FE_ESTIMATE(GROSS_INC,MEAN,QTR_ROLL,"&amp;AB2&amp;",NOW,,,'')")</f>
        <v>4867.6360000000004</v>
      </c>
      <c r="AC17" s="633" cm="1">
        <f t="array" ref="AC17">_xll.FDS("INTU-US","FE_ESTIMATE(GROSS_INC,MEAN,QTR_ROLL,"&amp;AC2&amp;",NOW,,,'')")</f>
        <v>1877.7778000000001</v>
      </c>
      <c r="AD17" s="1323" cm="1">
        <f t="array" ref="AD17">_xll.FDS("INTU-US","FE_ESTIMATE(GROSS_INC,MEAN,QTR_ROLL,"&amp;AD2&amp;",NOW,,,'')")</f>
        <v>2021.8462</v>
      </c>
      <c r="AE17" s="1324" cm="1">
        <f t="array" ref="AE17">_xll.FDS("INTU-US","FE_ESTIMATE(GROSS_INC,MEAN,QTR_ROLL,"&amp;AE2&amp;",NOW,,,'')")</f>
        <v>2356</v>
      </c>
      <c r="AF17" s="1324" cm="1">
        <f t="array" ref="AF17">_xll.FDS("INTU-US","FE_ESTIMATE(GROSS_INC,MEAN,QTR_ROLL,"&amp;AF2&amp;",NOW,,,'')")</f>
        <v>5158.5385999999999</v>
      </c>
      <c r="AG17" s="1325" cm="1">
        <f t="array" ref="AG17">_xll.FDS("INTU-US","FE_ESTIMATE(GROSS_INC,MEAN,QTR_ROLL,"&amp;AG2&amp;",NOW,,,'')")</f>
        <v>2085.0832999999998</v>
      </c>
      <c r="AH17" s="1323" cm="1">
        <f t="array" ref="AH17">_xll.FDS("INTU-US","FE_ESTIMATE(GROSS_INC,MEAN,QTR_ROLL,"&amp;AH2&amp;",NOW,,,'')")</f>
        <v>2322.7143999999998</v>
      </c>
      <c r="AI17" s="1324" cm="1">
        <f t="array" ref="AI17">_xll.FDS("INTU-US","FE_ESTIMATE(GROSS_INC,MEAN,QTR_ROLL,"&amp;AI2&amp;",NOW,,,'')")</f>
        <v>2632.0715</v>
      </c>
      <c r="AJ17" s="1324" cm="1">
        <f t="array" ref="AJ17">_xll.FDS("INTU-US","FE_ESTIMATE(GROSS_INC,MEAN,QTR_ROLL,"&amp;AJ2&amp;",NOW,,,'')")</f>
        <v>5780.4287000000004</v>
      </c>
      <c r="AK17" s="1325" cm="1">
        <f t="array" ref="AK17">_xll.FDS("INTU-US","FE_ESTIMATE(GROSS_INC,MEAN,QTR_ROLL,"&amp;AK2&amp;",NOW,,,'')")</f>
        <v>2530.1819999999998</v>
      </c>
      <c r="AL17" s="1323" cm="1">
        <f t="array" ref="AL17">_xll.FDS("INTU-US","FE_ESTIMATE(GROSS_INC,MEAN,QTR_ROLL,"&amp;AL2&amp;",NOW,,,'')")</f>
        <v>2590.7856000000002</v>
      </c>
      <c r="AM17" s="1324" cm="1">
        <f t="array" ref="AM17">_xll.FDS("INTU-US","FE_ESTIMATE(GROSS_INC,MEAN,QTR_ROLL,"&amp;AM2&amp;",NOW,,,'')")</f>
        <v>3162.3076000000001</v>
      </c>
      <c r="AN17" s="1324" cm="1">
        <f t="array" ref="AN17">_xll.FDS("INTU-US","FE_ESTIMATE(GROSS_INC,MEAN,QTR_ROLL,"&amp;AN2&amp;",NOW,,,'')")</f>
        <v>6688.0770000000002</v>
      </c>
      <c r="AO17" s="2129" cm="1">
        <f t="array" ref="AO17">_xll.FDS("INTU-US","FE_ESTIMATE(GROSS_INC,MEAN,QTR_ROLL,"&amp;AO2&amp;",NOW,,,'')")</f>
        <v>3069.6</v>
      </c>
      <c r="AP17" s="1323" cm="1">
        <f t="array" ref="AP17">_xll.FDS("INTU-US","FE_ESTIMATE(GROSS_INC,MEAN,QTR_ROLL,"&amp;AP2&amp;",NOW,,,'')")</f>
        <v>3120.8332999999998</v>
      </c>
      <c r="AQ17" s="1324" cm="1">
        <f t="array" ref="AQ17">_xll.FDS("INTU-US","FE_ESTIMATE(GROSS_INC,MEAN,QTR_ROLL,"&amp;AQ2&amp;",NOW,,,'')")</f>
        <v>3600.1770000000001</v>
      </c>
      <c r="AR17" s="632" cm="1">
        <f t="array" ref="AR17">_xll.FDS("INTU-US","FE_ESTIMATE(GROSS_INC,MEAN,QTR_ROLL,"&amp;AR2&amp;",NOW,,,'')")</f>
        <v>7360.0770000000002</v>
      </c>
      <c r="AS17" s="633" cm="1">
        <f t="array" ref="AS17">_xll.FDS("INTU-US","FE_ESTIMATE(GROSS_INC,MEAN,QTR_ROLL,"&amp;AS2&amp;",NOW,,,'')")</f>
        <v>3378.1916999999999</v>
      </c>
      <c r="AT17" s="1323" cm="1">
        <f t="array" ref="AT17">_xll.FDS("INTU-US","FE_ESTIMATE(GROSS_INC,MEAN,QTR_ROLL,"&amp;AT2&amp;",NOW,,,'')")</f>
        <v>3559.1428000000001</v>
      </c>
      <c r="AU17" s="1324" cm="1">
        <f t="array" ref="AU17">_xll.FDS("INTU-US","FE_ESTIMATE(GROSS_INC,MEAN,QTR_ROLL,"&amp;AU2&amp;",NOW,,,'')")</f>
        <v>4077.9834000000001</v>
      </c>
      <c r="AV17" s="632" cm="1">
        <f t="array" ref="AV17">_xll.FDS("INTU-US","FE_ESTIMATE(GROSS_INC,MEAN,QTR_ROLL,"&amp;AV2&amp;",NOW,,,'')")</f>
        <v>8069.35</v>
      </c>
      <c r="AW17" s="633" cm="1">
        <f t="array" ref="AW17">_xll.FDS("INTU-US","FE_ESTIMATE(GROSS_INC,MEAN,QTR_ROLL,"&amp;AW2&amp;",NOW,,,'')")</f>
        <v>3852.85</v>
      </c>
      <c r="AX17" s="1323" cm="1">
        <f t="array" ref="AX17">_xll.FDS("INTU-US","FE_ESTIMATE(GROSS_INC,MEAN,QTR_ROLL,"&amp;AX2&amp;",NOW,,,'')")</f>
        <v>4023.1333</v>
      </c>
      <c r="AY17" s="1324" cm="1">
        <f t="array" ref="AY17">_xll.FDS("INTU-US","FE_ESTIMATE(GROSS_INC,MEAN,QTR_ROLL,"&amp;AY2&amp;",NOW,,,'')")</f>
        <v>4586.2</v>
      </c>
      <c r="AZ17" s="632" cm="1">
        <f t="array" ref="AZ17">_xll.FDS("INTU-US","FE_ESTIMATE(GROSS_INC,MEAN,QTR_ROLL,"&amp;AZ2&amp;",NOW,,,'')")</f>
        <v>8510.5</v>
      </c>
      <c r="BA17" s="633" cm="1">
        <f t="array" ref="BA17">_xll.FDS("INTU-US","FE_ESTIMATE(GROSS_INC,MEAN,QTR_ROLL,"&amp;BA2&amp;",NOW,,,'')")</f>
        <v>4196.5</v>
      </c>
      <c r="BB17" s="352"/>
      <c r="BC17" s="352"/>
      <c r="BD17" s="385">
        <f t="shared" ref="BD17" si="59">+SUM(B17:E17)</f>
        <v>0</v>
      </c>
      <c r="BE17" s="318">
        <f t="shared" ref="BE17" si="60">+SUM(F17:I17)</f>
        <v>0</v>
      </c>
      <c r="BF17" s="385">
        <f t="shared" si="21"/>
        <v>0</v>
      </c>
      <c r="BG17" s="589">
        <f t="shared" si="22"/>
        <v>5684.4285</v>
      </c>
      <c r="BH17" s="589">
        <f t="shared" si="23"/>
        <v>6363.9745000000003</v>
      </c>
      <c r="BI17" s="589">
        <f t="shared" si="24"/>
        <v>8041.3778000000002</v>
      </c>
      <c r="BJ17" s="589">
        <f t="shared" si="25"/>
        <v>10533.095799999999</v>
      </c>
      <c r="BK17" s="589">
        <f t="shared" si="26"/>
        <v>11621.4681</v>
      </c>
      <c r="BL17" s="589">
        <f>+SUM(AH17:AK17)</f>
        <v>13265.3966</v>
      </c>
      <c r="BM17" s="589">
        <f>+SUM(AI17:AL17)</f>
        <v>13533.467799999999</v>
      </c>
      <c r="BN17" s="589">
        <f>+SUM(AJ17:AP17)</f>
        <v>26942.214199999999</v>
      </c>
      <c r="BO17" s="589">
        <f>+SUM(AK17:AT17)</f>
        <v>39059.374000000003</v>
      </c>
      <c r="BP17" s="589">
        <f>+SUM(AL17:AX17)</f>
        <v>56552.508699999998</v>
      </c>
      <c r="BQ17" s="355"/>
      <c r="BR17" s="1401"/>
      <c r="BS17" s="1444"/>
      <c r="BT17" s="1401"/>
    </row>
    <row r="18" spans="1:74" s="322" customFormat="1" ht="12" customHeight="1" collapsed="1">
      <c r="A18" s="945"/>
      <c r="B18" s="571"/>
      <c r="C18" s="571"/>
      <c r="D18" s="571"/>
      <c r="E18" s="572"/>
      <c r="F18" s="571"/>
      <c r="G18" s="571"/>
      <c r="H18" s="571"/>
      <c r="I18" s="572"/>
      <c r="J18" s="571"/>
      <c r="K18" s="571"/>
      <c r="L18" s="571"/>
      <c r="M18" s="572"/>
      <c r="N18" s="575"/>
      <c r="O18" s="571"/>
      <c r="P18" s="571"/>
      <c r="Q18" s="572"/>
      <c r="R18" s="307"/>
      <c r="S18" s="307"/>
      <c r="T18" s="307"/>
      <c r="U18" s="308"/>
      <c r="V18" s="307"/>
      <c r="W18" s="307"/>
      <c r="X18" s="307"/>
      <c r="Y18" s="308"/>
      <c r="Z18" s="307"/>
      <c r="AA18" s="307"/>
      <c r="AB18" s="307"/>
      <c r="AC18" s="308"/>
      <c r="AD18" s="307"/>
      <c r="AE18" s="307"/>
      <c r="AG18" s="308"/>
      <c r="AH18" s="307"/>
      <c r="AI18" s="307"/>
      <c r="AJ18" s="307"/>
      <c r="AK18" s="308"/>
      <c r="AL18" s="508"/>
      <c r="AM18" s="508"/>
      <c r="AN18" s="508"/>
      <c r="AO18" s="1314"/>
      <c r="AP18" s="508"/>
      <c r="AQ18" s="508"/>
      <c r="AR18" s="307"/>
      <c r="AS18" s="308"/>
      <c r="AT18" s="307"/>
      <c r="AU18" s="307"/>
      <c r="AV18" s="307"/>
      <c r="AW18" s="308"/>
      <c r="AX18" s="307"/>
      <c r="AY18" s="307"/>
      <c r="AZ18" s="307"/>
      <c r="BA18" s="308"/>
      <c r="BB18" s="321"/>
      <c r="BC18" s="310"/>
      <c r="BD18" s="310"/>
      <c r="BE18" s="309"/>
      <c r="BF18" s="310"/>
      <c r="BG18" s="310"/>
      <c r="BH18" s="310"/>
      <c r="BI18" s="310"/>
      <c r="BJ18" s="310"/>
      <c r="BK18" s="310"/>
      <c r="BL18" s="310"/>
      <c r="BM18" s="310"/>
      <c r="BN18" s="310"/>
      <c r="BO18" s="310"/>
      <c r="BP18" s="310"/>
      <c r="BQ18" s="321"/>
      <c r="BR18" s="1445"/>
      <c r="BS18" s="1444"/>
      <c r="BT18" s="1445"/>
    </row>
    <row r="19" spans="1:74" s="316" customFormat="1" ht="12" customHeight="1">
      <c r="A19" s="954" t="s">
        <v>272</v>
      </c>
      <c r="B19" s="573"/>
      <c r="C19" s="573"/>
      <c r="D19" s="573"/>
      <c r="E19" s="574"/>
      <c r="F19" s="573"/>
      <c r="G19" s="573"/>
      <c r="H19" s="573"/>
      <c r="I19" s="574"/>
      <c r="J19" s="573"/>
      <c r="K19" s="573"/>
      <c r="L19" s="573"/>
      <c r="M19" s="574"/>
      <c r="N19" s="576"/>
      <c r="O19" s="573"/>
      <c r="P19" s="573"/>
      <c r="Q19" s="574"/>
      <c r="R19" s="311"/>
      <c r="S19" s="311"/>
      <c r="T19" s="311"/>
      <c r="U19" s="312"/>
      <c r="V19" s="311"/>
      <c r="W19" s="311"/>
      <c r="X19" s="311"/>
      <c r="Y19" s="312"/>
      <c r="Z19" s="311"/>
      <c r="AA19" s="311"/>
      <c r="AB19" s="311"/>
      <c r="AC19" s="312"/>
      <c r="AD19" s="311"/>
      <c r="AE19" s="311"/>
      <c r="AF19" s="311"/>
      <c r="AG19" s="312"/>
      <c r="AH19" s="311"/>
      <c r="AI19" s="311"/>
      <c r="AJ19" s="311"/>
      <c r="AK19" s="312"/>
      <c r="AL19" s="1238"/>
      <c r="AM19" s="1238"/>
      <c r="AN19" s="1238"/>
      <c r="AO19" s="1315"/>
      <c r="AP19" s="1238"/>
      <c r="AQ19" s="1238"/>
      <c r="AR19" s="311"/>
      <c r="AS19" s="312"/>
      <c r="AT19" s="311"/>
      <c r="AU19" s="311"/>
      <c r="AV19" s="311"/>
      <c r="AW19" s="312"/>
      <c r="AX19" s="311"/>
      <c r="AY19" s="311"/>
      <c r="AZ19" s="311"/>
      <c r="BA19" s="312"/>
      <c r="BB19" s="314"/>
      <c r="BC19" s="315"/>
      <c r="BD19" s="315"/>
      <c r="BE19" s="315"/>
      <c r="BF19" s="315"/>
      <c r="BG19" s="315"/>
      <c r="BH19" s="315"/>
      <c r="BI19" s="315"/>
      <c r="BJ19" s="315"/>
      <c r="BK19" s="315"/>
      <c r="BL19" s="315"/>
      <c r="BM19" s="315"/>
      <c r="BN19" s="315"/>
      <c r="BO19" s="315"/>
      <c r="BP19" s="315"/>
      <c r="BQ19" s="314"/>
      <c r="BR19" s="1444"/>
      <c r="BS19" s="1444"/>
      <c r="BT19" s="1444"/>
    </row>
    <row r="20" spans="1:74" s="322" customFormat="1" ht="12" customHeight="1">
      <c r="A20" s="948" t="s">
        <v>56</v>
      </c>
      <c r="B20" s="571">
        <f t="shared" ref="B20:U20" si="61">+B119-B147-B155</f>
        <v>225</v>
      </c>
      <c r="C20" s="571">
        <f t="shared" si="61"/>
        <v>338</v>
      </c>
      <c r="D20" s="571">
        <f t="shared" si="61"/>
        <v>405</v>
      </c>
      <c r="E20" s="572">
        <f t="shared" si="61"/>
        <v>244</v>
      </c>
      <c r="F20" s="571">
        <f t="shared" si="61"/>
        <v>258</v>
      </c>
      <c r="G20" s="571">
        <f t="shared" si="61"/>
        <v>383</v>
      </c>
      <c r="H20" s="571">
        <f t="shared" si="61"/>
        <v>448</v>
      </c>
      <c r="I20" s="572">
        <f t="shared" si="61"/>
        <v>243</v>
      </c>
      <c r="J20" s="571">
        <f t="shared" si="61"/>
        <v>283</v>
      </c>
      <c r="K20" s="571">
        <f t="shared" si="61"/>
        <v>444</v>
      </c>
      <c r="L20" s="571">
        <f t="shared" si="61"/>
        <v>524</v>
      </c>
      <c r="M20" s="572">
        <f t="shared" si="61"/>
        <v>279</v>
      </c>
      <c r="N20" s="575">
        <f t="shared" si="61"/>
        <v>316</v>
      </c>
      <c r="O20" s="571">
        <f t="shared" si="61"/>
        <v>523</v>
      </c>
      <c r="P20" s="571">
        <f t="shared" si="61"/>
        <v>629</v>
      </c>
      <c r="Q20" s="572">
        <f t="shared" si="61"/>
        <v>356</v>
      </c>
      <c r="R20" s="571">
        <f t="shared" si="61"/>
        <v>353</v>
      </c>
      <c r="S20" s="571">
        <f t="shared" si="61"/>
        <v>564</v>
      </c>
      <c r="T20" s="571">
        <f t="shared" si="61"/>
        <v>621</v>
      </c>
      <c r="U20" s="572">
        <f t="shared" si="61"/>
        <v>394</v>
      </c>
      <c r="V20" s="571">
        <f t="shared" ref="V20:Y21" si="62">+V119-V147-V155</f>
        <v>330</v>
      </c>
      <c r="W20" s="571">
        <f>+W119-W147-W155</f>
        <v>536</v>
      </c>
      <c r="X20" s="571">
        <f t="shared" ref="X20:Z20" si="63">+X119-X147-X155</f>
        <v>806</v>
      </c>
      <c r="Y20" s="572">
        <f t="shared" si="63"/>
        <v>789</v>
      </c>
      <c r="Z20" s="571">
        <f t="shared" si="63"/>
        <v>486</v>
      </c>
      <c r="AA20" s="571">
        <f>+AA119-AA147-AA155</f>
        <v>859</v>
      </c>
      <c r="AB20" s="571">
        <f t="shared" ref="AB20:AD20" si="64">+AB119-AB147-AB155</f>
        <v>1142</v>
      </c>
      <c r="AC20" s="572">
        <f t="shared" si="64"/>
        <v>730</v>
      </c>
      <c r="AD20" s="571">
        <f t="shared" si="64"/>
        <v>689</v>
      </c>
      <c r="AE20" s="571">
        <f>+AE119-AE147-AE155</f>
        <v>816</v>
      </c>
      <c r="AF20" s="571">
        <f t="shared" ref="AF20:AH20" si="65">+AF119-AF147-AF155</f>
        <v>1107</v>
      </c>
      <c r="AG20" s="572">
        <f t="shared" si="65"/>
        <v>721</v>
      </c>
      <c r="AH20" s="571">
        <f t="shared" si="65"/>
        <v>646</v>
      </c>
      <c r="AI20" s="571">
        <f>+AI119-AI147-AI155</f>
        <v>895</v>
      </c>
      <c r="AJ20" s="571">
        <f t="shared" ref="AJ20:AL20" si="66">+AJ119-AJ147-AJ155</f>
        <v>1298</v>
      </c>
      <c r="AK20" s="572">
        <f t="shared" si="66"/>
        <v>967</v>
      </c>
      <c r="AL20" s="326">
        <f t="shared" si="66"/>
        <v>825</v>
      </c>
      <c r="AM20" s="326">
        <f>+AM119-AM147-AM155</f>
        <v>1068</v>
      </c>
      <c r="AN20" s="326">
        <f t="shared" ref="AN20" si="67">+AN119-AN147-AN155</f>
        <v>1487</v>
      </c>
      <c r="AO20" s="1322">
        <f t="shared" ref="AO20:AP20" si="68">+AO119-AO147-AO155</f>
        <v>1114</v>
      </c>
      <c r="AP20" s="326">
        <f t="shared" si="68"/>
        <v>926</v>
      </c>
      <c r="AQ20" s="326">
        <f>+AQ119-AQ147-AQ155</f>
        <v>1245</v>
      </c>
      <c r="AR20" s="571">
        <f t="shared" ref="AR20:AS20" si="69">+AR$9*AR97</f>
        <v>1733.977074703379</v>
      </c>
      <c r="AS20" s="572">
        <f t="shared" si="69"/>
        <v>1181.3190883888017</v>
      </c>
      <c r="AT20" s="571">
        <f t="shared" ref="AT20:AW20" si="70">+AT$9*AT97</f>
        <v>1039.6232093951094</v>
      </c>
      <c r="AU20" s="571">
        <f t="shared" si="70"/>
        <v>1397.868655845487</v>
      </c>
      <c r="AV20" s="571">
        <f t="shared" si="70"/>
        <v>1853.8806631405582</v>
      </c>
      <c r="AW20" s="572">
        <f t="shared" si="70"/>
        <v>1323.987306588723</v>
      </c>
      <c r="AX20" s="571">
        <f t="shared" ref="AX20:BA20" si="71">+AX$9*AX97</f>
        <v>1161.7300897984817</v>
      </c>
      <c r="AY20" s="571">
        <f t="shared" si="71"/>
        <v>1576.1365487209771</v>
      </c>
      <c r="AZ20" s="571">
        <f t="shared" si="71"/>
        <v>2021.5926921937689</v>
      </c>
      <c r="BA20" s="572">
        <f t="shared" si="71"/>
        <v>1461.2070244375223</v>
      </c>
      <c r="BB20" s="321"/>
      <c r="BC20" s="368"/>
      <c r="BD20" s="590">
        <f t="shared" ref="BD20:BD24" si="72">+SUM(B20:E20)</f>
        <v>1212</v>
      </c>
      <c r="BE20" s="575">
        <f t="shared" ref="BE20:BE24" si="73">+SUM(F20:I20)</f>
        <v>1332</v>
      </c>
      <c r="BF20" s="590">
        <f t="shared" ref="BF20:BF24" si="74">+SUM(J20:M20)</f>
        <v>1530</v>
      </c>
      <c r="BG20" s="590">
        <f t="shared" ref="BG20:BG24" si="75">SUM(N20:Q20)</f>
        <v>1824</v>
      </c>
      <c r="BH20" s="590">
        <f t="shared" ref="BH20:BH24" si="76">+SUM(R20:U20)</f>
        <v>1932</v>
      </c>
      <c r="BI20" s="590">
        <f t="shared" ref="BI20:BI24" si="77">SUM(V20:Y20)</f>
        <v>2461</v>
      </c>
      <c r="BJ20" s="590">
        <f t="shared" ref="BJ20:BJ24" si="78">+SUM(Z20:AC20)</f>
        <v>3217</v>
      </c>
      <c r="BK20" s="590">
        <f t="shared" ref="BK20:BK24" si="79">+SUM(AD20:AG20)</f>
        <v>3333</v>
      </c>
      <c r="BL20" s="590">
        <f t="shared" ref="BL20:BL24" si="80">+SUM(AH20:AK20)</f>
        <v>3806</v>
      </c>
      <c r="BM20" s="590">
        <f t="shared" ref="BM20:BM24" si="81">+SUM(AL20:AO20)</f>
        <v>4494</v>
      </c>
      <c r="BN20" s="590">
        <f t="shared" ref="BN20:BN26" si="82">+SUM(AP20:AS20)</f>
        <v>5086.2961630921809</v>
      </c>
      <c r="BO20" s="590">
        <f t="shared" ref="BO20:BO26" si="83">+SUM(AT20:AW20)</f>
        <v>5615.3598349698777</v>
      </c>
      <c r="BP20" s="590">
        <f t="shared" ref="BP20:BP26" si="84">+SUM(AX20:BA20)</f>
        <v>6220.66635515075</v>
      </c>
      <c r="BQ20" s="321"/>
      <c r="BR20" s="1445"/>
      <c r="BS20" s="1444"/>
      <c r="BT20" s="1445"/>
    </row>
    <row r="21" spans="1:74" s="322" customFormat="1" ht="12" customHeight="1">
      <c r="A21" s="948" t="s">
        <v>37</v>
      </c>
      <c r="B21" s="571">
        <f t="shared" ref="B21:U21" si="85">+B120-B148-B156</f>
        <v>192</v>
      </c>
      <c r="C21" s="571">
        <f t="shared" si="85"/>
        <v>184</v>
      </c>
      <c r="D21" s="571">
        <f t="shared" si="85"/>
        <v>207</v>
      </c>
      <c r="E21" s="572">
        <f t="shared" si="85"/>
        <v>208</v>
      </c>
      <c r="F21" s="571">
        <f t="shared" si="85"/>
        <v>210</v>
      </c>
      <c r="G21" s="571">
        <f t="shared" si="85"/>
        <v>214</v>
      </c>
      <c r="H21" s="571">
        <f t="shared" si="85"/>
        <v>222</v>
      </c>
      <c r="I21" s="572">
        <f t="shared" si="85"/>
        <v>230</v>
      </c>
      <c r="J21" s="571">
        <f t="shared" si="85"/>
        <v>254</v>
      </c>
      <c r="K21" s="571">
        <f t="shared" si="85"/>
        <v>256</v>
      </c>
      <c r="L21" s="571">
        <f t="shared" si="85"/>
        <v>266</v>
      </c>
      <c r="M21" s="572">
        <f t="shared" si="85"/>
        <v>277</v>
      </c>
      <c r="N21" s="575">
        <f t="shared" si="85"/>
        <v>259</v>
      </c>
      <c r="O21" s="571">
        <f t="shared" si="85"/>
        <v>261</v>
      </c>
      <c r="P21" s="571">
        <f t="shared" si="85"/>
        <v>279</v>
      </c>
      <c r="Q21" s="572">
        <f t="shared" si="85"/>
        <v>298</v>
      </c>
      <c r="R21" s="571">
        <f t="shared" si="85"/>
        <v>296</v>
      </c>
      <c r="S21" s="571">
        <f t="shared" si="85"/>
        <v>296</v>
      </c>
      <c r="T21" s="571">
        <f t="shared" si="85"/>
        <v>296</v>
      </c>
      <c r="U21" s="572">
        <f t="shared" si="85"/>
        <v>353</v>
      </c>
      <c r="V21" s="571">
        <f t="shared" si="62"/>
        <v>287</v>
      </c>
      <c r="W21" s="571">
        <f t="shared" si="62"/>
        <v>301</v>
      </c>
      <c r="X21" s="571">
        <f t="shared" si="62"/>
        <v>382</v>
      </c>
      <c r="Y21" s="572">
        <f t="shared" si="62"/>
        <v>427</v>
      </c>
      <c r="Z21" s="571">
        <f t="shared" ref="Z21:AC21" si="86">+Z120-Z148-Z156</f>
        <v>421</v>
      </c>
      <c r="AA21" s="571">
        <f t="shared" si="86"/>
        <v>458</v>
      </c>
      <c r="AB21" s="571">
        <f t="shared" si="86"/>
        <v>462</v>
      </c>
      <c r="AC21" s="572">
        <f t="shared" si="86"/>
        <v>485</v>
      </c>
      <c r="AD21" s="571">
        <f t="shared" ref="AD21:AG21" si="87">+AD120-AD148-AD156</f>
        <v>489</v>
      </c>
      <c r="AE21" s="571">
        <f t="shared" si="87"/>
        <v>498</v>
      </c>
      <c r="AF21" s="571">
        <f t="shared" si="87"/>
        <v>488</v>
      </c>
      <c r="AG21" s="572">
        <f t="shared" si="87"/>
        <v>532</v>
      </c>
      <c r="AH21" s="571">
        <f t="shared" ref="AH21:AJ21" si="88">+AH120-AH148-AH156</f>
        <v>519</v>
      </c>
      <c r="AI21" s="571">
        <f t="shared" si="88"/>
        <v>516</v>
      </c>
      <c r="AJ21" s="571">
        <f t="shared" si="88"/>
        <v>516</v>
      </c>
      <c r="AK21" s="572">
        <f>+AK120-AK148-AK156</f>
        <v>564</v>
      </c>
      <c r="AL21" s="326">
        <f t="shared" ref="AL21:AN21" si="89">+AL120-AL148-AL156</f>
        <v>543</v>
      </c>
      <c r="AM21" s="326">
        <f t="shared" si="89"/>
        <v>555</v>
      </c>
      <c r="AN21" s="326">
        <f t="shared" si="89"/>
        <v>559</v>
      </c>
      <c r="AO21" s="1322">
        <f t="shared" ref="AO21:AQ21" si="90">+AO120-AO148-AO156</f>
        <v>642</v>
      </c>
      <c r="AP21" s="326">
        <f t="shared" si="90"/>
        <v>658</v>
      </c>
      <c r="AQ21" s="326">
        <f t="shared" si="90"/>
        <v>658</v>
      </c>
      <c r="AR21" s="571">
        <f t="shared" ref="AR21:AS21" si="91">+AR$9*AR98</f>
        <v>620.44506084343561</v>
      </c>
      <c r="AS21" s="572">
        <f t="shared" si="91"/>
        <v>670.13017370790908</v>
      </c>
      <c r="AT21" s="571">
        <f t="shared" ref="AT21:AW21" si="92">+AT$9*AT98</f>
        <v>739.32071531531528</v>
      </c>
      <c r="AU21" s="571">
        <f t="shared" si="92"/>
        <v>739.39787907792879</v>
      </c>
      <c r="AV21" s="571">
        <f t="shared" si="92"/>
        <v>661.38626871322299</v>
      </c>
      <c r="AW21" s="572">
        <f t="shared" si="92"/>
        <v>738.30214218422168</v>
      </c>
      <c r="AX21" s="571">
        <f t="shared" ref="AX21:BA21" si="93">+AX$9*AX98</f>
        <v>823.28005238610444</v>
      </c>
      <c r="AY21" s="571">
        <f t="shared" si="93"/>
        <v>828.01772476571068</v>
      </c>
      <c r="AZ21" s="571">
        <f t="shared" si="93"/>
        <v>707.31816995198483</v>
      </c>
      <c r="BA21" s="572">
        <f t="shared" si="93"/>
        <v>819.02395568633062</v>
      </c>
      <c r="BB21" s="321"/>
      <c r="BC21" s="368"/>
      <c r="BD21" s="590">
        <f t="shared" si="72"/>
        <v>791</v>
      </c>
      <c r="BE21" s="575">
        <f t="shared" si="73"/>
        <v>876</v>
      </c>
      <c r="BF21" s="590">
        <f t="shared" si="74"/>
        <v>1053</v>
      </c>
      <c r="BG21" s="590">
        <f t="shared" si="75"/>
        <v>1097</v>
      </c>
      <c r="BH21" s="590">
        <f t="shared" si="76"/>
        <v>1241</v>
      </c>
      <c r="BI21" s="590">
        <f t="shared" si="77"/>
        <v>1397</v>
      </c>
      <c r="BJ21" s="590">
        <f t="shared" si="78"/>
        <v>1826</v>
      </c>
      <c r="BK21" s="590">
        <f t="shared" si="79"/>
        <v>2007</v>
      </c>
      <c r="BL21" s="590">
        <f t="shared" si="80"/>
        <v>2115</v>
      </c>
      <c r="BM21" s="590">
        <f t="shared" si="81"/>
        <v>2299</v>
      </c>
      <c r="BN21" s="590">
        <f t="shared" si="82"/>
        <v>2606.5752345513447</v>
      </c>
      <c r="BO21" s="590">
        <f t="shared" si="83"/>
        <v>2878.4070052906886</v>
      </c>
      <c r="BP21" s="590">
        <f t="shared" si="84"/>
        <v>3177.6399027901307</v>
      </c>
      <c r="BQ21" s="321"/>
      <c r="BR21" s="1445"/>
      <c r="BS21" s="1444"/>
      <c r="BT21" s="1445"/>
    </row>
    <row r="22" spans="1:74" s="322" customFormat="1" ht="12" customHeight="1">
      <c r="A22" s="948" t="s">
        <v>30</v>
      </c>
      <c r="B22" s="326">
        <f>+B121-B149-B157-B162</f>
        <v>92</v>
      </c>
      <c r="C22" s="326">
        <f>+C121-C149-C157-C162</f>
        <v>96</v>
      </c>
      <c r="D22" s="326">
        <f t="shared" ref="D22" si="94">+D121-D149-D157-D162</f>
        <v>124</v>
      </c>
      <c r="E22" s="1322">
        <f>+E121-E149-E157-E162</f>
        <v>102</v>
      </c>
      <c r="F22" s="326">
        <f>+F121-F149-F157-F162</f>
        <v>100</v>
      </c>
      <c r="G22" s="326">
        <f>+G121-G149-G157-G162</f>
        <v>112</v>
      </c>
      <c r="H22" s="326">
        <f t="shared" ref="H22" si="95">+H121-H149-H157-H162</f>
        <v>120</v>
      </c>
      <c r="I22" s="1322">
        <f>+I121-I149-I157-I162</f>
        <v>113</v>
      </c>
      <c r="J22" s="326">
        <f>+J121-J149-J157-J162</f>
        <v>115</v>
      </c>
      <c r="K22" s="326">
        <f>+K121-K149-K157-K162</f>
        <v>115</v>
      </c>
      <c r="L22" s="326">
        <f t="shared" ref="L22" si="96">+L121-L149-L157-L162</f>
        <v>136</v>
      </c>
      <c r="M22" s="1322">
        <f>+M121-M149-M157-M162</f>
        <v>112</v>
      </c>
      <c r="N22" s="326">
        <f>+N121-N149-N157-N162</f>
        <v>111</v>
      </c>
      <c r="O22" s="326">
        <f>+O121-O149-O157-O162</f>
        <v>114</v>
      </c>
      <c r="P22" s="326">
        <f t="shared" ref="P22" si="97">+P121-P149-P157-P162</f>
        <v>142</v>
      </c>
      <c r="Q22" s="1322">
        <f>+Q121-Q149-Q157-Q162</f>
        <v>125</v>
      </c>
      <c r="R22" s="326">
        <f>+R121-R149-R157-R162</f>
        <v>118</v>
      </c>
      <c r="S22" s="326">
        <f>+S121-S149-S157-S162</f>
        <v>132</v>
      </c>
      <c r="T22" s="326">
        <f t="shared" ref="T22" si="98">+T121-T149-T157-T162</f>
        <v>140</v>
      </c>
      <c r="U22" s="1322">
        <f>+U121-U149-U157-U162</f>
        <v>152</v>
      </c>
      <c r="V22" s="326">
        <f>+V121-V149-V157-V162</f>
        <v>138</v>
      </c>
      <c r="W22" s="326">
        <f>+W121-W149-W157-W162</f>
        <v>167</v>
      </c>
      <c r="X22" s="326">
        <f t="shared" ref="X22" si="99">+X121-X149-X157-X162</f>
        <v>219</v>
      </c>
      <c r="Y22" s="1322">
        <f>+Y121-Y149-Y157-Y162</f>
        <v>202</v>
      </c>
      <c r="Z22" s="326">
        <f>+Z121-Z149-Z157-Z162</f>
        <v>170</v>
      </c>
      <c r="AA22" s="326">
        <f>+AA121-AA149-AA157-AA162</f>
        <v>259</v>
      </c>
      <c r="AB22" s="326">
        <f t="shared" ref="AB22" si="100">+AB121-AB149-AB157-AB162</f>
        <v>382</v>
      </c>
      <c r="AC22" s="1322">
        <f>+AC121-AC149-AC157-AC162</f>
        <v>248</v>
      </c>
      <c r="AD22" s="326">
        <f>+AD121-AD149-AD157-AD162</f>
        <v>208</v>
      </c>
      <c r="AE22" s="326">
        <f>+AE121-AE149-AE157-AE162</f>
        <v>230</v>
      </c>
      <c r="AF22" s="326">
        <f t="shared" ref="AF22" si="101">+AF121-AF149-AF157-AF162</f>
        <v>238</v>
      </c>
      <c r="AG22" s="1322">
        <f>+AG121-AG149-AG157-AG162</f>
        <v>243</v>
      </c>
      <c r="AH22" s="326">
        <f>+AH121-AH149-AH157-AH162</f>
        <v>232</v>
      </c>
      <c r="AI22" s="326">
        <f>+AI121-AI149-AI157-AI162</f>
        <v>257</v>
      </c>
      <c r="AJ22" s="326">
        <f t="shared" ref="AJ22" si="102">+AJ121-AJ149-AJ157-AJ162</f>
        <v>278</v>
      </c>
      <c r="AK22" s="1322">
        <f>+AK121-AK149-AK157-AK162</f>
        <v>278</v>
      </c>
      <c r="AL22" s="326">
        <f>+AL121-AL149-AL157-AL162</f>
        <v>287</v>
      </c>
      <c r="AM22" s="326">
        <f>+AM121-AM149-AM157-AM162</f>
        <v>290</v>
      </c>
      <c r="AN22" s="326">
        <f t="shared" ref="AN22:AO22" si="103">+AN121-AN149-AN157-AN162</f>
        <v>310</v>
      </c>
      <c r="AO22" s="1322">
        <f t="shared" si="103"/>
        <v>310</v>
      </c>
      <c r="AP22" s="326">
        <f>+AP121-AP149-AP157-AP162</f>
        <v>301</v>
      </c>
      <c r="AQ22" s="326">
        <f>+AQ121-AQ149-AQ157-AQ162</f>
        <v>294</v>
      </c>
      <c r="AR22" s="326">
        <f t="shared" ref="AR22:AS22" si="104">+AR$9*AR99</f>
        <v>347.85621250709312</v>
      </c>
      <c r="AS22" s="1322">
        <f t="shared" si="104"/>
        <v>335.61234484338291</v>
      </c>
      <c r="AT22" s="326">
        <f t="shared" ref="AT22:AW22" si="105">+AT$9*AT99</f>
        <v>333.40666126126126</v>
      </c>
      <c r="AU22" s="326">
        <f t="shared" si="105"/>
        <v>324.50400244447832</v>
      </c>
      <c r="AV22" s="326">
        <f t="shared" si="105"/>
        <v>362.63547340660398</v>
      </c>
      <c r="AW22" s="1322">
        <f t="shared" si="105"/>
        <v>365.01627784311768</v>
      </c>
      <c r="AX22" s="326">
        <f t="shared" ref="AX22:BA22" si="106">+AX$9*AX99</f>
        <v>365.8025772096899</v>
      </c>
      <c r="AY22" s="326">
        <f t="shared" si="106"/>
        <v>356.6377789813788</v>
      </c>
      <c r="AZ22" s="326">
        <f t="shared" si="106"/>
        <v>378.57123708919704</v>
      </c>
      <c r="BA22" s="1322">
        <f t="shared" si="106"/>
        <v>399.53250462697792</v>
      </c>
      <c r="BB22" s="321"/>
      <c r="BC22" s="368"/>
      <c r="BD22" s="590">
        <f t="shared" si="72"/>
        <v>414</v>
      </c>
      <c r="BE22" s="575">
        <f t="shared" si="73"/>
        <v>445</v>
      </c>
      <c r="BF22" s="590">
        <f t="shared" si="74"/>
        <v>478</v>
      </c>
      <c r="BG22" s="590">
        <f t="shared" si="75"/>
        <v>492</v>
      </c>
      <c r="BH22" s="590">
        <f t="shared" si="76"/>
        <v>542</v>
      </c>
      <c r="BI22" s="590">
        <f t="shared" si="77"/>
        <v>726</v>
      </c>
      <c r="BJ22" s="590">
        <f t="shared" si="78"/>
        <v>1059</v>
      </c>
      <c r="BK22" s="590">
        <f t="shared" si="79"/>
        <v>919</v>
      </c>
      <c r="BL22" s="590">
        <f t="shared" si="80"/>
        <v>1045</v>
      </c>
      <c r="BM22" s="590">
        <f t="shared" si="81"/>
        <v>1197</v>
      </c>
      <c r="BN22" s="590">
        <f t="shared" si="82"/>
        <v>1278.468557350476</v>
      </c>
      <c r="BO22" s="590">
        <f t="shared" si="83"/>
        <v>1385.5624149554612</v>
      </c>
      <c r="BP22" s="590">
        <f t="shared" si="84"/>
        <v>1500.5440979072437</v>
      </c>
      <c r="BQ22" s="321"/>
      <c r="BR22" s="1445"/>
      <c r="BS22" s="1444"/>
      <c r="BT22" s="1445"/>
    </row>
    <row r="23" spans="1:74" s="325" customFormat="1" ht="12" customHeight="1">
      <c r="A23" s="955" t="s">
        <v>273</v>
      </c>
      <c r="B23" s="573">
        <f t="shared" ref="B23:U23" si="107">+SUM(B20:B22)</f>
        <v>509</v>
      </c>
      <c r="C23" s="573">
        <f t="shared" si="107"/>
        <v>618</v>
      </c>
      <c r="D23" s="573">
        <f t="shared" si="107"/>
        <v>736</v>
      </c>
      <c r="E23" s="574">
        <f t="shared" si="107"/>
        <v>554</v>
      </c>
      <c r="F23" s="573">
        <f t="shared" si="107"/>
        <v>568</v>
      </c>
      <c r="G23" s="573">
        <f t="shared" si="107"/>
        <v>709</v>
      </c>
      <c r="H23" s="573">
        <f t="shared" si="107"/>
        <v>790</v>
      </c>
      <c r="I23" s="574">
        <f t="shared" si="107"/>
        <v>586</v>
      </c>
      <c r="J23" s="573">
        <f t="shared" si="107"/>
        <v>652</v>
      </c>
      <c r="K23" s="573">
        <f t="shared" si="107"/>
        <v>815</v>
      </c>
      <c r="L23" s="573">
        <f t="shared" si="107"/>
        <v>926</v>
      </c>
      <c r="M23" s="574">
        <f t="shared" si="107"/>
        <v>668</v>
      </c>
      <c r="N23" s="576">
        <f t="shared" si="107"/>
        <v>686</v>
      </c>
      <c r="O23" s="573">
        <f t="shared" si="107"/>
        <v>898</v>
      </c>
      <c r="P23" s="573">
        <f t="shared" si="107"/>
        <v>1050</v>
      </c>
      <c r="Q23" s="574">
        <f t="shared" si="107"/>
        <v>779</v>
      </c>
      <c r="R23" s="573">
        <f t="shared" si="107"/>
        <v>767</v>
      </c>
      <c r="S23" s="573">
        <f t="shared" si="107"/>
        <v>992</v>
      </c>
      <c r="T23" s="573">
        <f t="shared" si="107"/>
        <v>1057</v>
      </c>
      <c r="U23" s="574">
        <f t="shared" si="107"/>
        <v>899</v>
      </c>
      <c r="V23" s="573">
        <f>+SUM(V20:V22)</f>
        <v>755</v>
      </c>
      <c r="W23" s="573">
        <f>+SUM(W20:W22)</f>
        <v>1004</v>
      </c>
      <c r="X23" s="573">
        <f t="shared" ref="X23" si="108">+SUM(X20:X22)</f>
        <v>1407</v>
      </c>
      <c r="Y23" s="574">
        <f t="shared" ref="Y23" si="109">+SUM(Y20:Y22)</f>
        <v>1418</v>
      </c>
      <c r="Z23" s="573">
        <f>+SUM(Z20:Z22)</f>
        <v>1077</v>
      </c>
      <c r="AA23" s="573">
        <f>+SUM(AA20:AA22)</f>
        <v>1576</v>
      </c>
      <c r="AB23" s="573">
        <f t="shared" ref="AB23" si="110">+SUM(AB20:AB22)</f>
        <v>1986</v>
      </c>
      <c r="AC23" s="574">
        <f t="shared" ref="AC23:AN23" si="111">+SUM(AC20:AC22)</f>
        <v>1463</v>
      </c>
      <c r="AD23" s="323">
        <f t="shared" si="111"/>
        <v>1386</v>
      </c>
      <c r="AE23" s="573">
        <f t="shared" si="111"/>
        <v>1544</v>
      </c>
      <c r="AF23" s="573">
        <f t="shared" si="111"/>
        <v>1833</v>
      </c>
      <c r="AG23" s="574">
        <f t="shared" si="111"/>
        <v>1496</v>
      </c>
      <c r="AH23" s="573">
        <f t="shared" si="111"/>
        <v>1397</v>
      </c>
      <c r="AI23" s="573">
        <f t="shared" si="111"/>
        <v>1668</v>
      </c>
      <c r="AJ23" s="573">
        <f t="shared" ref="AJ23:AK23" si="112">+SUM(AJ20:AJ22)</f>
        <v>2092</v>
      </c>
      <c r="AK23" s="574">
        <f t="shared" si="112"/>
        <v>1809</v>
      </c>
      <c r="AL23" s="323">
        <f t="shared" si="111"/>
        <v>1655</v>
      </c>
      <c r="AM23" s="323">
        <f t="shared" si="111"/>
        <v>1913</v>
      </c>
      <c r="AN23" s="323">
        <f t="shared" si="111"/>
        <v>2356</v>
      </c>
      <c r="AO23" s="1057">
        <f t="shared" ref="AO23:AQ23" si="113">+SUM(AO20:AO22)</f>
        <v>2066</v>
      </c>
      <c r="AP23" s="323">
        <f t="shared" si="113"/>
        <v>1885</v>
      </c>
      <c r="AQ23" s="323">
        <f t="shared" si="113"/>
        <v>2197</v>
      </c>
      <c r="AR23" s="573">
        <f t="shared" ref="AR23:AS23" si="114">+SUM(AR20:AR22)</f>
        <v>2702.2783480539074</v>
      </c>
      <c r="AS23" s="574">
        <f t="shared" si="114"/>
        <v>2187.0616069400935</v>
      </c>
      <c r="AT23" s="573">
        <f t="shared" ref="AT23:AW23" si="115">+SUM(AT20:AT22)</f>
        <v>2112.3505859716861</v>
      </c>
      <c r="AU23" s="573">
        <f t="shared" si="115"/>
        <v>2461.7705373678941</v>
      </c>
      <c r="AV23" s="573">
        <f t="shared" si="115"/>
        <v>2877.902405260385</v>
      </c>
      <c r="AW23" s="574">
        <f t="shared" si="115"/>
        <v>2427.3057266160622</v>
      </c>
      <c r="AX23" s="573">
        <f t="shared" ref="AX23:BA23" si="116">+SUM(AX20:AX22)</f>
        <v>2350.812719394276</v>
      </c>
      <c r="AY23" s="573">
        <f t="shared" si="116"/>
        <v>2760.7920524680667</v>
      </c>
      <c r="AZ23" s="573">
        <f t="shared" si="116"/>
        <v>3107.4820992349505</v>
      </c>
      <c r="BA23" s="574">
        <f t="shared" si="116"/>
        <v>2679.7634847508307</v>
      </c>
      <c r="BB23" s="323"/>
      <c r="BC23" s="315"/>
      <c r="BD23" s="593">
        <f t="shared" si="72"/>
        <v>2417</v>
      </c>
      <c r="BE23" s="593">
        <f t="shared" si="73"/>
        <v>2653</v>
      </c>
      <c r="BF23" s="593">
        <f t="shared" si="74"/>
        <v>3061</v>
      </c>
      <c r="BG23" s="593">
        <f t="shared" si="75"/>
        <v>3413</v>
      </c>
      <c r="BH23" s="593">
        <f t="shared" si="76"/>
        <v>3715</v>
      </c>
      <c r="BI23" s="593">
        <f t="shared" si="77"/>
        <v>4584</v>
      </c>
      <c r="BJ23" s="593">
        <f t="shared" si="78"/>
        <v>6102</v>
      </c>
      <c r="BK23" s="593">
        <f t="shared" si="79"/>
        <v>6259</v>
      </c>
      <c r="BL23" s="593">
        <f t="shared" si="80"/>
        <v>6966</v>
      </c>
      <c r="BM23" s="593">
        <f t="shared" si="81"/>
        <v>7990</v>
      </c>
      <c r="BN23" s="593">
        <f t="shared" si="82"/>
        <v>8971.3399549940004</v>
      </c>
      <c r="BO23" s="593">
        <f t="shared" si="83"/>
        <v>9879.3292552160274</v>
      </c>
      <c r="BP23" s="593">
        <f t="shared" si="84"/>
        <v>10898.850355848124</v>
      </c>
      <c r="BQ23" s="324"/>
      <c r="BR23" s="1447"/>
      <c r="BS23" s="1444"/>
      <c r="BT23" s="1447"/>
    </row>
    <row r="24" spans="1:74" s="325" customFormat="1" ht="12" customHeight="1">
      <c r="A24" s="945" t="s">
        <v>11</v>
      </c>
      <c r="B24" s="573">
        <f t="shared" ref="B24:U24" si="117">+B16-B23</f>
        <v>46</v>
      </c>
      <c r="C24" s="573">
        <f t="shared" si="117"/>
        <v>114</v>
      </c>
      <c r="D24" s="573">
        <f t="shared" si="117"/>
        <v>1359</v>
      </c>
      <c r="E24" s="574">
        <f t="shared" si="117"/>
        <v>36</v>
      </c>
      <c r="F24" s="573">
        <f t="shared" si="117"/>
        <v>32</v>
      </c>
      <c r="G24" s="573">
        <f t="shared" si="117"/>
        <v>106</v>
      </c>
      <c r="H24" s="573">
        <f t="shared" si="117"/>
        <v>1519</v>
      </c>
      <c r="I24" s="574">
        <f t="shared" si="117"/>
        <v>78</v>
      </c>
      <c r="J24" s="573">
        <f t="shared" si="117"/>
        <v>65</v>
      </c>
      <c r="K24" s="573">
        <f t="shared" si="117"/>
        <v>294</v>
      </c>
      <c r="L24" s="573">
        <f t="shared" si="117"/>
        <v>1700</v>
      </c>
      <c r="M24" s="574">
        <f t="shared" si="117"/>
        <v>-15</v>
      </c>
      <c r="N24" s="576">
        <f t="shared" si="117"/>
        <v>102</v>
      </c>
      <c r="O24" s="573">
        <f t="shared" si="117"/>
        <v>339</v>
      </c>
      <c r="P24" s="573">
        <f t="shared" si="117"/>
        <v>1888</v>
      </c>
      <c r="Q24" s="574">
        <f t="shared" si="117"/>
        <v>-47</v>
      </c>
      <c r="R24" s="573">
        <f t="shared" si="117"/>
        <v>129</v>
      </c>
      <c r="S24" s="573">
        <f t="shared" si="117"/>
        <v>384</v>
      </c>
      <c r="T24" s="573">
        <f t="shared" si="117"/>
        <v>1539</v>
      </c>
      <c r="U24" s="574">
        <f t="shared" si="117"/>
        <v>616</v>
      </c>
      <c r="V24" s="573">
        <f>+V16-V23</f>
        <v>334</v>
      </c>
      <c r="W24" s="573">
        <f>+W16-W23</f>
        <v>235</v>
      </c>
      <c r="X24" s="573">
        <f t="shared" ref="X24:Y24" si="118">+X16-X23</f>
        <v>2201</v>
      </c>
      <c r="Y24" s="574">
        <f t="shared" si="118"/>
        <v>715</v>
      </c>
      <c r="Z24" s="573">
        <f>+Z16-Z23</f>
        <v>555</v>
      </c>
      <c r="AA24" s="323">
        <f>+AA16-AA23</f>
        <v>612</v>
      </c>
      <c r="AB24" s="573">
        <f t="shared" ref="AB24" si="119">+AB16-AB23</f>
        <v>2903.9999999999991</v>
      </c>
      <c r="AC24" s="574">
        <f>+AC16-AC23</f>
        <v>433</v>
      </c>
      <c r="AD24" s="323">
        <f t="shared" ref="AD24:AN24" si="120">+AD16-AD23</f>
        <v>662</v>
      </c>
      <c r="AE24" s="573">
        <f t="shared" si="120"/>
        <v>856</v>
      </c>
      <c r="AF24" s="323">
        <f t="shared" si="120"/>
        <v>3358</v>
      </c>
      <c r="AG24" s="1057">
        <f t="shared" si="120"/>
        <v>627</v>
      </c>
      <c r="AH24" s="323">
        <f t="shared" si="120"/>
        <v>960</v>
      </c>
      <c r="AI24" s="323">
        <f t="shared" si="120"/>
        <v>1000</v>
      </c>
      <c r="AJ24" s="323">
        <f t="shared" ref="AJ24:AK24" si="121">+AJ16-AJ23</f>
        <v>3711.9999999999991</v>
      </c>
      <c r="AK24" s="1057">
        <f t="shared" si="121"/>
        <v>730.00000000000045</v>
      </c>
      <c r="AL24" s="323">
        <f t="shared" si="120"/>
        <v>953</v>
      </c>
      <c r="AM24" s="323">
        <f t="shared" si="120"/>
        <v>1260</v>
      </c>
      <c r="AN24" s="323">
        <f t="shared" si="120"/>
        <v>4343</v>
      </c>
      <c r="AO24" s="1057">
        <f t="shared" ref="AO24:AQ24" si="122">+AO16-AO23</f>
        <v>1016</v>
      </c>
      <c r="AP24" s="323">
        <f t="shared" si="122"/>
        <v>1258</v>
      </c>
      <c r="AQ24" s="323">
        <f t="shared" si="122"/>
        <v>1549</v>
      </c>
      <c r="AR24" s="573">
        <f t="shared" ref="AR24:AS24" si="123">+AR16-AR23</f>
        <v>4627.942857254161</v>
      </c>
      <c r="AS24" s="574">
        <f t="shared" si="123"/>
        <v>1228.5463926645148</v>
      </c>
      <c r="AT24" s="573">
        <f t="shared" ref="AT24:AW24" si="124">+AT16-AT23</f>
        <v>1456.8115567998143</v>
      </c>
      <c r="AU24" s="573">
        <f t="shared" si="124"/>
        <v>1796.5955490539113</v>
      </c>
      <c r="AV24" s="573">
        <f t="shared" si="124"/>
        <v>5151.9535475306529</v>
      </c>
      <c r="AW24" s="574">
        <f t="shared" si="124"/>
        <v>1378.0030774879033</v>
      </c>
      <c r="AX24" s="573">
        <f t="shared" ref="AX24:BA24" si="125">+AX16-AX23</f>
        <v>1666.1288302553016</v>
      </c>
      <c r="AY24" s="573">
        <f t="shared" si="125"/>
        <v>2064.4216789570528</v>
      </c>
      <c r="AZ24" s="573">
        <f t="shared" si="125"/>
        <v>5724.0322973526327</v>
      </c>
      <c r="BA24" s="574">
        <f t="shared" si="125"/>
        <v>1589.8212171583409</v>
      </c>
      <c r="BB24" s="323"/>
      <c r="BC24" s="315"/>
      <c r="BD24" s="593">
        <f t="shared" si="72"/>
        <v>1555</v>
      </c>
      <c r="BE24" s="593">
        <f t="shared" si="73"/>
        <v>1735</v>
      </c>
      <c r="BF24" s="593">
        <f t="shared" si="74"/>
        <v>2044</v>
      </c>
      <c r="BG24" s="593">
        <f t="shared" si="75"/>
        <v>2282</v>
      </c>
      <c r="BH24" s="593">
        <f t="shared" si="76"/>
        <v>2668</v>
      </c>
      <c r="BI24" s="593">
        <f t="shared" si="77"/>
        <v>3485</v>
      </c>
      <c r="BJ24" s="593">
        <f t="shared" si="78"/>
        <v>4503.9999999999991</v>
      </c>
      <c r="BK24" s="593">
        <f t="shared" si="79"/>
        <v>5503</v>
      </c>
      <c r="BL24" s="1461">
        <f t="shared" si="80"/>
        <v>6402</v>
      </c>
      <c r="BM24" s="1461">
        <f t="shared" si="81"/>
        <v>7572</v>
      </c>
      <c r="BN24" s="593">
        <f t="shared" si="82"/>
        <v>8663.4892499186753</v>
      </c>
      <c r="BO24" s="593">
        <f t="shared" si="83"/>
        <v>9783.3637308722809</v>
      </c>
      <c r="BP24" s="593">
        <f t="shared" si="84"/>
        <v>11044.404023723328</v>
      </c>
      <c r="BQ24" s="324"/>
      <c r="BR24" s="1447"/>
      <c r="BS24" s="1444"/>
      <c r="BT24" s="1447"/>
    </row>
    <row r="25" spans="1:74" s="334" customFormat="1" ht="12" hidden="1" customHeight="1" outlineLevel="1">
      <c r="A25" s="952" t="s">
        <v>322</v>
      </c>
      <c r="B25" s="349"/>
      <c r="C25" s="350"/>
      <c r="D25" s="350"/>
      <c r="E25" s="350"/>
      <c r="F25" s="351"/>
      <c r="G25" s="350"/>
      <c r="H25" s="350"/>
      <c r="I25" s="352"/>
      <c r="J25" s="577"/>
      <c r="K25" s="577"/>
      <c r="L25" s="577"/>
      <c r="M25" s="578"/>
      <c r="N25" s="577" cm="1">
        <f t="array" ref="N25">_xll.FDS("INTU-US","FE_ESTIMATE(EBIT,MEAN,QTR_ROLL,"&amp;N2&amp;",NOW,,,'')")</f>
        <v>102</v>
      </c>
      <c r="O25" s="577" cm="1">
        <f t="array" ref="O25">_xll.FDS("INTU-US","FE_ESTIMATE(EBIT,MEAN,QTR_ROLL,"&amp;O2&amp;",NOW,,,'')")</f>
        <v>339</v>
      </c>
      <c r="P25" s="577" cm="1">
        <f t="array" ref="P25">_xll.FDS("INTU-US","FE_ESTIMATE(EBIT,MEAN,QTR_ROLL,"&amp;P2&amp;",NOW,,,'')")</f>
        <v>1888</v>
      </c>
      <c r="Q25" s="578" cm="1">
        <f t="array" ref="Q25">_xll.FDS("INTU-US","FE_ESTIMATE(EBIT,MEAN,QTR_ROLL,"&amp;Q2&amp;",NOW,,,'')")</f>
        <v>-47</v>
      </c>
      <c r="R25" s="577" cm="1">
        <f t="array" ref="R25">_xll.FDS("INTU-US","FE_ESTIMATE(EBIT,MEAN,QTR_ROLL,"&amp;R2&amp;",NOW,,,'')")</f>
        <v>129</v>
      </c>
      <c r="S25" s="577" cm="1">
        <f t="array" ref="S25">_xll.FDS("INTU-US","FE_ESTIMATE(EBIT,MEAN,QTR_ROLL,"&amp;S2&amp;",NOW,,,'')")</f>
        <v>383.92307</v>
      </c>
      <c r="T25" s="577" cm="1">
        <f t="array" ref="T25">_xll.FDS("INTU-US","FE_ESTIMATE(EBIT,MEAN,QTR_ROLL,"&amp;T2&amp;",NOW,,,'')")</f>
        <v>1539</v>
      </c>
      <c r="U25" s="578" cm="1">
        <f t="array" ref="U25">_xll.FDS("INTU-US","FE_ESTIMATE(EBIT,MEAN,QTR_ROLL,"&amp;U2&amp;",NOW,,,'')")</f>
        <v>616</v>
      </c>
      <c r="V25" s="577" cm="1">
        <f t="array" ref="V25">_xll.FDS("INTU-US","FE_ESTIMATE(EBIT,MEAN,QTR_ROLL,"&amp;V2&amp;",NOW,,,'')")</f>
        <v>334</v>
      </c>
      <c r="W25" s="577" cm="1">
        <f t="array" ref="W25">_xll.FDS("INTU-US","FE_ESTIMATE(EBIT,MEAN,QTR_ROLL,"&amp;W2&amp;",NOW,,,'')")</f>
        <v>235</v>
      </c>
      <c r="X25" s="577" cm="1">
        <f t="array" ref="X25">_xll.FDS("INTU-US","FE_ESTIMATE(EBIT,MEAN,QTR_ROLL,"&amp;X2&amp;",NOW,,,'')")</f>
        <v>2201</v>
      </c>
      <c r="Y25" s="578" cm="1">
        <f t="array" ref="Y25">_xll.FDS("INTU-US","FE_ESTIMATE(EBIT,MEAN,QTR_ROLL,"&amp;Y2&amp;",NOW,,,'')")</f>
        <v>715</v>
      </c>
      <c r="Z25" s="577" cm="1">
        <f t="array" ref="Z25">_xll.FDS("INTU-US","FE_ESTIMATE(EBIT,MEAN,QTR_ROLL,"&amp;Z2&amp;",NOW,,,'')")</f>
        <v>555</v>
      </c>
      <c r="AA25" s="577" cm="1">
        <f t="array" ref="AA25">_xll.FDS("INTU-US","FE_ESTIMATE(EBIT,MEAN,QTR_ROLL,"&amp;AA2&amp;",NOW,,,'')")</f>
        <v>612</v>
      </c>
      <c r="AB25" s="577" cm="1">
        <f t="array" ref="AB25">_xll.FDS("INTU-US","FE_ESTIMATE(EBIT,MEAN,QTR_ROLL,"&amp;AB2&amp;",NOW,,,'')")</f>
        <v>2904</v>
      </c>
      <c r="AC25" s="578" cm="1">
        <f t="array" ref="AC25">_xll.FDS("INTU-US","FE_ESTIMATE(EBIT,MEAN,QTR_ROLL,"&amp;AC2&amp;",NOW,,,'')")</f>
        <v>433</v>
      </c>
      <c r="AD25" s="317" cm="1">
        <f t="array" ref="AD25">_xll.FDS("INTU-US","FE_ESTIMATE(EBIT,MEAN,QTR_ROLL,"&amp;AD2&amp;",NOW,,,'')")</f>
        <v>662</v>
      </c>
      <c r="AE25" s="317" cm="1">
        <f t="array" ref="AE25">_xll.FDS("INTU-US","FE_ESTIMATE(EBIT,MEAN,QTR_ROLL,"&amp;AE2&amp;",NOW,,,'')")</f>
        <v>856</v>
      </c>
      <c r="AF25" s="317" cm="1">
        <f t="array" ref="AF25">_xll.FDS("INTU-US","FE_ESTIMATE(EBIT,MEAN,QTR_ROLL,"&amp;AF2&amp;",NOW,,,'')")</f>
        <v>3358</v>
      </c>
      <c r="AG25" s="1326" cm="1">
        <f t="array" ref="AG25">_xll.FDS("INTU-US","FE_ESTIMATE(EBIT,MEAN,QTR_ROLL,"&amp;AG2&amp;",NOW,,,'')")</f>
        <v>627</v>
      </c>
      <c r="AH25" s="317" cm="1">
        <f t="array" ref="AH25">_xll.FDS("INTU-US","FE_ESTIMATE(EBIT,MEAN,QTR_ROLL,"&amp;AH2&amp;",NOW,,,'')")</f>
        <v>960</v>
      </c>
      <c r="AI25" s="317" cm="1">
        <f t="array" ref="AI25">_xll.FDS("INTU-US","FE_ESTIMATE(EBIT,MEAN,QTR_ROLL,"&amp;AI2&amp;",NOW,,,'')")</f>
        <v>1000</v>
      </c>
      <c r="AJ25" s="317" cm="1">
        <f t="array" ref="AJ25">_xll.FDS("INTU-US","FE_ESTIMATE(EBIT,MEAN,QTR_ROLL,"&amp;AJ2&amp;",NOW,,,'')")</f>
        <v>3712</v>
      </c>
      <c r="AK25" s="1326" cm="1">
        <f t="array" ref="AK25">_xll.FDS("INTU-US","FE_ESTIMATE(EBIT,MEAN,QTR_ROLL,"&amp;AK2&amp;",NOW,,,'')")</f>
        <v>730</v>
      </c>
      <c r="AL25" s="317" cm="1">
        <f t="array" ref="AL25">_xll.FDS("INTU-US","FE_ESTIMATE(EBIT,MEAN,QTR_ROLL,"&amp;AL2&amp;",NOW,,,'')")</f>
        <v>953</v>
      </c>
      <c r="AM25" s="317" cm="1">
        <f t="array" ref="AM25">_xll.FDS("INTU-US","FE_ESTIMATE(EBIT,MEAN,QTR_ROLL,"&amp;AM2&amp;",NOW,,,'')")</f>
        <v>1260</v>
      </c>
      <c r="AN25" s="317" cm="1">
        <f t="array" ref="AN25">_xll.FDS("INTU-US","FE_ESTIMATE(EBIT,MEAN,QTR_ROLL,"&amp;AN2&amp;",NOW,,,'')")</f>
        <v>4343</v>
      </c>
      <c r="AO25" s="1322" cm="1">
        <f t="array" ref="AO25">_xll.FDS("INTU-US","FE_ESTIMATE(EBIT,MEAN,QTR_ROLL,"&amp;AO2&amp;",NOW,,,'')")</f>
        <v>1016</v>
      </c>
      <c r="AP25" s="317" cm="1">
        <f t="array" ref="AP25">_xll.FDS("INTU-US","FE_ESTIMATE(EBIT,MEAN,QTR_ROLL,"&amp;AP2&amp;",NOW,,,'')")</f>
        <v>1258</v>
      </c>
      <c r="AQ25" s="317" cm="1">
        <f t="array" ref="AQ25">_xll.FDS("INTU-US","FE_ESTIMATE(EBIT,MEAN,QTR_ROLL,"&amp;AQ2&amp;",NOW,,,'')")</f>
        <v>1393.71</v>
      </c>
      <c r="AR25" s="577" cm="1">
        <f t="array" ref="AR25">_xll.FDS("INTU-US","FE_ESTIMATE(EBIT,MEAN,QTR_ROLL,"&amp;AR2&amp;",NOW,,,'')")</f>
        <v>4813.7929999999997</v>
      </c>
      <c r="AS25" s="578" cm="1">
        <f t="array" ref="AS25">_xll.FDS("INTU-US","FE_ESTIMATE(EBIT,MEAN,QTR_ROLL,"&amp;AS2&amp;",NOW,,,'')")</f>
        <v>1203.1532999999999</v>
      </c>
      <c r="AT25" s="317" cm="1">
        <f t="array" ref="AT25">_xll.FDS("INTU-US","FE_ESTIMATE(EBIT,MEAN,QTR_ROLL,"&amp;AT2&amp;",NOW,,,'')")</f>
        <v>1471.0707</v>
      </c>
      <c r="AU25" s="317" cm="1">
        <f t="array" ref="AU25">_xll.FDS("INTU-US","FE_ESTIMATE(EBIT,MEAN,QTR_ROLL,"&amp;AU2&amp;",NOW,,,'')")</f>
        <v>1635.8652</v>
      </c>
      <c r="AV25" s="577" cm="1">
        <f t="array" ref="AV25">_xll.FDS("INTU-US","FE_ESTIMATE(EBIT,MEAN,QTR_ROLL,"&amp;AV2&amp;",NOW,,,'')")</f>
        <v>5352.8086000000003</v>
      </c>
      <c r="AW25" s="578" cm="1">
        <f t="array" ref="AW25">_xll.FDS("INTU-US","FE_ESTIMATE(EBIT,MEAN,QTR_ROLL,"&amp;AW2&amp;",NOW,,,'')")</f>
        <v>1395.2076</v>
      </c>
      <c r="AX25" s="317" cm="1">
        <f t="array" ref="AX25">_xll.FDS("INTU-US","FE_ESTIMATE(EBIT,MEAN,QTR_ROLL,"&amp;AX2&amp;",NOW,,,'')")</f>
        <v>1671.5640000000001</v>
      </c>
      <c r="AY25" s="317" cm="1">
        <f t="array" ref="AY25">_xll.FDS("INTU-US","FE_ESTIMATE(EBIT,MEAN,QTR_ROLL,"&amp;AY2&amp;",NOW,,,'')")</f>
        <v>1870.6030000000001</v>
      </c>
      <c r="AZ25" s="577" cm="1">
        <f t="array" ref="AZ25">_xll.FDS("INTU-US","FE_ESTIMATE(EBIT,MEAN,QTR_ROLL,"&amp;AZ2&amp;",NOW,,,'')")</f>
        <v>5814.1606000000002</v>
      </c>
      <c r="BA25" s="578" cm="1">
        <f t="array" ref="BA25">_xll.FDS("INTU-US","FE_ESTIMATE(EBIT,MEAN,QTR_ROLL,"&amp;BA2&amp;",NOW,,,'')")</f>
        <v>1589.6896999999999</v>
      </c>
      <c r="BB25" s="350"/>
      <c r="BC25" s="354"/>
      <c r="BD25" s="385">
        <f t="shared" ref="BD25:BD26" si="126">+SUM(B25:E25)</f>
        <v>0</v>
      </c>
      <c r="BE25" s="318">
        <f t="shared" ref="BE25:BE26" si="127">+SUM(F25:I25)</f>
        <v>0</v>
      </c>
      <c r="BF25" s="385">
        <f t="shared" ref="BF25:BF26" si="128">+SUM(J25:M25)</f>
        <v>0</v>
      </c>
      <c r="BG25" s="589">
        <f t="shared" ref="BG25:BG26" si="129">SUM(N25:Q25)</f>
        <v>2282</v>
      </c>
      <c r="BH25" s="589">
        <f t="shared" ref="BH25:BH26" si="130">+SUM(R25:U25)</f>
        <v>2667.9230699999998</v>
      </c>
      <c r="BI25" s="589">
        <f t="shared" ref="BI25:BI26" si="131">SUM(V25:Y25)</f>
        <v>3485</v>
      </c>
      <c r="BJ25" s="589">
        <f t="shared" ref="BJ25:BJ26" si="132">+SUM(Z25:AC25)</f>
        <v>4504</v>
      </c>
      <c r="BK25" s="589">
        <f t="shared" ref="BK25:BK26" si="133">+SUM(AD25:AG25)</f>
        <v>5503</v>
      </c>
      <c r="BL25" s="589">
        <f t="shared" ref="BL25:BL26" si="134">+SUM(AH25:AK25)</f>
        <v>6402</v>
      </c>
      <c r="BM25" s="589">
        <f t="shared" ref="BM25:BM26" si="135">+SUM(AL25:AO25)</f>
        <v>7572</v>
      </c>
      <c r="BN25" s="589">
        <f t="shared" si="82"/>
        <v>8668.6562999999987</v>
      </c>
      <c r="BO25" s="589">
        <f t="shared" si="83"/>
        <v>9854.9521000000004</v>
      </c>
      <c r="BP25" s="589">
        <f t="shared" si="84"/>
        <v>10946.0173</v>
      </c>
      <c r="BQ25" s="355"/>
      <c r="BR25" s="1401"/>
      <c r="BS25" s="1444"/>
      <c r="BT25" s="1401"/>
    </row>
    <row r="26" spans="1:74" s="328" customFormat="1" ht="12" customHeight="1" collapsed="1">
      <c r="A26" s="948" t="s">
        <v>397</v>
      </c>
      <c r="B26" s="571">
        <f>+B24+'Cash Flow'!B7+'Cash Flow'!B8</f>
        <v>101</v>
      </c>
      <c r="C26" s="571">
        <f>+C24+'Cash Flow'!C7+'Cash Flow'!C8</f>
        <v>172</v>
      </c>
      <c r="D26" s="571">
        <f>+D24+'Cash Flow'!D7+'Cash Flow'!D8</f>
        <v>1421</v>
      </c>
      <c r="E26" s="572">
        <f>+E24+'Cash Flow'!E7+'Cash Flow'!E8</f>
        <v>99</v>
      </c>
      <c r="F26" s="571">
        <f>+F24+'Cash Flow'!F7+'Cash Flow'!F8</f>
        <v>87</v>
      </c>
      <c r="G26" s="571">
        <f>+G24+'Cash Flow'!G7+'Cash Flow'!G8</f>
        <v>163</v>
      </c>
      <c r="H26" s="571">
        <f>+H24+'Cash Flow'!H7+'Cash Flow'!H8</f>
        <v>1581</v>
      </c>
      <c r="I26" s="572">
        <f>+I24+'Cash Flow'!I7+'Cash Flow'!I8</f>
        <v>140</v>
      </c>
      <c r="J26" s="571">
        <f>+J24+'Cash Flow'!J7+'Cash Flow'!J8</f>
        <v>130</v>
      </c>
      <c r="K26" s="571">
        <f>+K24+'Cash Flow'!K7+'Cash Flow'!K8</f>
        <v>356</v>
      </c>
      <c r="L26" s="571">
        <f>+L24+'Cash Flow'!L7+'Cash Flow'!L8</f>
        <v>1764</v>
      </c>
      <c r="M26" s="572">
        <f>+M24+'Cash Flow'!M7+'Cash Flow'!M8</f>
        <v>47</v>
      </c>
      <c r="N26" s="575">
        <f>+N24+'Cash Flow'!N7+'Cash Flow'!N8</f>
        <v>159</v>
      </c>
      <c r="O26" s="571">
        <f>+O24+'Cash Flow'!O7+'Cash Flow'!O8</f>
        <v>394</v>
      </c>
      <c r="P26" s="571">
        <f>+P24+'Cash Flow'!P7+'Cash Flow'!P8</f>
        <v>1942</v>
      </c>
      <c r="Q26" s="572">
        <f>+Q24+'Cash Flow'!Q7+'Cash Flow'!Q8</f>
        <v>12</v>
      </c>
      <c r="R26" s="571">
        <f>+R24+'Cash Flow'!R7+'Cash Flow'!R8</f>
        <v>186</v>
      </c>
      <c r="S26" s="571">
        <f>+S24+'Cash Flow'!S7+'Cash Flow'!S8</f>
        <v>441</v>
      </c>
      <c r="T26" s="571">
        <f>+T24+'Cash Flow'!T7+'Cash Flow'!T8</f>
        <v>1593</v>
      </c>
      <c r="U26" s="572">
        <f>+U24+'Cash Flow'!U7+'Cash Flow'!U8</f>
        <v>666</v>
      </c>
      <c r="V26" s="571">
        <f>+V24+'Cash Flow'!V7+'Cash Flow'!V8</f>
        <v>380</v>
      </c>
      <c r="W26" s="571">
        <f>+W24+'Cash Flow'!W7+'Cash Flow'!W8</f>
        <v>326</v>
      </c>
      <c r="X26" s="571">
        <f>+X24+'Cash Flow'!X7+'Cash Flow'!X8</f>
        <v>2314</v>
      </c>
      <c r="Y26" s="572">
        <f>+Y24+'Cash Flow'!Y7+'Cash Flow'!Y8</f>
        <v>828</v>
      </c>
      <c r="Z26" s="571">
        <f>+Z24+'Cash Flow'!Z7+'Cash Flow'!Z8</f>
        <v>669</v>
      </c>
      <c r="AA26" s="571">
        <f>+AA24+'Cash Flow'!AA7+'Cash Flow'!AA8</f>
        <v>827</v>
      </c>
      <c r="AB26" s="571">
        <f>+AB24+'Cash Flow'!AB7+'Cash Flow'!AB8</f>
        <v>3112.9999999999991</v>
      </c>
      <c r="AC26" s="572">
        <f>+AC24+'Cash Flow'!AC7+'Cash Flow'!AC8</f>
        <v>641</v>
      </c>
      <c r="AD26" s="326">
        <f>+AD24+'Cash Flow'!AD7+'Cash Flow'!AD8</f>
        <v>871</v>
      </c>
      <c r="AE26" s="571">
        <f>+AE24+'Cash Flow'!AE7+'Cash Flow'!AE8</f>
        <v>1065</v>
      </c>
      <c r="AF26" s="571">
        <f>+AF24+'Cash Flow'!AF7+'Cash Flow'!AF8</f>
        <v>3551</v>
      </c>
      <c r="AG26" s="572">
        <f>+AG24+'Cash Flow'!AG7+'Cash Flow'!AG8</f>
        <v>822</v>
      </c>
      <c r="AH26" s="571">
        <f>+AH24+'Cash Flow'!AH7+'Cash Flow'!AH8</f>
        <v>1151</v>
      </c>
      <c r="AI26" s="571">
        <f>+AI24+'Cash Flow'!AI7+'Cash Flow'!AI8</f>
        <v>1192</v>
      </c>
      <c r="AJ26" s="571">
        <f>+AJ24+'Cash Flow'!AJ7+'Cash Flow'!AJ8</f>
        <v>3911.9999999999991</v>
      </c>
      <c r="AK26" s="572">
        <f>+AK24+'Cash Flow'!AK7+'Cash Flow'!AK8</f>
        <v>936.00000000000045</v>
      </c>
      <c r="AL26" s="326">
        <f>+AL24+'Cash Flow'!AL7+'Cash Flow'!AL8</f>
        <v>1154</v>
      </c>
      <c r="AM26" s="326">
        <f>+AM24+'Cash Flow'!AM7+'Cash Flow'!AM8</f>
        <v>1459</v>
      </c>
      <c r="AN26" s="326">
        <f>+AN24+'Cash Flow'!AN7+'Cash Flow'!AN8</f>
        <v>4544</v>
      </c>
      <c r="AO26" s="1322">
        <f>+AO24+'Cash Flow'!AO7+'Cash Flow'!AO8</f>
        <v>1224</v>
      </c>
      <c r="AP26" s="326">
        <f>+AP24+'Cash Flow'!AP7+'Cash Flow'!AP8</f>
        <v>1467</v>
      </c>
      <c r="AQ26" s="326">
        <f>+AQ24+'Cash Flow'!AQ7+'Cash Flow'!AQ8</f>
        <v>1758</v>
      </c>
      <c r="AR26" s="571">
        <f>+AR24+'Cash Flow'!AR7+'Cash Flow'!AR8</f>
        <v>4840.016433472887</v>
      </c>
      <c r="AS26" s="572">
        <f>+AS24+'Cash Flow'!AS7+'Cash Flow'!AS8</f>
        <v>1441.278833933113</v>
      </c>
      <c r="AT26" s="571">
        <f>+AT24+'Cash Flow'!BB7+'Cash Flow'!BB8</f>
        <v>1456.8115567998143</v>
      </c>
      <c r="AU26" s="571">
        <f>+AU24+'Cash Flow'!BC7+'Cash Flow'!BC8</f>
        <v>1796.5955490539113</v>
      </c>
      <c r="AV26" s="571">
        <f>+AV24+'Cash Flow'!BD7+'Cash Flow'!BD8</f>
        <v>5389.9535475306529</v>
      </c>
      <c r="AW26" s="572">
        <f>+AW24+'Cash Flow'!BE7+'Cash Flow'!BE8</f>
        <v>1614.0030774879033</v>
      </c>
      <c r="AX26" s="571">
        <f>+AX24+'Cash Flow'!BF7+'Cash Flow'!BF8</f>
        <v>1919.1288302553016</v>
      </c>
      <c r="AY26" s="571">
        <f>+AY24+'Cash Flow'!BG7+'Cash Flow'!BG8</f>
        <v>2289.4216789570528</v>
      </c>
      <c r="AZ26" s="571">
        <f>+AZ24+'Cash Flow'!BH7+'Cash Flow'!BH8</f>
        <v>5942.0322973526327</v>
      </c>
      <c r="BA26" s="572">
        <f>+BA24+'Cash Flow'!BI7+'Cash Flow'!BI8</f>
        <v>1952.8212171583409</v>
      </c>
      <c r="BB26" s="326"/>
      <c r="BC26" s="310"/>
      <c r="BD26" s="590">
        <f t="shared" si="126"/>
        <v>1793</v>
      </c>
      <c r="BE26" s="575">
        <f t="shared" si="127"/>
        <v>1971</v>
      </c>
      <c r="BF26" s="590">
        <f t="shared" si="128"/>
        <v>2297</v>
      </c>
      <c r="BG26" s="590">
        <f t="shared" si="129"/>
        <v>2507</v>
      </c>
      <c r="BH26" s="590">
        <f t="shared" si="130"/>
        <v>2886</v>
      </c>
      <c r="BI26" s="590">
        <f t="shared" si="131"/>
        <v>3848</v>
      </c>
      <c r="BJ26" s="590">
        <f t="shared" si="132"/>
        <v>5249.9999999999991</v>
      </c>
      <c r="BK26" s="590">
        <f t="shared" si="133"/>
        <v>6309</v>
      </c>
      <c r="BL26" s="590">
        <f t="shared" si="134"/>
        <v>7191</v>
      </c>
      <c r="BM26" s="590">
        <f t="shared" si="135"/>
        <v>8381</v>
      </c>
      <c r="BN26" s="590">
        <f t="shared" si="82"/>
        <v>9506.2952674059998</v>
      </c>
      <c r="BO26" s="590">
        <f t="shared" si="83"/>
        <v>10257.363730872281</v>
      </c>
      <c r="BP26" s="590">
        <f t="shared" si="84"/>
        <v>12103.404023723328</v>
      </c>
      <c r="BQ26" s="327"/>
      <c r="BR26" s="1446"/>
      <c r="BS26" s="1444"/>
      <c r="BT26" s="1446"/>
    </row>
    <row r="27" spans="1:74" s="328" customFormat="1" ht="12" customHeight="1">
      <c r="A27" s="945"/>
      <c r="B27" s="571"/>
      <c r="C27" s="571"/>
      <c r="D27" s="571"/>
      <c r="E27" s="572"/>
      <c r="F27" s="571"/>
      <c r="G27" s="571"/>
      <c r="H27" s="571"/>
      <c r="I27" s="572"/>
      <c r="J27" s="571"/>
      <c r="K27" s="571"/>
      <c r="L27" s="571"/>
      <c r="M27" s="572"/>
      <c r="N27" s="575"/>
      <c r="O27" s="571"/>
      <c r="P27" s="571"/>
      <c r="Q27" s="572"/>
      <c r="R27" s="307"/>
      <c r="S27" s="307"/>
      <c r="T27" s="307"/>
      <c r="U27" s="308"/>
      <c r="V27" s="307"/>
      <c r="W27" s="307"/>
      <c r="X27" s="307"/>
      <c r="Y27" s="308"/>
      <c r="Z27" s="307"/>
      <c r="AA27" s="307"/>
      <c r="AB27" s="307"/>
      <c r="AC27" s="308"/>
      <c r="AD27" s="508"/>
      <c r="AE27" s="307"/>
      <c r="AF27" s="307"/>
      <c r="AG27" s="308"/>
      <c r="AH27" s="508"/>
      <c r="AI27" s="508"/>
      <c r="AJ27" s="508"/>
      <c r="AK27" s="1314"/>
      <c r="AL27" s="508"/>
      <c r="AM27" s="508"/>
      <c r="AN27" s="508"/>
      <c r="AO27" s="1314"/>
      <c r="AP27" s="508"/>
      <c r="AQ27" s="508"/>
      <c r="AR27" s="307"/>
      <c r="AS27" s="308"/>
      <c r="AT27" s="307"/>
      <c r="AU27" s="307"/>
      <c r="AV27" s="307"/>
      <c r="AW27" s="308"/>
      <c r="AX27" s="307"/>
      <c r="AY27" s="307"/>
      <c r="AZ27" s="307"/>
      <c r="BA27" s="308"/>
      <c r="BB27" s="326"/>
      <c r="BC27" s="310"/>
      <c r="BD27" s="310"/>
      <c r="BE27" s="309"/>
      <c r="BF27" s="310"/>
      <c r="BG27" s="310"/>
      <c r="BH27" s="310"/>
      <c r="BI27" s="1330"/>
      <c r="BJ27" s="1331">
        <f>+(BJ24/BI24)-1</f>
        <v>0.29239598278335688</v>
      </c>
      <c r="BK27" s="1332">
        <f>+(BK24/BJ24)-1</f>
        <v>0.22180284191829513</v>
      </c>
      <c r="BL27" s="1330"/>
      <c r="BM27" s="1508"/>
      <c r="BN27" s="1508"/>
      <c r="BO27" s="1508"/>
      <c r="BP27" s="1508"/>
      <c r="BQ27" s="327"/>
      <c r="BR27" s="1446"/>
      <c r="BS27" s="1444"/>
      <c r="BT27" s="1446"/>
    </row>
    <row r="28" spans="1:74" s="328" customFormat="1" ht="12" customHeight="1">
      <c r="A28" s="956" t="s">
        <v>299</v>
      </c>
      <c r="B28" s="326">
        <f>+B127+B164+B165</f>
        <v>-6</v>
      </c>
      <c r="C28" s="326">
        <f t="shared" ref="C28:E28" si="136">+C127+C164+C165</f>
        <v>-8</v>
      </c>
      <c r="D28" s="326">
        <f t="shared" si="136"/>
        <v>-8</v>
      </c>
      <c r="E28" s="1322">
        <f t="shared" si="136"/>
        <v>-8</v>
      </c>
      <c r="F28" s="326">
        <f>+F127+F164+F165</f>
        <v>-8</v>
      </c>
      <c r="G28" s="326">
        <f t="shared" ref="G28:I28" si="137">+G127+G164+G165</f>
        <v>-5</v>
      </c>
      <c r="H28" s="326">
        <f t="shared" si="137"/>
        <v>-7</v>
      </c>
      <c r="I28" s="1322">
        <f t="shared" si="137"/>
        <v>-2</v>
      </c>
      <c r="J28" s="326">
        <f>+J127+J164+J165</f>
        <v>-3</v>
      </c>
      <c r="K28" s="326">
        <f t="shared" ref="K28:M28" si="138">+K127+K164+K165</f>
        <v>-4</v>
      </c>
      <c r="L28" s="326">
        <f t="shared" si="138"/>
        <v>-13</v>
      </c>
      <c r="M28" s="1322">
        <f t="shared" si="138"/>
        <v>-2</v>
      </c>
      <c r="N28" s="326">
        <f>+N127+N164+N165</f>
        <v>-3</v>
      </c>
      <c r="O28" s="326">
        <f t="shared" ref="O28:Q28" si="139">+O127+O164+O165</f>
        <v>-2</v>
      </c>
      <c r="P28" s="326">
        <f t="shared" si="139"/>
        <v>-2</v>
      </c>
      <c r="Q28" s="1322">
        <f t="shared" si="139"/>
        <v>-2</v>
      </c>
      <c r="R28" s="326">
        <f>+R127+R164+R165</f>
        <v>-1</v>
      </c>
      <c r="S28" s="326">
        <f t="shared" ref="S28:U28" si="140">+S127+S164+S165</f>
        <v>-2</v>
      </c>
      <c r="T28" s="326">
        <f t="shared" si="140"/>
        <v>0</v>
      </c>
      <c r="U28" s="1322">
        <f t="shared" si="140"/>
        <v>-6</v>
      </c>
      <c r="V28" s="326">
        <f>+V127+V164+V165</f>
        <v>-15</v>
      </c>
      <c r="W28" s="326">
        <f t="shared" ref="W28:Y28" si="141">+W127+W164+W165</f>
        <v>-45</v>
      </c>
      <c r="X28" s="326">
        <f t="shared" si="141"/>
        <v>-7</v>
      </c>
      <c r="Y28" s="1322">
        <f t="shared" si="141"/>
        <v>-7</v>
      </c>
      <c r="Z28" s="326">
        <f>+Z127+Z164+Z165</f>
        <v>-49</v>
      </c>
      <c r="AA28" s="326">
        <f t="shared" ref="AA28:AC28" si="142">+AA127+AA164+AA165</f>
        <v>-21</v>
      </c>
      <c r="AB28" s="326">
        <f t="shared" si="142"/>
        <v>-28</v>
      </c>
      <c r="AC28" s="1322">
        <f t="shared" si="142"/>
        <v>-32</v>
      </c>
      <c r="AD28" s="326">
        <f>+AD127+AD164+AD165</f>
        <v>-49</v>
      </c>
      <c r="AE28" s="326">
        <f t="shared" ref="AE28:AG28" si="143">+AE127+AE164+AE165</f>
        <v>-63</v>
      </c>
      <c r="AF28" s="326">
        <f t="shared" si="143"/>
        <v>-60</v>
      </c>
      <c r="AG28" s="1322">
        <f t="shared" si="143"/>
        <v>-59</v>
      </c>
      <c r="AH28" s="326">
        <f>+AH127+AH164+AH165</f>
        <v>-63</v>
      </c>
      <c r="AI28" s="326">
        <f t="shared" ref="AI28:AK28" si="144">+AI127+AI164+AI165</f>
        <v>-60</v>
      </c>
      <c r="AJ28" s="326">
        <f t="shared" si="144"/>
        <v>-50</v>
      </c>
      <c r="AK28" s="1322">
        <f t="shared" si="144"/>
        <v>-60</v>
      </c>
      <c r="AL28" s="326">
        <f>+AL127+AL164+AL165</f>
        <v>-22</v>
      </c>
      <c r="AM28" s="326">
        <f t="shared" ref="AM28:AO28" si="145">+AM127+AM164+AM165</f>
        <v>-64</v>
      </c>
      <c r="AN28" s="326">
        <f t="shared" si="145"/>
        <v>-59</v>
      </c>
      <c r="AO28" s="1322">
        <f t="shared" si="145"/>
        <v>-81</v>
      </c>
      <c r="AP28" s="326">
        <f>+AP127+AP164+AP165</f>
        <v>-107</v>
      </c>
      <c r="AQ28" s="326">
        <f t="shared" ref="AQ28" si="146">+AQ127+AQ164+AQ165</f>
        <v>-95</v>
      </c>
      <c r="AR28" s="1496">
        <f>+AN28-50</f>
        <v>-109</v>
      </c>
      <c r="AS28" s="1497">
        <f>+AO28-20</f>
        <v>-101</v>
      </c>
      <c r="AT28" s="1496">
        <f t="shared" ref="AR28:BA29" si="147">+AP28</f>
        <v>-107</v>
      </c>
      <c r="AU28" s="1496">
        <f t="shared" si="147"/>
        <v>-95</v>
      </c>
      <c r="AV28" s="1496">
        <f t="shared" si="147"/>
        <v>-109</v>
      </c>
      <c r="AW28" s="1497">
        <f t="shared" si="147"/>
        <v>-101</v>
      </c>
      <c r="AX28" s="1496">
        <f t="shared" si="147"/>
        <v>-107</v>
      </c>
      <c r="AY28" s="1496">
        <f t="shared" si="147"/>
        <v>-95</v>
      </c>
      <c r="AZ28" s="1496">
        <f t="shared" si="147"/>
        <v>-109</v>
      </c>
      <c r="BA28" s="1497">
        <f t="shared" si="147"/>
        <v>-101</v>
      </c>
      <c r="BB28" s="326"/>
      <c r="BC28" s="310"/>
      <c r="BD28" s="592">
        <f t="shared" ref="BD28:BD31" si="148">+SUM(B28:E28)</f>
        <v>-30</v>
      </c>
      <c r="BE28" s="592">
        <f t="shared" ref="BE28:BE31" si="149">+SUM(F28:I28)</f>
        <v>-22</v>
      </c>
      <c r="BF28" s="592">
        <f t="shared" ref="BF28:BF31" si="150">+SUM(J28:M28)</f>
        <v>-22</v>
      </c>
      <c r="BG28" s="592">
        <f t="shared" ref="BG28:BG31" si="151">SUM(N28:Q28)</f>
        <v>-9</v>
      </c>
      <c r="BH28" s="592">
        <f t="shared" ref="BH28:BH31" si="152">+SUM(R28:U28)</f>
        <v>-9</v>
      </c>
      <c r="BI28" s="592">
        <f t="shared" ref="BI28:BI31" si="153">SUM(V28:Y28)</f>
        <v>-74</v>
      </c>
      <c r="BJ28" s="592">
        <f t="shared" ref="BJ28:BJ31" si="154">+SUM(Z28:AC28)</f>
        <v>-130</v>
      </c>
      <c r="BK28" s="592">
        <f t="shared" ref="BK28:BK31" si="155">+SUM(AD28:AG28)</f>
        <v>-231</v>
      </c>
      <c r="BL28" s="592">
        <f t="shared" ref="BL28:BL31" si="156">+SUM(AH28:AK28)</f>
        <v>-233</v>
      </c>
      <c r="BM28" s="592">
        <f t="shared" ref="BM28:BM31" si="157">+SUM(AL28:AO28)</f>
        <v>-226</v>
      </c>
      <c r="BN28" s="592">
        <f>+SUM(AP28:AS28)</f>
        <v>-412</v>
      </c>
      <c r="BO28" s="592">
        <f>+SUM(AT28:AW28)</f>
        <v>-412</v>
      </c>
      <c r="BP28" s="592">
        <f>+SUM(AX28:BA28)</f>
        <v>-412</v>
      </c>
      <c r="BQ28" s="327"/>
      <c r="BR28" s="1446"/>
      <c r="BS28" s="1444"/>
      <c r="BT28" s="1446"/>
    </row>
    <row r="29" spans="1:74" s="331" customFormat="1" ht="12" customHeight="1">
      <c r="A29" s="956" t="s">
        <v>300</v>
      </c>
      <c r="B29" s="571">
        <f t="shared" ref="B29:U29" si="158">+B128</f>
        <v>-4</v>
      </c>
      <c r="C29" s="571">
        <f t="shared" si="158"/>
        <v>-5</v>
      </c>
      <c r="D29" s="571">
        <f t="shared" si="158"/>
        <v>2</v>
      </c>
      <c r="E29" s="572">
        <f t="shared" si="158"/>
        <v>3</v>
      </c>
      <c r="F29" s="571">
        <f t="shared" si="158"/>
        <v>-2</v>
      </c>
      <c r="G29" s="571">
        <f t="shared" si="158"/>
        <v>-1</v>
      </c>
      <c r="H29" s="571">
        <f t="shared" si="158"/>
        <v>3</v>
      </c>
      <c r="I29" s="572">
        <f t="shared" si="158"/>
        <v>3</v>
      </c>
      <c r="J29" s="571">
        <f t="shared" si="158"/>
        <v>3</v>
      </c>
      <c r="K29" s="571">
        <f t="shared" si="158"/>
        <v>5</v>
      </c>
      <c r="L29" s="571">
        <f t="shared" si="158"/>
        <v>7</v>
      </c>
      <c r="M29" s="572">
        <f t="shared" si="158"/>
        <v>11</v>
      </c>
      <c r="N29" s="571">
        <f t="shared" ref="N29:Q29" si="159">+N128</f>
        <v>0</v>
      </c>
      <c r="O29" s="571">
        <f t="shared" si="159"/>
        <v>6</v>
      </c>
      <c r="P29" s="571">
        <f t="shared" si="159"/>
        <v>17</v>
      </c>
      <c r="Q29" s="572">
        <f t="shared" si="159"/>
        <v>19</v>
      </c>
      <c r="R29" s="571">
        <f t="shared" si="158"/>
        <v>14</v>
      </c>
      <c r="S29" s="571">
        <f t="shared" si="158"/>
        <v>15</v>
      </c>
      <c r="T29" s="571">
        <f t="shared" si="158"/>
        <v>-3</v>
      </c>
      <c r="U29" s="572">
        <f t="shared" si="158"/>
        <v>10</v>
      </c>
      <c r="V29" s="571">
        <f>+V128</f>
        <v>9</v>
      </c>
      <c r="W29" s="571">
        <f>+W128</f>
        <v>54</v>
      </c>
      <c r="X29" s="571">
        <f t="shared" ref="X29:Y29" si="160">+X128</f>
        <v>14</v>
      </c>
      <c r="Y29" s="572">
        <f t="shared" si="160"/>
        <v>8</v>
      </c>
      <c r="Z29" s="326">
        <f>+Z128</f>
        <v>50</v>
      </c>
      <c r="AA29" s="326">
        <f>+AA128</f>
        <v>-5</v>
      </c>
      <c r="AB29" s="326">
        <f t="shared" ref="AB29:AC29" si="161">+AB128</f>
        <v>-1</v>
      </c>
      <c r="AC29" s="1322">
        <f t="shared" si="161"/>
        <v>8</v>
      </c>
      <c r="AD29" s="326">
        <f>+AD128</f>
        <v>5</v>
      </c>
      <c r="AE29" s="326">
        <f>+AE128</f>
        <v>23</v>
      </c>
      <c r="AF29" s="326">
        <f t="shared" ref="AF29:AG29" si="162">+AF128</f>
        <v>22</v>
      </c>
      <c r="AG29" s="1322">
        <f t="shared" si="162"/>
        <v>46</v>
      </c>
      <c r="AH29" s="326">
        <f>+AH128</f>
        <v>22</v>
      </c>
      <c r="AI29" s="326">
        <f>+AI128</f>
        <v>42</v>
      </c>
      <c r="AJ29" s="326">
        <f t="shared" ref="AJ29:AK29" si="163">+AJ128</f>
        <v>27</v>
      </c>
      <c r="AK29" s="1322">
        <f t="shared" si="163"/>
        <v>71</v>
      </c>
      <c r="AL29" s="326">
        <f>+AL128</f>
        <v>2</v>
      </c>
      <c r="AM29" s="326">
        <f>+AM128</f>
        <v>38</v>
      </c>
      <c r="AN29" s="326">
        <f t="shared" ref="AN29:AO29" si="164">+AN128</f>
        <v>32</v>
      </c>
      <c r="AO29" s="1322">
        <f t="shared" si="164"/>
        <v>86</v>
      </c>
      <c r="AP29" s="326">
        <f>+AP128</f>
        <v>85</v>
      </c>
      <c r="AQ29" s="326">
        <f>+AQ128</f>
        <v>72</v>
      </c>
      <c r="AR29" s="1496">
        <f t="shared" si="147"/>
        <v>32</v>
      </c>
      <c r="AS29" s="1497">
        <f>+AO29-40</f>
        <v>46</v>
      </c>
      <c r="AT29" s="1496">
        <f t="shared" si="147"/>
        <v>85</v>
      </c>
      <c r="AU29" s="1496">
        <f t="shared" si="147"/>
        <v>72</v>
      </c>
      <c r="AV29" s="1496">
        <f t="shared" si="147"/>
        <v>32</v>
      </c>
      <c r="AW29" s="1497">
        <f t="shared" si="147"/>
        <v>46</v>
      </c>
      <c r="AX29" s="1496">
        <f t="shared" si="147"/>
        <v>85</v>
      </c>
      <c r="AY29" s="1496">
        <f t="shared" si="147"/>
        <v>72</v>
      </c>
      <c r="AZ29" s="1496">
        <f t="shared" si="147"/>
        <v>32</v>
      </c>
      <c r="BA29" s="1497">
        <f t="shared" si="147"/>
        <v>46</v>
      </c>
      <c r="BB29" s="329"/>
      <c r="BC29" s="310"/>
      <c r="BD29" s="592">
        <f t="shared" si="148"/>
        <v>-4</v>
      </c>
      <c r="BE29" s="592">
        <f t="shared" si="149"/>
        <v>3</v>
      </c>
      <c r="BF29" s="592">
        <f t="shared" si="150"/>
        <v>26</v>
      </c>
      <c r="BG29" s="592">
        <f t="shared" si="151"/>
        <v>42</v>
      </c>
      <c r="BH29" s="592">
        <f t="shared" si="152"/>
        <v>36</v>
      </c>
      <c r="BI29" s="592">
        <f t="shared" si="153"/>
        <v>85</v>
      </c>
      <c r="BJ29" s="592">
        <f t="shared" si="154"/>
        <v>52</v>
      </c>
      <c r="BK29" s="592">
        <f t="shared" si="155"/>
        <v>96</v>
      </c>
      <c r="BL29" s="592">
        <f t="shared" si="156"/>
        <v>162</v>
      </c>
      <c r="BM29" s="592">
        <f t="shared" si="157"/>
        <v>158</v>
      </c>
      <c r="BN29" s="592">
        <f>+SUM(AP29:AS29)</f>
        <v>235</v>
      </c>
      <c r="BO29" s="592">
        <f>+SUM(AT29:AW29)</f>
        <v>235</v>
      </c>
      <c r="BP29" s="592">
        <f>+SUM(AX29:BA29)</f>
        <v>235</v>
      </c>
      <c r="BQ29" s="330"/>
      <c r="BR29" s="1448"/>
      <c r="BS29" s="1444"/>
      <c r="BT29" s="1448"/>
      <c r="BV29" s="1303"/>
    </row>
    <row r="30" spans="1:74" s="325" customFormat="1" ht="12" customHeight="1">
      <c r="A30" s="945" t="s">
        <v>301</v>
      </c>
      <c r="B30" s="573">
        <f t="shared" ref="B30:U30" si="165">+B24+SUM(B28:B29)</f>
        <v>36</v>
      </c>
      <c r="C30" s="573">
        <f t="shared" si="165"/>
        <v>101</v>
      </c>
      <c r="D30" s="573">
        <f t="shared" si="165"/>
        <v>1353</v>
      </c>
      <c r="E30" s="574">
        <f t="shared" si="165"/>
        <v>31</v>
      </c>
      <c r="F30" s="573">
        <f t="shared" si="165"/>
        <v>22</v>
      </c>
      <c r="G30" s="573">
        <f t="shared" si="165"/>
        <v>100</v>
      </c>
      <c r="H30" s="573">
        <f t="shared" si="165"/>
        <v>1515</v>
      </c>
      <c r="I30" s="574">
        <f t="shared" si="165"/>
        <v>79</v>
      </c>
      <c r="J30" s="573">
        <f t="shared" si="165"/>
        <v>65</v>
      </c>
      <c r="K30" s="573">
        <f t="shared" si="165"/>
        <v>295</v>
      </c>
      <c r="L30" s="573">
        <f t="shared" si="165"/>
        <v>1694</v>
      </c>
      <c r="M30" s="574">
        <f t="shared" si="165"/>
        <v>-6</v>
      </c>
      <c r="N30" s="576">
        <f t="shared" si="165"/>
        <v>99</v>
      </c>
      <c r="O30" s="573">
        <f t="shared" si="165"/>
        <v>343</v>
      </c>
      <c r="P30" s="573">
        <f t="shared" si="165"/>
        <v>1903</v>
      </c>
      <c r="Q30" s="574">
        <f t="shared" si="165"/>
        <v>-30</v>
      </c>
      <c r="R30" s="573">
        <f t="shared" si="165"/>
        <v>142</v>
      </c>
      <c r="S30" s="573">
        <f t="shared" si="165"/>
        <v>397</v>
      </c>
      <c r="T30" s="573">
        <f t="shared" si="165"/>
        <v>1536</v>
      </c>
      <c r="U30" s="574">
        <f t="shared" si="165"/>
        <v>620</v>
      </c>
      <c r="V30" s="573">
        <f>+V24+SUM(V28:V29)</f>
        <v>328</v>
      </c>
      <c r="W30" s="573">
        <f>+W24+SUM(W28:W29)</f>
        <v>244</v>
      </c>
      <c r="X30" s="573">
        <f t="shared" ref="X30" si="166">+X24+SUM(X28:X29)</f>
        <v>2208</v>
      </c>
      <c r="Y30" s="574">
        <f t="shared" ref="Y30" si="167">+Y24+SUM(Y28:Y29)</f>
        <v>716</v>
      </c>
      <c r="Z30" s="573">
        <f>+Z24+SUM(Z28:Z29)</f>
        <v>556</v>
      </c>
      <c r="AA30" s="573">
        <f>+AA24+SUM(AA28:AA29)</f>
        <v>586</v>
      </c>
      <c r="AB30" s="573">
        <f t="shared" ref="AB30" si="168">+AB24+SUM(AB28:AB29)</f>
        <v>2874.9999999999991</v>
      </c>
      <c r="AC30" s="574">
        <f t="shared" ref="AC30:AN30" si="169">+AC24+SUM(AC28:AC29)</f>
        <v>409</v>
      </c>
      <c r="AD30" s="323">
        <f t="shared" si="169"/>
        <v>618</v>
      </c>
      <c r="AE30" s="573">
        <f t="shared" si="169"/>
        <v>816</v>
      </c>
      <c r="AF30" s="573">
        <f t="shared" si="169"/>
        <v>3320</v>
      </c>
      <c r="AG30" s="574">
        <f t="shared" si="169"/>
        <v>614</v>
      </c>
      <c r="AH30" s="323">
        <f t="shared" ref="AH30" si="170">+AH24+SUM(AH28:AH29)</f>
        <v>919</v>
      </c>
      <c r="AI30" s="323">
        <f t="shared" si="169"/>
        <v>982</v>
      </c>
      <c r="AJ30" s="323">
        <f t="shared" ref="AJ30:AK30" si="171">+AJ24+SUM(AJ28:AJ29)</f>
        <v>3688.9999999999991</v>
      </c>
      <c r="AK30" s="1057">
        <f t="shared" si="171"/>
        <v>741.00000000000045</v>
      </c>
      <c r="AL30" s="323">
        <f t="shared" si="169"/>
        <v>933</v>
      </c>
      <c r="AM30" s="323">
        <f t="shared" si="169"/>
        <v>1234</v>
      </c>
      <c r="AN30" s="323">
        <f t="shared" si="169"/>
        <v>4316</v>
      </c>
      <c r="AO30" s="1057">
        <f>+AO24+SUM(AO28:AO29)</f>
        <v>1021</v>
      </c>
      <c r="AP30" s="323">
        <f t="shared" ref="AP30:AQ30" si="172">+AP24+SUM(AP28:AP29)</f>
        <v>1236</v>
      </c>
      <c r="AQ30" s="323">
        <f t="shared" si="172"/>
        <v>1526</v>
      </c>
      <c r="AR30" s="573">
        <f t="shared" ref="AR30:AS30" si="173">+AR24+SUM(AR28:AR29)</f>
        <v>4550.942857254161</v>
      </c>
      <c r="AS30" s="574">
        <f t="shared" si="173"/>
        <v>1173.5463926645148</v>
      </c>
      <c r="AT30" s="573">
        <f t="shared" ref="AT30:AW30" si="174">+AT24+SUM(AT28:AT29)</f>
        <v>1434.8115567998143</v>
      </c>
      <c r="AU30" s="573">
        <f t="shared" si="174"/>
        <v>1773.5955490539113</v>
      </c>
      <c r="AV30" s="573">
        <f t="shared" si="174"/>
        <v>5074.9535475306529</v>
      </c>
      <c r="AW30" s="574">
        <f t="shared" si="174"/>
        <v>1323.0030774879033</v>
      </c>
      <c r="AX30" s="573">
        <f t="shared" ref="AX30:BA30" si="175">+AX24+SUM(AX28:AX29)</f>
        <v>1644.1288302553016</v>
      </c>
      <c r="AY30" s="573">
        <f t="shared" si="175"/>
        <v>2041.4216789570528</v>
      </c>
      <c r="AZ30" s="573">
        <f t="shared" si="175"/>
        <v>5647.0322973526327</v>
      </c>
      <c r="BA30" s="574">
        <f t="shared" si="175"/>
        <v>1534.8212171583409</v>
      </c>
      <c r="BB30" s="323"/>
      <c r="BC30" s="315"/>
      <c r="BD30" s="593">
        <f t="shared" si="148"/>
        <v>1521</v>
      </c>
      <c r="BE30" s="593">
        <f t="shared" si="149"/>
        <v>1716</v>
      </c>
      <c r="BF30" s="593">
        <f t="shared" si="150"/>
        <v>2048</v>
      </c>
      <c r="BG30" s="593">
        <f t="shared" si="151"/>
        <v>2315</v>
      </c>
      <c r="BH30" s="593">
        <f t="shared" si="152"/>
        <v>2695</v>
      </c>
      <c r="BI30" s="593">
        <f t="shared" si="153"/>
        <v>3496</v>
      </c>
      <c r="BJ30" s="593">
        <f t="shared" si="154"/>
        <v>4425.9999999999991</v>
      </c>
      <c r="BK30" s="593">
        <f t="shared" si="155"/>
        <v>5368</v>
      </c>
      <c r="BL30" s="593">
        <f t="shared" si="156"/>
        <v>6331</v>
      </c>
      <c r="BM30" s="593">
        <f t="shared" si="157"/>
        <v>7504</v>
      </c>
      <c r="BN30" s="593">
        <f>+SUM(AP30:AS30)</f>
        <v>8486.4892499186753</v>
      </c>
      <c r="BO30" s="593">
        <f>+SUM(AT30:AW30)</f>
        <v>9606.3637308722809</v>
      </c>
      <c r="BP30" s="593">
        <f>+SUM(AX30:BA30)</f>
        <v>10867.404023723328</v>
      </c>
      <c r="BQ30" s="324"/>
      <c r="BR30" s="1447"/>
      <c r="BS30" s="1444"/>
      <c r="BT30" s="1448"/>
    </row>
    <row r="31" spans="1:74" s="328" customFormat="1" ht="12" customHeight="1">
      <c r="A31" s="956" t="s">
        <v>10</v>
      </c>
      <c r="B31" s="571">
        <f t="shared" ref="B31:AO31" si="176">+B130+B166</f>
        <v>12</v>
      </c>
      <c r="C31" s="571">
        <f t="shared" si="176"/>
        <v>34</v>
      </c>
      <c r="D31" s="571">
        <f t="shared" si="176"/>
        <v>460</v>
      </c>
      <c r="E31" s="572">
        <f t="shared" si="176"/>
        <v>11</v>
      </c>
      <c r="F31" s="571">
        <f t="shared" si="176"/>
        <v>7</v>
      </c>
      <c r="G31" s="571">
        <f t="shared" si="176"/>
        <v>33</v>
      </c>
      <c r="H31" s="571">
        <f t="shared" si="176"/>
        <v>500</v>
      </c>
      <c r="I31" s="572">
        <f t="shared" si="176"/>
        <v>26</v>
      </c>
      <c r="J31" s="571">
        <f t="shared" si="176"/>
        <v>21</v>
      </c>
      <c r="K31" s="571">
        <f t="shared" si="176"/>
        <v>76</v>
      </c>
      <c r="L31" s="571">
        <f t="shared" si="176"/>
        <v>443</v>
      </c>
      <c r="M31" s="572">
        <f t="shared" si="176"/>
        <v>-3</v>
      </c>
      <c r="N31" s="575">
        <f t="shared" si="176"/>
        <v>23</v>
      </c>
      <c r="O31" s="571">
        <f t="shared" si="176"/>
        <v>79</v>
      </c>
      <c r="P31" s="571">
        <f t="shared" si="176"/>
        <v>438</v>
      </c>
      <c r="Q31" s="572">
        <f t="shared" si="176"/>
        <v>-7</v>
      </c>
      <c r="R31" s="571">
        <f t="shared" si="176"/>
        <v>33</v>
      </c>
      <c r="S31" s="571">
        <f t="shared" si="176"/>
        <v>91</v>
      </c>
      <c r="T31" s="571">
        <f t="shared" si="176"/>
        <v>353</v>
      </c>
      <c r="U31" s="572">
        <f t="shared" si="176"/>
        <v>143</v>
      </c>
      <c r="V31" s="571">
        <f t="shared" si="176"/>
        <v>78</v>
      </c>
      <c r="W31" s="571">
        <f t="shared" si="176"/>
        <v>59</v>
      </c>
      <c r="X31" s="571">
        <f t="shared" si="176"/>
        <v>530</v>
      </c>
      <c r="Y31" s="572">
        <f t="shared" si="176"/>
        <v>172</v>
      </c>
      <c r="Z31" s="571">
        <f t="shared" si="176"/>
        <v>133</v>
      </c>
      <c r="AA31" s="571">
        <f t="shared" si="176"/>
        <v>140</v>
      </c>
      <c r="AB31" s="571">
        <f t="shared" si="176"/>
        <v>690</v>
      </c>
      <c r="AC31" s="572">
        <f t="shared" si="176"/>
        <v>98</v>
      </c>
      <c r="AD31" s="571">
        <f t="shared" si="176"/>
        <v>148</v>
      </c>
      <c r="AE31" s="571">
        <f t="shared" si="176"/>
        <v>196</v>
      </c>
      <c r="AF31" s="571">
        <f t="shared" si="176"/>
        <v>797</v>
      </c>
      <c r="AG31" s="572">
        <f t="shared" si="176"/>
        <v>147</v>
      </c>
      <c r="AH31" s="326">
        <f t="shared" si="176"/>
        <v>221</v>
      </c>
      <c r="AI31" s="326">
        <f t="shared" si="176"/>
        <v>236</v>
      </c>
      <c r="AJ31" s="326">
        <f t="shared" si="176"/>
        <v>885</v>
      </c>
      <c r="AK31" s="1322">
        <f t="shared" si="176"/>
        <v>178</v>
      </c>
      <c r="AL31" s="326">
        <f t="shared" si="176"/>
        <v>224</v>
      </c>
      <c r="AM31" s="326">
        <f t="shared" si="176"/>
        <v>296</v>
      </c>
      <c r="AN31" s="326">
        <f t="shared" si="176"/>
        <v>1036</v>
      </c>
      <c r="AO31" s="1322">
        <f t="shared" si="176"/>
        <v>245</v>
      </c>
      <c r="AP31" s="326">
        <f t="shared" ref="AP31:AQ31" si="177">+AP130+AP166</f>
        <v>297</v>
      </c>
      <c r="AQ31" s="326">
        <f t="shared" si="177"/>
        <v>366</v>
      </c>
      <c r="AR31" s="571">
        <f t="shared" ref="AR31:AS31" si="178">+AR30*AR32</f>
        <v>1057.378469694462</v>
      </c>
      <c r="AS31" s="572">
        <f t="shared" si="178"/>
        <v>272.66496805450004</v>
      </c>
      <c r="AT31" s="571">
        <f t="shared" ref="AT31:AW31" si="179">+AT30*AT32</f>
        <v>340.54208630376195</v>
      </c>
      <c r="AU31" s="571">
        <f t="shared" si="179"/>
        <v>420.95000257804122</v>
      </c>
      <c r="AV31" s="571">
        <f t="shared" si="179"/>
        <v>1204.5033097066773</v>
      </c>
      <c r="AW31" s="572">
        <f t="shared" si="179"/>
        <v>314.00515702487303</v>
      </c>
      <c r="AX31" s="571">
        <f t="shared" ref="AX31:BA31" si="180">+AX30*AX32</f>
        <v>390.2220186015835</v>
      </c>
      <c r="AY31" s="571">
        <f t="shared" si="180"/>
        <v>484.51658636504601</v>
      </c>
      <c r="AZ31" s="571">
        <f t="shared" si="180"/>
        <v>1340.2820397225842</v>
      </c>
      <c r="BA31" s="572">
        <f t="shared" si="180"/>
        <v>364.27865172771544</v>
      </c>
      <c r="BB31" s="326"/>
      <c r="BC31" s="310"/>
      <c r="BD31" s="592">
        <f t="shared" si="148"/>
        <v>517</v>
      </c>
      <c r="BE31" s="592">
        <f t="shared" si="149"/>
        <v>566</v>
      </c>
      <c r="BF31" s="592">
        <f t="shared" si="150"/>
        <v>537</v>
      </c>
      <c r="BG31" s="592">
        <f t="shared" si="151"/>
        <v>533</v>
      </c>
      <c r="BH31" s="592">
        <f t="shared" si="152"/>
        <v>620</v>
      </c>
      <c r="BI31" s="592">
        <f t="shared" si="153"/>
        <v>839</v>
      </c>
      <c r="BJ31" s="592">
        <f t="shared" si="154"/>
        <v>1061</v>
      </c>
      <c r="BK31" s="592">
        <f t="shared" si="155"/>
        <v>1288</v>
      </c>
      <c r="BL31" s="592">
        <f t="shared" si="156"/>
        <v>1520</v>
      </c>
      <c r="BM31" s="592">
        <f t="shared" si="157"/>
        <v>1801</v>
      </c>
      <c r="BN31" s="592">
        <f>+SUM(AP31:AS31)</f>
        <v>1993.0434377489619</v>
      </c>
      <c r="BO31" s="592">
        <f>+SUM(AT31:AW31)</f>
        <v>2280.0005556133533</v>
      </c>
      <c r="BP31" s="592">
        <f>+SUM(AX31:BA31)</f>
        <v>2579.2992964169289</v>
      </c>
      <c r="BQ31" s="327"/>
      <c r="BR31" s="1446"/>
      <c r="BS31" s="1444"/>
      <c r="BT31" s="1446"/>
    </row>
    <row r="32" spans="1:74" s="2066" customFormat="1" ht="12" customHeight="1">
      <c r="A32" s="2055" t="s">
        <v>302</v>
      </c>
      <c r="B32" s="2056">
        <f t="shared" ref="B32:U32" si="181">+B31/B30</f>
        <v>0.33333333333333331</v>
      </c>
      <c r="C32" s="2056">
        <f t="shared" si="181"/>
        <v>0.33663366336633666</v>
      </c>
      <c r="D32" s="2056">
        <f t="shared" si="181"/>
        <v>0.3399852180339985</v>
      </c>
      <c r="E32" s="2057">
        <f t="shared" si="181"/>
        <v>0.35483870967741937</v>
      </c>
      <c r="F32" s="2056">
        <f t="shared" si="181"/>
        <v>0.31818181818181818</v>
      </c>
      <c r="G32" s="2056">
        <f t="shared" si="181"/>
        <v>0.33</v>
      </c>
      <c r="H32" s="2056">
        <f t="shared" si="181"/>
        <v>0.33003300330033003</v>
      </c>
      <c r="I32" s="2057">
        <f t="shared" si="181"/>
        <v>0.32911392405063289</v>
      </c>
      <c r="J32" s="2056">
        <f t="shared" si="181"/>
        <v>0.32307692307692309</v>
      </c>
      <c r="K32" s="2056">
        <f t="shared" si="181"/>
        <v>0.25762711864406779</v>
      </c>
      <c r="L32" s="2056">
        <f t="shared" si="181"/>
        <v>0.2615112160566706</v>
      </c>
      <c r="M32" s="2057">
        <f t="shared" si="181"/>
        <v>0.5</v>
      </c>
      <c r="N32" s="2058">
        <f t="shared" si="181"/>
        <v>0.23232323232323232</v>
      </c>
      <c r="O32" s="2056">
        <f t="shared" si="181"/>
        <v>0.23032069970845481</v>
      </c>
      <c r="P32" s="2056">
        <f t="shared" si="181"/>
        <v>0.23016290068313189</v>
      </c>
      <c r="Q32" s="2057">
        <f t="shared" si="181"/>
        <v>0.23333333333333334</v>
      </c>
      <c r="R32" s="2056">
        <f t="shared" si="181"/>
        <v>0.23239436619718309</v>
      </c>
      <c r="S32" s="2056">
        <f t="shared" si="181"/>
        <v>0.22921914357682618</v>
      </c>
      <c r="T32" s="2056">
        <f t="shared" si="181"/>
        <v>0.22981770833333334</v>
      </c>
      <c r="U32" s="2057">
        <f t="shared" si="181"/>
        <v>0.23064516129032259</v>
      </c>
      <c r="V32" s="2056">
        <f>+V31/V30</f>
        <v>0.23780487804878048</v>
      </c>
      <c r="W32" s="2056">
        <f>+W31/W30</f>
        <v>0.24180327868852458</v>
      </c>
      <c r="X32" s="2056">
        <f t="shared" ref="X32:Y32" si="182">+X31/X30</f>
        <v>0.24003623188405798</v>
      </c>
      <c r="Y32" s="2057">
        <f t="shared" si="182"/>
        <v>0.24022346368715083</v>
      </c>
      <c r="Z32" s="2056">
        <f>+Z31/Z30</f>
        <v>0.23920863309352519</v>
      </c>
      <c r="AA32" s="2056">
        <f>+AA31/AA30</f>
        <v>0.23890784982935154</v>
      </c>
      <c r="AB32" s="2056">
        <f t="shared" ref="AB32:AC32" si="183">+AB31/AB30</f>
        <v>0.24000000000000007</v>
      </c>
      <c r="AC32" s="2057">
        <f t="shared" si="183"/>
        <v>0.23960880195599021</v>
      </c>
      <c r="AD32" s="2056">
        <f>+AD31/AD30</f>
        <v>0.23948220064724918</v>
      </c>
      <c r="AE32" s="2056">
        <f>+AE31/AE30</f>
        <v>0.24019607843137256</v>
      </c>
      <c r="AF32" s="2056">
        <f t="shared" ref="AF32:AG32" si="184">+AF31/AF30</f>
        <v>0.24006024096385542</v>
      </c>
      <c r="AG32" s="2057">
        <f t="shared" si="184"/>
        <v>0.23941368078175895</v>
      </c>
      <c r="AH32" s="2061">
        <f>+AH31/AH30</f>
        <v>0.24047878128400435</v>
      </c>
      <c r="AI32" s="2061">
        <f>+AI31/AI30</f>
        <v>0.24032586558044808</v>
      </c>
      <c r="AJ32" s="2061">
        <f t="shared" ref="AJ32:AK32" si="185">+AJ31/AJ30</f>
        <v>0.23990241257793446</v>
      </c>
      <c r="AK32" s="2111">
        <f t="shared" si="185"/>
        <v>0.24021592442645059</v>
      </c>
      <c r="AL32" s="2061">
        <f>+AL31/AL30</f>
        <v>0.24008574490889603</v>
      </c>
      <c r="AM32" s="2061">
        <f>+AM31/AM30</f>
        <v>0.23987034035656402</v>
      </c>
      <c r="AN32" s="2061">
        <f t="shared" ref="AN32:AO32" si="186">+AN31/AN30</f>
        <v>0.24003707136237257</v>
      </c>
      <c r="AO32" s="2111">
        <f t="shared" si="186"/>
        <v>0.23996082272282077</v>
      </c>
      <c r="AP32" s="2061">
        <f>+AP31/AP30</f>
        <v>0.24029126213592233</v>
      </c>
      <c r="AQ32" s="2061">
        <f>+AQ31/AQ30</f>
        <v>0.2398427260812582</v>
      </c>
      <c r="AR32" s="2059">
        <f>+AQ32-0.75%</f>
        <v>0.23234272608125819</v>
      </c>
      <c r="AS32" s="2060">
        <f t="shared" ref="AS32" si="187">+AR32</f>
        <v>0.23234272608125819</v>
      </c>
      <c r="AT32" s="2059">
        <f>+AS32+0.5%</f>
        <v>0.2373427260812582</v>
      </c>
      <c r="AU32" s="2059">
        <f t="shared" ref="AU32" si="188">+AT32</f>
        <v>0.2373427260812582</v>
      </c>
      <c r="AV32" s="2059">
        <f t="shared" ref="AV32" si="189">+AU32</f>
        <v>0.2373427260812582</v>
      </c>
      <c r="AW32" s="2060">
        <f t="shared" ref="AW32" si="190">+AV32</f>
        <v>0.2373427260812582</v>
      </c>
      <c r="AX32" s="2059">
        <f t="shared" ref="AX32" si="191">+AW32</f>
        <v>0.2373427260812582</v>
      </c>
      <c r="AY32" s="2059">
        <f t="shared" ref="AY32" si="192">+AX32</f>
        <v>0.2373427260812582</v>
      </c>
      <c r="AZ32" s="2059">
        <f t="shared" ref="AZ32" si="193">+AY32</f>
        <v>0.2373427260812582</v>
      </c>
      <c r="BA32" s="2060">
        <f t="shared" ref="BA32" si="194">+AZ32</f>
        <v>0.2373427260812582</v>
      </c>
      <c r="BB32" s="2061"/>
      <c r="BC32" s="2062"/>
      <c r="BD32" s="2063">
        <f>+BD31/BD30</f>
        <v>0.33990795529257067</v>
      </c>
      <c r="BE32" s="2063">
        <f t="shared" ref="BE32:BM32" si="195">+BE31/BE30</f>
        <v>0.32983682983682983</v>
      </c>
      <c r="BF32" s="2063">
        <f t="shared" si="195"/>
        <v>0.26220703125</v>
      </c>
      <c r="BG32" s="2063">
        <f t="shared" si="195"/>
        <v>0.23023758099352051</v>
      </c>
      <c r="BH32" s="2063">
        <f t="shared" si="195"/>
        <v>0.23005565862708721</v>
      </c>
      <c r="BI32" s="2063">
        <f t="shared" si="195"/>
        <v>0.23998855835240274</v>
      </c>
      <c r="BJ32" s="2063">
        <f t="shared" si="195"/>
        <v>0.23971983732489838</v>
      </c>
      <c r="BK32" s="2063">
        <f t="shared" si="195"/>
        <v>0.23994038748137109</v>
      </c>
      <c r="BL32" s="2063">
        <f t="shared" si="195"/>
        <v>0.24008845364081505</v>
      </c>
      <c r="BM32" s="2063">
        <f t="shared" si="195"/>
        <v>0.24000533049040512</v>
      </c>
      <c r="BN32" s="2063">
        <f t="shared" ref="BN32:BO32" si="196">+BN31/BN30</f>
        <v>0.234848991032194</v>
      </c>
      <c r="BO32" s="2063">
        <f t="shared" si="196"/>
        <v>0.2373427260812582</v>
      </c>
      <c r="BP32" s="2063">
        <f t="shared" ref="BP32" si="197">+BP31/BP30</f>
        <v>0.2373427260812582</v>
      </c>
      <c r="BQ32" s="2061"/>
      <c r="BR32" s="2064"/>
      <c r="BS32" s="2065"/>
      <c r="BT32" s="2064"/>
    </row>
    <row r="33" spans="1:73" s="325" customFormat="1" ht="12" customHeight="1">
      <c r="A33" s="306" t="s">
        <v>303</v>
      </c>
      <c r="B33" s="573">
        <f t="shared" ref="B33:U33" si="198">+B30-B31</f>
        <v>24</v>
      </c>
      <c r="C33" s="573">
        <f t="shared" si="198"/>
        <v>67</v>
      </c>
      <c r="D33" s="573">
        <f t="shared" si="198"/>
        <v>893</v>
      </c>
      <c r="E33" s="574">
        <f t="shared" si="198"/>
        <v>20</v>
      </c>
      <c r="F33" s="573">
        <f t="shared" si="198"/>
        <v>15</v>
      </c>
      <c r="G33" s="573">
        <f t="shared" si="198"/>
        <v>67</v>
      </c>
      <c r="H33" s="573">
        <f t="shared" si="198"/>
        <v>1015</v>
      </c>
      <c r="I33" s="574">
        <f t="shared" si="198"/>
        <v>53</v>
      </c>
      <c r="J33" s="573">
        <f t="shared" si="198"/>
        <v>44</v>
      </c>
      <c r="K33" s="573">
        <f t="shared" si="198"/>
        <v>219</v>
      </c>
      <c r="L33" s="573">
        <f t="shared" si="198"/>
        <v>1251</v>
      </c>
      <c r="M33" s="574">
        <f t="shared" si="198"/>
        <v>-3</v>
      </c>
      <c r="N33" s="576">
        <f t="shared" si="198"/>
        <v>76</v>
      </c>
      <c r="O33" s="573">
        <f t="shared" si="198"/>
        <v>264</v>
      </c>
      <c r="P33" s="573">
        <f t="shared" si="198"/>
        <v>1465</v>
      </c>
      <c r="Q33" s="574">
        <f t="shared" si="198"/>
        <v>-23</v>
      </c>
      <c r="R33" s="573">
        <f t="shared" si="198"/>
        <v>109</v>
      </c>
      <c r="S33" s="573">
        <f t="shared" si="198"/>
        <v>306</v>
      </c>
      <c r="T33" s="573">
        <f t="shared" si="198"/>
        <v>1183</v>
      </c>
      <c r="U33" s="574">
        <f t="shared" si="198"/>
        <v>477</v>
      </c>
      <c r="V33" s="573">
        <f>+V30-V31</f>
        <v>250</v>
      </c>
      <c r="W33" s="573">
        <f>+W30-W31</f>
        <v>185</v>
      </c>
      <c r="X33" s="573">
        <f t="shared" ref="X33:Y33" si="199">+X30-X31</f>
        <v>1678</v>
      </c>
      <c r="Y33" s="574">
        <f t="shared" si="199"/>
        <v>544</v>
      </c>
      <c r="Z33" s="573">
        <f>+Z30-Z31</f>
        <v>423</v>
      </c>
      <c r="AA33" s="573">
        <f>+AA30-AA31</f>
        <v>446</v>
      </c>
      <c r="AB33" s="573">
        <f t="shared" ref="AB33" si="200">+AB30-AB31</f>
        <v>2184.9999999999991</v>
      </c>
      <c r="AC33" s="574">
        <f t="shared" ref="AC33:AO33" si="201">+AC30-AC31</f>
        <v>311</v>
      </c>
      <c r="AD33" s="323">
        <f t="shared" si="201"/>
        <v>470</v>
      </c>
      <c r="AE33" s="573">
        <f t="shared" si="201"/>
        <v>620</v>
      </c>
      <c r="AF33" s="573">
        <f t="shared" si="201"/>
        <v>2523</v>
      </c>
      <c r="AG33" s="574">
        <f t="shared" ref="AG33:AJ33" si="202">+AG30-AG31</f>
        <v>467</v>
      </c>
      <c r="AH33" s="323">
        <f t="shared" si="202"/>
        <v>698</v>
      </c>
      <c r="AI33" s="323">
        <f t="shared" si="202"/>
        <v>746</v>
      </c>
      <c r="AJ33" s="323">
        <f t="shared" si="202"/>
        <v>2803.9999999999991</v>
      </c>
      <c r="AK33" s="1057">
        <f t="shared" ref="AK33" si="203">+AK30-AK31</f>
        <v>563.00000000000045</v>
      </c>
      <c r="AL33" s="323">
        <f t="shared" si="201"/>
        <v>709</v>
      </c>
      <c r="AM33" s="323">
        <f t="shared" si="201"/>
        <v>938</v>
      </c>
      <c r="AN33" s="323">
        <f t="shared" si="201"/>
        <v>3280</v>
      </c>
      <c r="AO33" s="1057">
        <f t="shared" si="201"/>
        <v>776</v>
      </c>
      <c r="AP33" s="323">
        <f t="shared" ref="AP33:AQ33" si="204">+AP30-AP31</f>
        <v>939</v>
      </c>
      <c r="AQ33" s="323">
        <f t="shared" si="204"/>
        <v>1160</v>
      </c>
      <c r="AR33" s="573">
        <f t="shared" ref="AR33:AS33" si="205">+AR30-AR31</f>
        <v>3493.5643875596988</v>
      </c>
      <c r="AS33" s="574">
        <f t="shared" si="205"/>
        <v>900.88142461001473</v>
      </c>
      <c r="AT33" s="573">
        <f t="shared" ref="AT33:AW33" si="206">+AT30-AT31</f>
        <v>1094.2694704960522</v>
      </c>
      <c r="AU33" s="573">
        <f t="shared" si="206"/>
        <v>1352.6455464758701</v>
      </c>
      <c r="AV33" s="573">
        <f t="shared" si="206"/>
        <v>3870.4502378239758</v>
      </c>
      <c r="AW33" s="574">
        <f t="shared" si="206"/>
        <v>1008.9979204630303</v>
      </c>
      <c r="AX33" s="573">
        <f t="shared" ref="AX33:BA33" si="207">+AX30-AX31</f>
        <v>1253.9068116537183</v>
      </c>
      <c r="AY33" s="573">
        <f t="shared" si="207"/>
        <v>1556.9050925920069</v>
      </c>
      <c r="AZ33" s="573">
        <f t="shared" si="207"/>
        <v>4306.7502576300485</v>
      </c>
      <c r="BA33" s="574">
        <f t="shared" si="207"/>
        <v>1170.5425654306255</v>
      </c>
      <c r="BB33" s="323"/>
      <c r="BC33" s="315"/>
      <c r="BD33" s="593">
        <f t="shared" ref="BD33" si="208">+SUM(B33:E33)</f>
        <v>1004</v>
      </c>
      <c r="BE33" s="593">
        <f t="shared" ref="BE33" si="209">+SUM(F33:I33)</f>
        <v>1150</v>
      </c>
      <c r="BF33" s="593">
        <f t="shared" ref="BF33" si="210">+SUM(J33:M33)</f>
        <v>1511</v>
      </c>
      <c r="BG33" s="593">
        <f t="shared" ref="BG33" si="211">SUM(N33:Q33)</f>
        <v>1782</v>
      </c>
      <c r="BH33" s="593">
        <f t="shared" ref="BH33" si="212">+SUM(R33:U33)</f>
        <v>2075</v>
      </c>
      <c r="BI33" s="593">
        <f t="shared" ref="BI33" si="213">SUM(V33:Y33)</f>
        <v>2657</v>
      </c>
      <c r="BJ33" s="593">
        <f t="shared" ref="BJ33" si="214">+SUM(Z33:AC33)</f>
        <v>3364.9999999999991</v>
      </c>
      <c r="BK33" s="593">
        <f t="shared" ref="BK33" si="215">+SUM(AD33:AG33)</f>
        <v>4080</v>
      </c>
      <c r="BL33" s="593">
        <f t="shared" ref="BL33" si="216">+SUM(AH33:AK33)</f>
        <v>4811</v>
      </c>
      <c r="BM33" s="593">
        <f>+SUM(AL33:AO33)</f>
        <v>5703</v>
      </c>
      <c r="BN33" s="593">
        <f>+SUM(AP33:AS33)</f>
        <v>6493.4458121697135</v>
      </c>
      <c r="BO33" s="593">
        <f>+SUM(AT33:AW33)</f>
        <v>7326.3631752589281</v>
      </c>
      <c r="BP33" s="593">
        <f>+SUM(AX33:BA33)</f>
        <v>8288.1047273063996</v>
      </c>
      <c r="BQ33" s="324"/>
      <c r="BR33" s="1447"/>
      <c r="BS33" s="1444"/>
      <c r="BT33" s="1447"/>
    </row>
    <row r="34" spans="1:73" s="338" customFormat="1" ht="12" customHeight="1">
      <c r="A34" s="1214"/>
      <c r="B34" s="335"/>
      <c r="C34" s="335"/>
      <c r="D34" s="335"/>
      <c r="E34" s="336"/>
      <c r="F34" s="335"/>
      <c r="G34" s="335"/>
      <c r="H34" s="335"/>
      <c r="I34" s="336"/>
      <c r="J34" s="335"/>
      <c r="K34" s="335"/>
      <c r="L34" s="335"/>
      <c r="M34" s="336"/>
      <c r="N34" s="337"/>
      <c r="O34" s="335"/>
      <c r="P34" s="335"/>
      <c r="Q34" s="336"/>
      <c r="R34" s="335"/>
      <c r="S34" s="335"/>
      <c r="T34" s="335"/>
      <c r="U34" s="336"/>
      <c r="V34" s="335"/>
      <c r="W34" s="335"/>
      <c r="X34" s="335"/>
      <c r="Y34" s="336"/>
      <c r="Z34" s="335"/>
      <c r="AA34" s="335"/>
      <c r="AB34" s="335"/>
      <c r="AC34" s="336"/>
      <c r="AD34" s="1320"/>
      <c r="AE34" s="335"/>
      <c r="AF34" s="335"/>
      <c r="AG34" s="336"/>
      <c r="AH34" s="1320"/>
      <c r="AI34" s="1320"/>
      <c r="AJ34" s="1320"/>
      <c r="AK34" s="2112"/>
      <c r="AL34" s="1320"/>
      <c r="AM34" s="1320"/>
      <c r="AN34" s="1320"/>
      <c r="AO34" s="2112"/>
      <c r="AP34" s="1320"/>
      <c r="AQ34" s="1320"/>
      <c r="AR34" s="335"/>
      <c r="AS34" s="336"/>
      <c r="AT34" s="335"/>
      <c r="AU34" s="335"/>
      <c r="AV34" s="335"/>
      <c r="AW34" s="336"/>
      <c r="AX34" s="335"/>
      <c r="AY34" s="335"/>
      <c r="AZ34" s="335"/>
      <c r="BA34" s="336"/>
      <c r="BB34" s="326"/>
      <c r="BC34" s="310"/>
      <c r="BD34" s="310"/>
      <c r="BE34" s="309"/>
      <c r="BF34" s="310"/>
      <c r="BG34" s="310"/>
      <c r="BH34" s="310"/>
      <c r="BI34" s="310"/>
      <c r="BJ34" s="1258"/>
      <c r="BK34" s="310"/>
      <c r="BL34" s="310"/>
      <c r="BM34" s="310"/>
      <c r="BN34" s="310"/>
      <c r="BO34" s="310"/>
      <c r="BP34" s="310"/>
      <c r="BQ34" s="327"/>
      <c r="BR34" s="1401"/>
      <c r="BS34" s="1444"/>
      <c r="BT34" s="1401"/>
    </row>
    <row r="35" spans="1:73" s="332" customFormat="1" ht="12" customHeight="1">
      <c r="A35" s="1215" t="s">
        <v>184</v>
      </c>
      <c r="B35" s="343">
        <f t="shared" ref="B35:AM35" si="217">B33/B37</f>
        <v>8.8235294117647065E-2</v>
      </c>
      <c r="C35" s="344">
        <f t="shared" si="217"/>
        <v>0.25187969924812031</v>
      </c>
      <c r="D35" s="344">
        <f t="shared" si="217"/>
        <v>3.4346153846153844</v>
      </c>
      <c r="E35" s="344">
        <f t="shared" si="217"/>
        <v>7.6923076923076927E-2</v>
      </c>
      <c r="F35" s="345">
        <f t="shared" si="217"/>
        <v>5.8139534883720929E-2</v>
      </c>
      <c r="G35" s="344">
        <f t="shared" si="217"/>
        <v>0.25769230769230766</v>
      </c>
      <c r="H35" s="344">
        <f t="shared" si="217"/>
        <v>3.9038461538461537</v>
      </c>
      <c r="I35" s="346">
        <f t="shared" si="217"/>
        <v>0.20384615384615384</v>
      </c>
      <c r="J35" s="344">
        <f t="shared" si="217"/>
        <v>0.16988416988416988</v>
      </c>
      <c r="K35" s="344">
        <f t="shared" si="217"/>
        <v>0.84230769230769231</v>
      </c>
      <c r="L35" s="344">
        <f t="shared" si="217"/>
        <v>4.7748091603053435</v>
      </c>
      <c r="M35" s="346">
        <f t="shared" si="217"/>
        <v>-1.1627906976744186E-2</v>
      </c>
      <c r="N35" s="345">
        <f t="shared" si="217"/>
        <v>0.2878787878787879</v>
      </c>
      <c r="O35" s="344">
        <f t="shared" si="217"/>
        <v>1</v>
      </c>
      <c r="P35" s="344">
        <f t="shared" si="217"/>
        <v>5.5492424242424239</v>
      </c>
      <c r="Q35" s="346">
        <f t="shared" si="217"/>
        <v>-8.8461538461538466E-2</v>
      </c>
      <c r="R35" s="344">
        <f t="shared" si="217"/>
        <v>0.4128787878787879</v>
      </c>
      <c r="S35" s="344">
        <f t="shared" si="217"/>
        <v>1.1590909090909092</v>
      </c>
      <c r="T35" s="344">
        <f t="shared" si="217"/>
        <v>4.4895635673624286</v>
      </c>
      <c r="U35" s="346">
        <f t="shared" si="217"/>
        <v>1.8068181818181819</v>
      </c>
      <c r="V35" s="344">
        <f t="shared" si="217"/>
        <v>0.94339622641509435</v>
      </c>
      <c r="W35" s="344">
        <f t="shared" ref="W35" si="218">W33/W37</f>
        <v>0.67765567765567769</v>
      </c>
      <c r="X35" s="388">
        <f t="shared" si="217"/>
        <v>6.0797101449275361</v>
      </c>
      <c r="Y35" s="1256">
        <v>1.97</v>
      </c>
      <c r="Z35" s="344">
        <f t="shared" ref="Z35:AA35" si="219">Z33/Z37</f>
        <v>1.5270758122743682</v>
      </c>
      <c r="AA35" s="344">
        <f t="shared" si="219"/>
        <v>1.5540069686411149</v>
      </c>
      <c r="AB35" s="388">
        <f t="shared" si="217"/>
        <v>7.6398601398601365</v>
      </c>
      <c r="AC35" s="346">
        <f>AC33/AC37</f>
        <v>1.1028368794326242</v>
      </c>
      <c r="AD35" s="388">
        <f t="shared" si="217"/>
        <v>1.6560958421423537</v>
      </c>
      <c r="AE35" s="344">
        <f t="shared" si="217"/>
        <v>2.1954674220963173</v>
      </c>
      <c r="AF35" s="388">
        <f t="shared" si="217"/>
        <v>8.9026111503175738</v>
      </c>
      <c r="AG35" s="1256">
        <f t="shared" si="217"/>
        <v>1.6493607402698311</v>
      </c>
      <c r="AH35" s="1281">
        <f t="shared" si="217"/>
        <v>2.4664310954063606</v>
      </c>
      <c r="AI35" s="388">
        <f t="shared" si="217"/>
        <v>2.6267605633802815</v>
      </c>
      <c r="AJ35" s="388">
        <f t="shared" si="217"/>
        <v>9.8836799436023934</v>
      </c>
      <c r="AK35" s="346">
        <f t="shared" si="217"/>
        <v>1.9893992932862208</v>
      </c>
      <c r="AL35" s="388">
        <f t="shared" si="217"/>
        <v>2.5053003533568905</v>
      </c>
      <c r="AM35" s="344">
        <f t="shared" si="217"/>
        <v>3.3144876325088339</v>
      </c>
      <c r="AN35" s="388">
        <f t="shared" ref="AN35:AQ35" si="220">AN33/AN37</f>
        <v>11.651865008880995</v>
      </c>
      <c r="AO35" s="346">
        <f t="shared" si="220"/>
        <v>2.75177304964539</v>
      </c>
      <c r="AP35" s="388">
        <f t="shared" si="220"/>
        <v>3.3416370106761564</v>
      </c>
      <c r="AQ35" s="344">
        <f t="shared" si="220"/>
        <v>4.1473006792992493</v>
      </c>
      <c r="AR35" s="344">
        <f t="shared" ref="AR35:AS35" si="221">AR33/AR37</f>
        <v>12.49039823939828</v>
      </c>
      <c r="AS35" s="346">
        <f t="shared" si="221"/>
        <v>3.2208846071148187</v>
      </c>
      <c r="AT35" s="345">
        <f t="shared" ref="AT35:AW35" si="222">AT33/AT37</f>
        <v>3.8941974039005416</v>
      </c>
      <c r="AU35" s="344">
        <f t="shared" si="222"/>
        <v>4.8136852187753387</v>
      </c>
      <c r="AV35" s="344">
        <f t="shared" si="222"/>
        <v>13.773844262718775</v>
      </c>
      <c r="AW35" s="346">
        <f t="shared" si="222"/>
        <v>3.5907399304734171</v>
      </c>
      <c r="AX35" s="345">
        <f t="shared" ref="AX35:BA35" si="223">AX33/AX37</f>
        <v>4.478238613048994</v>
      </c>
      <c r="AY35" s="344">
        <f t="shared" si="223"/>
        <v>5.5603753306857389</v>
      </c>
      <c r="AZ35" s="344">
        <f t="shared" si="223"/>
        <v>15.381250920107316</v>
      </c>
      <c r="BA35" s="346">
        <f t="shared" si="223"/>
        <v>4.1805091622522337</v>
      </c>
      <c r="BB35" s="344"/>
      <c r="BC35" s="347"/>
      <c r="BD35" s="1243">
        <f t="shared" ref="BD35:BH35" si="224">+BD33/BD37</f>
        <v>3.7958412098298675</v>
      </c>
      <c r="BE35" s="1243">
        <f t="shared" si="224"/>
        <v>4.4315992292870909</v>
      </c>
      <c r="BF35" s="1243">
        <f t="shared" si="224"/>
        <v>5.8171318575553412</v>
      </c>
      <c r="BG35" s="1243">
        <f t="shared" si="224"/>
        <v>6.7756653992395437</v>
      </c>
      <c r="BH35" s="1243">
        <f t="shared" si="224"/>
        <v>7.8635717669351015</v>
      </c>
      <c r="BI35" s="1243">
        <v>9.67</v>
      </c>
      <c r="BJ35" s="1243">
        <f>+SUM(Z35:AC35)</f>
        <v>11.823779800208245</v>
      </c>
      <c r="BK35" s="1243">
        <f>+SUM(AD35:AG35)</f>
        <v>14.403535154826075</v>
      </c>
      <c r="BL35" s="1243">
        <f>+SUM(AH35:AK35)</f>
        <v>16.966270895675258</v>
      </c>
      <c r="BM35" s="1243">
        <v>20.149999999999999</v>
      </c>
      <c r="BN35" s="1243">
        <f t="shared" ref="BN35" si="225">+BN33/BN37</f>
        <v>23.188807471367603</v>
      </c>
      <c r="BO35" s="1243">
        <f>+BO33/BO37</f>
        <v>26.072466815868072</v>
      </c>
      <c r="BP35" s="1243">
        <f t="shared" ref="BP35" si="226">+BP33/BP37</f>
        <v>29.600374026094283</v>
      </c>
      <c r="BQ35" s="348"/>
      <c r="BR35" s="1449">
        <f>+BM35/BL35</f>
        <v>1.1876504933760241</v>
      </c>
      <c r="BS35" s="1449">
        <f>+BN35/BM35</f>
        <v>1.1508093037899556</v>
      </c>
      <c r="BT35" s="1449"/>
      <c r="BU35" s="1301"/>
    </row>
    <row r="36" spans="1:73" s="334" customFormat="1" ht="12" hidden="1" customHeight="1" outlineLevel="1">
      <c r="A36" s="1216" t="s">
        <v>319</v>
      </c>
      <c r="B36" s="349"/>
      <c r="C36" s="350"/>
      <c r="D36" s="350"/>
      <c r="E36" s="350"/>
      <c r="F36" s="351"/>
      <c r="G36" s="350"/>
      <c r="H36" s="350"/>
      <c r="I36" s="352"/>
      <c r="J36" s="350"/>
      <c r="K36" s="350"/>
      <c r="L36" s="350"/>
      <c r="M36" s="352"/>
      <c r="N36" s="353" cm="1">
        <f t="array" ref="N36">_xll.FDS("INTU-US","FE_ESTIMATE(EPS,MEAN,QTR_ROLL,"&amp;N2&amp;",NOW,,,'')")</f>
        <v>0.28999999999999998</v>
      </c>
      <c r="O36" s="350" cm="1">
        <f t="array" ref="O36">_xll.FDS("INTU-US","FE_ESTIMATE(EPS,MEAN,QTR_ROLL,"&amp;O2&amp;",NOW,,,'')")</f>
        <v>1</v>
      </c>
      <c r="P36" s="350" cm="1">
        <f t="array" ref="P36">_xll.FDS("INTU-US","FE_ESTIMATE(EPS,MEAN,QTR_ROLL,"&amp;P2&amp;",NOW,,,'')")</f>
        <v>5.55</v>
      </c>
      <c r="Q36" s="352" cm="1">
        <f t="array" ref="Q36">_xll.FDS("INTU-US","FE_ESTIMATE(EPS,MEAN,QTR_ROLL,"&amp;Q2&amp;",NOW,,,'')")</f>
        <v>-0.09</v>
      </c>
      <c r="R36" s="350" cm="1">
        <f t="array" ref="R36">_xll.FDS("INTU-US","FE_ESTIMATE(EPS,MEAN,QTR_ROLL,"&amp;R2&amp;",NOW,,,'')")</f>
        <v>0.41</v>
      </c>
      <c r="S36" s="350" cm="1">
        <f t="array" ref="S36">_xll.FDS("INTU-US","FE_ESTIMATE(EPS,MEAN,QTR_ROLL,"&amp;S2&amp;",NOW,,,'')")</f>
        <v>1.1599999999999999</v>
      </c>
      <c r="T36" s="350" cm="1">
        <f t="array" ref="T36">_xll.FDS("INTU-US","FE_ESTIMATE(EPS,MEAN,QTR_ROLL,"&amp;T2&amp;",NOW,,,'')")</f>
        <v>4.49</v>
      </c>
      <c r="U36" s="352" cm="1">
        <f t="array" ref="U36">_xll.FDS("INTU-US","FE_ESTIMATE(EPS,MEAN,QTR_ROLL,"&amp;U2&amp;",NOW,,,'')")</f>
        <v>1.81</v>
      </c>
      <c r="V36" s="350" cm="1">
        <f t="array" ref="V36">_xll.FDS("INTU-US","FE_ESTIMATE(EPS,MEAN,QTR_ROLL,"&amp;V2&amp;",NOW,,,'')")</f>
        <v>0.94</v>
      </c>
      <c r="W36" s="350" cm="1">
        <f t="array" ref="W36">_xll.FDS("INTU-US","FE_ESTIMATE(EPS,MEAN,QTR_ROLL,"&amp;W2&amp;",NOW,,,'')")</f>
        <v>0.68</v>
      </c>
      <c r="X36" s="350" cm="1">
        <f t="array" ref="X36">_xll.FDS("INTU-US","FE_ESTIMATE(EPS,MEAN,QTR_ROLL,"&amp;X2&amp;",NOW,,,'')")</f>
        <v>6.07</v>
      </c>
      <c r="Y36" s="352" cm="1">
        <f t="array" ref="Y36">_xll.FDS("INTU-US","FE_ESTIMATE(EPS,MEAN,QTR_ROLL,"&amp;Y2&amp;",NOW,,,'')")</f>
        <v>1.97</v>
      </c>
      <c r="Z36" s="350" cm="1">
        <f t="array" ref="Z36">_xll.FDS("INTU-US","FE_ESTIMATE(EPS,MEAN,QTR_ROLL,"&amp;Z2&amp;",NOW,,,'')")</f>
        <v>1.53</v>
      </c>
      <c r="AA36" s="350" cm="1">
        <f t="array" ref="AA36">_xll.FDS("INTU-US","FE_ESTIMATE(EPS,MEAN,QTR_ROLL,"&amp;AA2&amp;",NOW,,,'')")</f>
        <v>1.55</v>
      </c>
      <c r="AB36" s="350" cm="1">
        <f t="array" ref="AB36">_xll.FDS("INTU-US","FE_ESTIMATE(EPS,MEAN,QTR_ROLL,"&amp;AB2&amp;",NOW,,,'')")</f>
        <v>7.65</v>
      </c>
      <c r="AC36" s="352" cm="1">
        <f t="array" ref="AC36">_xll.FDS("INTU-US","FE_ESTIMATE(EPS,MEAN,QTR_ROLL,"&amp;AC2&amp;",NOW,,,'')")</f>
        <v>1.1000000000000001</v>
      </c>
      <c r="AD36" s="1321" cm="1">
        <f t="array" ref="AD36">_xll.FDS("INTU-US","FE_ESTIMATE(EPS,MEAN,QTR_ROLL,"&amp;AD2&amp;",NOW,,,'')")</f>
        <v>1.66</v>
      </c>
      <c r="AE36" s="350" cm="1">
        <f t="array" ref="AE36">_xll.FDS("INTU-US","FE_ESTIMATE(EPS,MEAN,QTR_ROLL,"&amp;AE2&amp;",NOW,,,'')")</f>
        <v>2.2000000000000002</v>
      </c>
      <c r="AF36" s="350" cm="1">
        <f t="array" ref="AF36">_xll.FDS("INTU-US","FE_ESTIMATE(EPS,MEAN,QTR_ROLL,"&amp;AF2&amp;",NOW,,,'')")</f>
        <v>8.92</v>
      </c>
      <c r="AG36" s="352" cm="1">
        <f t="array" ref="AG36">_xll.FDS("INTU-US","FE_ESTIMATE(EPS,MEAN,QTR_ROLL,"&amp;AG2&amp;",NOW,,,'')")</f>
        <v>1.65</v>
      </c>
      <c r="AH36" s="350" cm="1">
        <f t="array" ref="AH36">_xll.FDS("INTU-US","FE_ESTIMATE(EPS,MEAN,QTR_ROLL,"&amp;AH2&amp;",NOW,,,'')")</f>
        <v>2.4700000000000002</v>
      </c>
      <c r="AI36" s="350" cm="1">
        <f t="array" ref="AI36">_xll.FDS("INTU-US","FE_ESTIMATE(EPS,MEAN,QTR_ROLL,"&amp;AI2&amp;",NOW,,,'')")</f>
        <v>2.63</v>
      </c>
      <c r="AJ36" s="350" cm="1">
        <f t="array" ref="AJ36">_xll.FDS("INTU-US","FE_ESTIMATE(EPS,MEAN,QTR_ROLL,"&amp;AJ2&amp;",NOW,,,'')")</f>
        <v>9.8800000000000008</v>
      </c>
      <c r="AK36" s="352" cm="1">
        <f t="array" ref="AK36">_xll.FDS("INTU-US","FE_ESTIMATE(EPS,MEAN,QTR_ROLL,"&amp;AK2&amp;",NOW,,,'')")</f>
        <v>1.99</v>
      </c>
      <c r="AL36" s="350" cm="1">
        <f t="array" ref="AL36">_xll.FDS("INTU-US","FE_ESTIMATE(EPS,MEAN,QTR_ROLL,"&amp;AL2&amp;",NOW,,,'')")</f>
        <v>2.5</v>
      </c>
      <c r="AM36" s="350" cm="1">
        <f t="array" ref="AM36">_xll.FDS("INTU-US","FE_ESTIMATE(EPS,MEAN,QTR_ROLL,"&amp;AM2&amp;",NOW,,,'')")</f>
        <v>3.32</v>
      </c>
      <c r="AN36" s="350" cm="1">
        <f t="array" ref="AN36">_xll.FDS("INTU-US","FE_ESTIMATE(EPS,MEAN,QTR_ROLL,"&amp;AN2&amp;",NOW,,,'')")</f>
        <v>11.65</v>
      </c>
      <c r="AO36" s="352" cm="1">
        <f t="array" ref="AO36">_xll.FDS("INTU-US","FE_ESTIMATE(EPS,MEAN,QTR_ROLL,"&amp;AO2&amp;",NOW,,,'')")</f>
        <v>2.75</v>
      </c>
      <c r="AP36" s="350" cm="1">
        <f t="array" ref="AP36">_xll.FDS("INTU-US","FE_ESTIMATE(EPS,MEAN,QTR_ROLL,"&amp;AP2&amp;",NOW,,,'')")</f>
        <v>3.34</v>
      </c>
      <c r="AQ36" s="350" cm="1">
        <f t="array" ref="AQ36">_xll.FDS("INTU-US","FE_ESTIMATE(EPS,MEAN,QTR_ROLL,"&amp;AQ2&amp;",NOW,,,'')")</f>
        <v>3.6841588000000001</v>
      </c>
      <c r="AR36" s="350" cm="1">
        <f t="array" ref="AR36">_xll.FDS("INTU-US","FE_ESTIMATE(EPS,MEAN,QTR_ROLL,"&amp;AR2&amp;",NOW,,,'')")</f>
        <v>12.966936</v>
      </c>
      <c r="AS36" s="352" cm="1">
        <f t="array" ref="AS36">_xll.FDS("INTU-US","FE_ESTIMATE(EPS,MEAN,QTR_ROLL,"&amp;AS2&amp;",NOW,,,'')")</f>
        <v>3.1517859000000001</v>
      </c>
      <c r="AT36" s="350" cm="1">
        <f t="array" ref="AT36">_xll.FDS("INTU-US","FE_ESTIMATE(EPS,MEAN,QTR_ROLL,"&amp;AT2&amp;",NOW,,,'')")</f>
        <v>3.912188</v>
      </c>
      <c r="AU36" s="350" cm="1">
        <f t="array" ref="AU36">_xll.FDS("INTU-US","FE_ESTIMATE(EPS,MEAN,QTR_ROLL,"&amp;AU2&amp;",NOW,,,'')")</f>
        <v>4.327731</v>
      </c>
      <c r="AV36" s="350" cm="1">
        <f t="array" ref="AV36">_xll.FDS("INTU-US","FE_ESTIMATE(EPS,MEAN,QTR_ROLL,"&amp;AV2&amp;",NOW,,,'')")</f>
        <v>14.395941000000001</v>
      </c>
      <c r="AW36" s="352" cm="1">
        <f t="array" ref="AW36">_xll.FDS("INTU-US","FE_ESTIMATE(EPS,MEAN,QTR_ROLL,"&amp;AW2&amp;",NOW,,,'')")</f>
        <v>3.6620398000000001</v>
      </c>
      <c r="AX36" s="350" cm="1">
        <f t="array" ref="AX36">_xll.FDS("INTU-US","FE_ESTIMATE(EPS,MEAN,QTR_ROLL,"&amp;AX2&amp;",NOW,,,'')")</f>
        <v>4.5475159999999999</v>
      </c>
      <c r="AY36" s="350" cm="1">
        <f t="array" ref="AY36">_xll.FDS("INTU-US","FE_ESTIMATE(EPS,MEAN,QTR_ROLL,"&amp;AY2&amp;",NOW,,,'')")</f>
        <v>4.9677835000000004</v>
      </c>
      <c r="AZ36" s="350" cm="1">
        <f t="array" ref="AZ36">_xll.FDS("INTU-US","FE_ESTIMATE(EPS,MEAN,QTR_ROLL,"&amp;AZ2&amp;",NOW,,,'')")</f>
        <v>15.602662</v>
      </c>
      <c r="BA36" s="352" cm="1">
        <f t="array" ref="BA36">_xll.FDS("INTU-US","FE_ESTIMATE(EPS,MEAN,QTR_ROLL,"&amp;BA2&amp;",NOW,,,'')")</f>
        <v>4.3006333999999997</v>
      </c>
      <c r="BB36" s="350"/>
      <c r="BC36" s="354"/>
      <c r="BD36" s="354">
        <f t="shared" ref="BD36" si="227">+SUM(B36:E36)</f>
        <v>0</v>
      </c>
      <c r="BE36" s="354">
        <f t="shared" ref="BE36" si="228">+SUM(F36:I36)</f>
        <v>0</v>
      </c>
      <c r="BF36" s="354">
        <f t="shared" ref="BF36" si="229">+SUM(J36:M36)</f>
        <v>0</v>
      </c>
      <c r="BG36" s="354">
        <f t="shared" ref="BG36" si="230">SUM(N36:Q36)</f>
        <v>6.75</v>
      </c>
      <c r="BH36" s="354">
        <f t="shared" ref="BH36" si="231">+SUM(R36:U36)</f>
        <v>7.870000000000001</v>
      </c>
      <c r="BI36" s="354">
        <f t="shared" ref="BI36" si="232">SUM(V36:Y36)</f>
        <v>9.66</v>
      </c>
      <c r="BJ36" s="354">
        <f t="shared" ref="BJ36" si="233">+SUM(Z36:AC36)</f>
        <v>11.83</v>
      </c>
      <c r="BK36" s="354">
        <f t="shared" ref="BK36" si="234">+SUM(AD36:AG36)</f>
        <v>14.430000000000001</v>
      </c>
      <c r="BL36" s="354">
        <f t="shared" ref="BL36" si="235">+SUM(AH36:AK36)</f>
        <v>16.97</v>
      </c>
      <c r="BM36" s="354">
        <f>+SUM(AL36:AO36)</f>
        <v>20.22</v>
      </c>
      <c r="BN36" s="354">
        <f>+SUM(AP36:AS36)</f>
        <v>23.142880699999999</v>
      </c>
      <c r="BO36" s="354">
        <f>+SUM(AT36:AW36)</f>
        <v>26.2978998</v>
      </c>
      <c r="BP36" s="354">
        <f>+SUM(AX36:BA36)</f>
        <v>29.418594899999999</v>
      </c>
      <c r="BQ36" s="355"/>
      <c r="BR36" s="1401"/>
      <c r="BS36" s="1401"/>
      <c r="BT36" s="1401"/>
    </row>
    <row r="37" spans="1:73" s="328" customFormat="1" ht="12" customHeight="1" collapsed="1">
      <c r="A37" s="2127" t="s">
        <v>320</v>
      </c>
      <c r="B37" s="571">
        <f t="shared" ref="B37:U37" si="236">+B141</f>
        <v>272</v>
      </c>
      <c r="C37" s="571">
        <f t="shared" si="236"/>
        <v>266</v>
      </c>
      <c r="D37" s="571">
        <f t="shared" si="236"/>
        <v>260</v>
      </c>
      <c r="E37" s="571">
        <f t="shared" si="236"/>
        <v>260</v>
      </c>
      <c r="F37" s="1213">
        <f t="shared" si="236"/>
        <v>258</v>
      </c>
      <c r="G37" s="571">
        <f t="shared" si="236"/>
        <v>260</v>
      </c>
      <c r="H37" s="571">
        <f t="shared" si="236"/>
        <v>260</v>
      </c>
      <c r="I37" s="572">
        <f t="shared" si="236"/>
        <v>260</v>
      </c>
      <c r="J37" s="571">
        <f t="shared" si="236"/>
        <v>259</v>
      </c>
      <c r="K37" s="571">
        <f t="shared" si="236"/>
        <v>260</v>
      </c>
      <c r="L37" s="571">
        <f t="shared" si="236"/>
        <v>262</v>
      </c>
      <c r="M37" s="572">
        <f t="shared" si="236"/>
        <v>258</v>
      </c>
      <c r="N37" s="1213">
        <f t="shared" si="236"/>
        <v>264</v>
      </c>
      <c r="O37" s="571">
        <f t="shared" si="236"/>
        <v>264</v>
      </c>
      <c r="P37" s="571">
        <f t="shared" si="236"/>
        <v>264</v>
      </c>
      <c r="Q37" s="571">
        <f t="shared" si="236"/>
        <v>260</v>
      </c>
      <c r="R37" s="1213">
        <f t="shared" si="236"/>
        <v>264</v>
      </c>
      <c r="S37" s="571">
        <f t="shared" si="236"/>
        <v>264</v>
      </c>
      <c r="T37" s="571">
        <f t="shared" si="236"/>
        <v>263.5</v>
      </c>
      <c r="U37" s="572">
        <f t="shared" si="236"/>
        <v>264</v>
      </c>
      <c r="V37" s="1213">
        <f>+V141</f>
        <v>265</v>
      </c>
      <c r="W37" s="571">
        <f>+W141</f>
        <v>273</v>
      </c>
      <c r="X37" s="571">
        <f t="shared" ref="X37:Y37" si="237">+X141</f>
        <v>276</v>
      </c>
      <c r="Y37" s="572">
        <f t="shared" si="237"/>
        <v>277</v>
      </c>
      <c r="Z37" s="1213">
        <f>+Z141</f>
        <v>277</v>
      </c>
      <c r="AA37" s="571">
        <f>+AA141</f>
        <v>287</v>
      </c>
      <c r="AB37" s="571">
        <f t="shared" ref="AB37:AC37" si="238">+AB141</f>
        <v>286</v>
      </c>
      <c r="AC37" s="572">
        <f t="shared" si="238"/>
        <v>282</v>
      </c>
      <c r="AD37" s="1213">
        <f>+AD141</f>
        <v>283.8</v>
      </c>
      <c r="AE37" s="571">
        <f t="shared" ref="AE37:AO37" si="239">+AE141</f>
        <v>282.39999999999998</v>
      </c>
      <c r="AF37" s="571">
        <f t="shared" si="239"/>
        <v>283.39999999999998</v>
      </c>
      <c r="AG37" s="571">
        <f t="shared" si="239"/>
        <v>283.14</v>
      </c>
      <c r="AH37" s="1213">
        <f>+AH141</f>
        <v>283</v>
      </c>
      <c r="AI37" s="571">
        <f t="shared" si="239"/>
        <v>284</v>
      </c>
      <c r="AJ37" s="571">
        <f t="shared" si="239"/>
        <v>283.7</v>
      </c>
      <c r="AK37" s="571">
        <f t="shared" si="239"/>
        <v>283</v>
      </c>
      <c r="AL37" s="1213">
        <f>+AL141</f>
        <v>283</v>
      </c>
      <c r="AM37" s="571">
        <f t="shared" si="239"/>
        <v>283</v>
      </c>
      <c r="AN37" s="571">
        <f t="shared" si="239"/>
        <v>281.5</v>
      </c>
      <c r="AO37" s="572">
        <f t="shared" si="239"/>
        <v>282</v>
      </c>
      <c r="AP37" s="1213">
        <f>+AP141</f>
        <v>281</v>
      </c>
      <c r="AQ37" s="571">
        <f t="shared" ref="AQ37" si="240">+AQ141</f>
        <v>279.7</v>
      </c>
      <c r="AR37" s="2035">
        <f>+AQ37</f>
        <v>279.7</v>
      </c>
      <c r="AS37" s="2036">
        <f>+AR37</f>
        <v>279.7</v>
      </c>
      <c r="AT37" s="2035">
        <v>281</v>
      </c>
      <c r="AU37" s="2035">
        <f>+AT37</f>
        <v>281</v>
      </c>
      <c r="AV37" s="2035">
        <f>+AU37</f>
        <v>281</v>
      </c>
      <c r="AW37" s="2036">
        <f>+AV37</f>
        <v>281</v>
      </c>
      <c r="AX37" s="2035">
        <v>280</v>
      </c>
      <c r="AY37" s="2035">
        <f>+AX37</f>
        <v>280</v>
      </c>
      <c r="AZ37" s="2035">
        <f>+AY37</f>
        <v>280</v>
      </c>
      <c r="BA37" s="2036">
        <f>+AZ37</f>
        <v>280</v>
      </c>
      <c r="BB37" s="1210"/>
      <c r="BC37" s="1211"/>
      <c r="BD37" s="1211">
        <f>AVERAGE(B37:E37)</f>
        <v>264.5</v>
      </c>
      <c r="BE37" s="1211">
        <f>+AVERAGE(F37:I37)</f>
        <v>259.5</v>
      </c>
      <c r="BF37" s="1211">
        <f>+AVERAGE(J37:M37)</f>
        <v>259.75</v>
      </c>
      <c r="BG37" s="1211">
        <f>AVERAGE(N37:Q37)</f>
        <v>263</v>
      </c>
      <c r="BH37" s="1211">
        <f>+AVERAGE(R37:U37)</f>
        <v>263.875</v>
      </c>
      <c r="BI37" s="1211">
        <f>AVERAGE(V37:Y37)</f>
        <v>272.75</v>
      </c>
      <c r="BJ37" s="1211">
        <f>+AVERAGE(Z37:AC37)</f>
        <v>283</v>
      </c>
      <c r="BK37" s="1211">
        <f>+AVERAGE(AD37:AG37)</f>
        <v>283.185</v>
      </c>
      <c r="BL37" s="1211">
        <f>+AVERAGE(AH37:AK37)</f>
        <v>283.42500000000001</v>
      </c>
      <c r="BM37" s="1211">
        <f>+AVERAGE(AL37:AO37)</f>
        <v>282.375</v>
      </c>
      <c r="BN37" s="1211">
        <f>+AVERAGE(AP37:AS37)</f>
        <v>280.02500000000003</v>
      </c>
      <c r="BO37" s="1211">
        <f>+AVERAGE(AT37:AW37)</f>
        <v>281</v>
      </c>
      <c r="BP37" s="1211">
        <f>+AVERAGE(AX37:BA37)</f>
        <v>280</v>
      </c>
      <c r="BQ37" s="357"/>
      <c r="BR37" s="1446"/>
      <c r="BS37" s="1446"/>
      <c r="BT37" s="1446"/>
    </row>
    <row r="38" spans="1:73" s="2071" customFormat="1" ht="12" customHeight="1">
      <c r="A38" s="1212"/>
      <c r="B38" s="571"/>
      <c r="C38" s="571"/>
      <c r="D38" s="571"/>
      <c r="E38" s="572"/>
      <c r="F38" s="571"/>
      <c r="G38" s="571"/>
      <c r="H38" s="571"/>
      <c r="I38" s="572"/>
      <c r="J38" s="571"/>
      <c r="K38" s="571"/>
      <c r="L38" s="571"/>
      <c r="M38" s="572"/>
      <c r="N38" s="571"/>
      <c r="O38" s="571"/>
      <c r="P38" s="571"/>
      <c r="Q38" s="572"/>
      <c r="R38" s="571"/>
      <c r="S38" s="571"/>
      <c r="T38" s="571"/>
      <c r="U38" s="572"/>
      <c r="V38" s="571"/>
      <c r="W38" s="571"/>
      <c r="X38" s="571"/>
      <c r="Y38" s="572"/>
      <c r="Z38" s="571"/>
      <c r="AA38" s="571"/>
      <c r="AB38" s="571"/>
      <c r="AC38" s="572"/>
      <c r="AD38" s="326"/>
      <c r="AE38" s="571"/>
      <c r="AF38" s="571"/>
      <c r="AG38" s="572"/>
      <c r="AH38" s="2067">
        <f t="shared" ref="AH38:AK38" si="241">+AH35/AD35-1</f>
        <v>0.48930456356664931</v>
      </c>
      <c r="AI38" s="2067">
        <f t="shared" si="241"/>
        <v>0.19644706951385715</v>
      </c>
      <c r="AJ38" s="2067">
        <f t="shared" si="241"/>
        <v>0.11020011732735546</v>
      </c>
      <c r="AK38" s="2068">
        <f t="shared" si="241"/>
        <v>0.20616384561254941</v>
      </c>
      <c r="AL38" s="2067">
        <f>+AL35/AH35-1</f>
        <v>1.5759312320916763E-2</v>
      </c>
      <c r="AM38" s="2067">
        <f>+AM35/AI35-1</f>
        <v>0.26181566706770631</v>
      </c>
      <c r="AN38" s="2067">
        <f t="shared" ref="AN38:AO38" si="242">+AN35/AJ35-1</f>
        <v>0.17889946612679708</v>
      </c>
      <c r="AO38" s="2068">
        <f t="shared" si="242"/>
        <v>0.38321806935993741</v>
      </c>
      <c r="AP38" s="2067">
        <f>+AP35/AL35-1</f>
        <v>0.33382690270994675</v>
      </c>
      <c r="AQ38" s="2067">
        <f>+AQ35/AM35-1</f>
        <v>0.25126449066277989</v>
      </c>
      <c r="AR38" s="571"/>
      <c r="AS38" s="572"/>
      <c r="AT38" s="571"/>
      <c r="AU38" s="571"/>
      <c r="AV38" s="571"/>
      <c r="AW38" s="572"/>
      <c r="AX38" s="571"/>
      <c r="AY38" s="571"/>
      <c r="AZ38" s="571"/>
      <c r="BA38" s="572"/>
      <c r="BB38" s="1223"/>
      <c r="BC38" s="1224"/>
      <c r="BD38" s="1298" t="e">
        <f t="shared" ref="BD38:BI38" si="243">+BD35/BC35</f>
        <v>#DIV/0!</v>
      </c>
      <c r="BE38" s="1298">
        <f t="shared" si="243"/>
        <v>1.1674880439705535</v>
      </c>
      <c r="BF38" s="1298">
        <f t="shared" si="243"/>
        <v>1.3126484495961834</v>
      </c>
      <c r="BG38" s="1298">
        <f t="shared" si="243"/>
        <v>1.1647776885853551</v>
      </c>
      <c r="BH38" s="1298">
        <f t="shared" si="243"/>
        <v>1.1605608163321728</v>
      </c>
      <c r="BI38" s="1333">
        <f t="shared" si="243"/>
        <v>1.2297210843373494</v>
      </c>
      <c r="BJ38" s="2069">
        <f>+BJ35/BI35</f>
        <v>1.2227280041580397</v>
      </c>
      <c r="BK38" s="1334">
        <f>+BK35/BJ35</f>
        <v>1.218183643319575</v>
      </c>
      <c r="BL38" s="1334">
        <f>+BL35/BK35</f>
        <v>1.1779240799777204</v>
      </c>
      <c r="BM38" s="1224"/>
      <c r="BN38" s="1224"/>
      <c r="BO38" s="1224"/>
      <c r="BP38" s="1224"/>
      <c r="BQ38" s="357"/>
      <c r="BR38" s="2070"/>
      <c r="BS38" s="2070"/>
      <c r="BT38" s="2070"/>
    </row>
    <row r="39" spans="1:73" s="328" customFormat="1" ht="12" customHeight="1">
      <c r="A39" s="2127" t="s">
        <v>400</v>
      </c>
      <c r="B39" s="1217">
        <v>0.3</v>
      </c>
      <c r="C39" s="496">
        <v>0.3</v>
      </c>
      <c r="D39" s="496">
        <v>0.3</v>
      </c>
      <c r="E39" s="496">
        <v>0.3</v>
      </c>
      <c r="F39" s="495">
        <v>0.34</v>
      </c>
      <c r="G39" s="496">
        <v>0.34</v>
      </c>
      <c r="H39" s="496">
        <v>0.34</v>
      </c>
      <c r="I39" s="497">
        <v>0.34</v>
      </c>
      <c r="J39" s="496">
        <v>0.39</v>
      </c>
      <c r="K39" s="496">
        <v>0.39</v>
      </c>
      <c r="L39" s="496">
        <v>0.39</v>
      </c>
      <c r="M39" s="497">
        <v>0.39</v>
      </c>
      <c r="N39" s="495">
        <v>0.47</v>
      </c>
      <c r="O39" s="496">
        <v>0.47</v>
      </c>
      <c r="P39" s="496">
        <v>0.47</v>
      </c>
      <c r="Q39" s="497">
        <v>0.47</v>
      </c>
      <c r="R39" s="495">
        <v>0.53</v>
      </c>
      <c r="S39" s="496">
        <v>0.53</v>
      </c>
      <c r="T39" s="496">
        <v>0.53</v>
      </c>
      <c r="U39" s="497">
        <v>0.53</v>
      </c>
      <c r="V39" s="495">
        <v>0.59</v>
      </c>
      <c r="W39" s="496">
        <v>0.59</v>
      </c>
      <c r="X39" s="496">
        <v>0.59</v>
      </c>
      <c r="Y39" s="496">
        <v>0.59</v>
      </c>
      <c r="Z39" s="495">
        <v>0.68</v>
      </c>
      <c r="AA39" s="1241">
        <f>+Z39</f>
        <v>0.68</v>
      </c>
      <c r="AB39" s="496">
        <f>+X39*(1+AB79)</f>
        <v>0.67999999999999994</v>
      </c>
      <c r="AC39" s="497">
        <f t="shared" ref="AC39:AK39" si="244">+Y39*(1+AC79)</f>
        <v>0.67999999999999994</v>
      </c>
      <c r="AD39" s="1280">
        <v>0.78</v>
      </c>
      <c r="AE39" s="496">
        <f>+AD39</f>
        <v>0.78</v>
      </c>
      <c r="AF39" s="496">
        <f>+AE39</f>
        <v>0.78</v>
      </c>
      <c r="AG39" s="497">
        <f>+AF39</f>
        <v>0.78</v>
      </c>
      <c r="AH39" s="495">
        <v>0.9</v>
      </c>
      <c r="AI39" s="496">
        <f>+AH39</f>
        <v>0.9</v>
      </c>
      <c r="AJ39" s="496">
        <f t="shared" si="244"/>
        <v>0.89999999999999991</v>
      </c>
      <c r="AK39" s="1489">
        <f t="shared" si="244"/>
        <v>0.89999999999999991</v>
      </c>
      <c r="AL39" s="495">
        <v>1.04</v>
      </c>
      <c r="AM39" s="496">
        <f>+AL39</f>
        <v>1.04</v>
      </c>
      <c r="AN39" s="496">
        <v>1.04</v>
      </c>
      <c r="AO39" s="497">
        <v>1.2</v>
      </c>
      <c r="AP39" s="495">
        <v>1.2</v>
      </c>
      <c r="AQ39" s="496">
        <v>1.2</v>
      </c>
      <c r="AR39" s="496">
        <f t="shared" ref="AR39" si="245">+AN39*(1+AR79)</f>
        <v>1.196</v>
      </c>
      <c r="AS39" s="497">
        <f t="shared" ref="AS39" si="246">+AO39*(1+AS79)</f>
        <v>1.38</v>
      </c>
      <c r="AT39" s="495">
        <f t="shared" ref="AT39" si="247">+AP39*(1+AT79)</f>
        <v>1.3619999999999999</v>
      </c>
      <c r="AU39" s="496">
        <f t="shared" ref="AU39" si="248">+AQ39*(1+AU79)</f>
        <v>1.3619999999999999</v>
      </c>
      <c r="AV39" s="496">
        <f t="shared" ref="AV39" si="249">+AR39*(1+AV79)</f>
        <v>1.3574599999999999</v>
      </c>
      <c r="AW39" s="497">
        <f t="shared" ref="AW39" si="250">+AS39*(1+AW79)</f>
        <v>1.5662999999999998</v>
      </c>
      <c r="AX39" s="495">
        <f t="shared" ref="AX39" si="251">+AT39*(1+AX79)</f>
        <v>1.5458699999999999</v>
      </c>
      <c r="AY39" s="496">
        <f t="shared" ref="AY39" si="252">+AU39*(1+AY79)</f>
        <v>1.5458699999999999</v>
      </c>
      <c r="AZ39" s="496">
        <f t="shared" ref="AZ39" si="253">+AV39*(1+AZ79)</f>
        <v>1.5407171</v>
      </c>
      <c r="BA39" s="497">
        <f t="shared" ref="BA39" si="254">+AW39*(1+BA79)</f>
        <v>1.7777504999999998</v>
      </c>
      <c r="BB39" s="1223"/>
      <c r="BC39" s="1224"/>
      <c r="BD39" s="1225">
        <f t="shared" ref="BD39" si="255">+SUM(B39:E39)</f>
        <v>1.2</v>
      </c>
      <c r="BE39" s="1225">
        <f t="shared" ref="BE39" si="256">+SUM(F39:I39)</f>
        <v>1.36</v>
      </c>
      <c r="BF39" s="1225">
        <f t="shared" ref="BF39" si="257">+SUM(J39:M39)</f>
        <v>1.56</v>
      </c>
      <c r="BG39" s="1225">
        <f t="shared" ref="BG39" si="258">SUM(N39:Q39)</f>
        <v>1.88</v>
      </c>
      <c r="BH39" s="1225">
        <f t="shared" ref="BH39" si="259">+SUM(R39:U39)</f>
        <v>2.12</v>
      </c>
      <c r="BI39" s="1225">
        <f t="shared" ref="BI39" si="260">SUM(V39:Y39)</f>
        <v>2.36</v>
      </c>
      <c r="BJ39" s="1225">
        <f t="shared" ref="BJ39" si="261">+SUM(Z39:AC39)</f>
        <v>2.7199999999999998</v>
      </c>
      <c r="BK39" s="1225">
        <f t="shared" ref="BK39" si="262">+SUM(AD39:AG39)</f>
        <v>3.12</v>
      </c>
      <c r="BL39" s="1225">
        <f t="shared" ref="BL39" si="263">+SUM(AH39:AK39)</f>
        <v>3.6</v>
      </c>
      <c r="BM39" s="1225">
        <f>+SUM(AL39:AO39)</f>
        <v>4.32</v>
      </c>
      <c r="BN39" s="1225">
        <f>+SUM(AP39:AS39)</f>
        <v>4.976</v>
      </c>
      <c r="BO39" s="1225">
        <f>+SUM(AT39:AW39)</f>
        <v>5.6477599999999999</v>
      </c>
      <c r="BP39" s="1225">
        <f>+SUM(AX39:BA39)</f>
        <v>6.4102075999999997</v>
      </c>
      <c r="BQ39" s="357"/>
      <c r="BR39" s="1446"/>
      <c r="BS39" s="1446"/>
      <c r="BT39" s="1446"/>
    </row>
    <row r="40" spans="1:73" s="360" customFormat="1" ht="12" customHeight="1">
      <c r="A40" s="1208"/>
      <c r="B40" s="1209"/>
      <c r="C40" s="1209"/>
      <c r="D40" s="1209"/>
      <c r="E40" s="1209"/>
      <c r="F40" s="1209"/>
      <c r="G40" s="1209"/>
      <c r="H40" s="1209"/>
      <c r="I40" s="1209"/>
      <c r="J40" s="1209"/>
      <c r="K40" s="1209"/>
      <c r="L40" s="1209"/>
      <c r="M40" s="1209"/>
      <c r="N40" s="1209"/>
      <c r="O40" s="1209"/>
      <c r="P40" s="1209"/>
      <c r="Q40" s="1209"/>
      <c r="R40" s="1209"/>
      <c r="S40" s="1209"/>
      <c r="T40" s="1209"/>
      <c r="U40" s="1209"/>
      <c r="V40" s="1209"/>
      <c r="W40" s="1209"/>
      <c r="X40" s="1209"/>
      <c r="Y40" s="1209"/>
      <c r="Z40" s="1209"/>
      <c r="AA40" s="1209"/>
      <c r="AB40" s="1209"/>
      <c r="AC40" s="1209"/>
      <c r="AD40" s="1209"/>
      <c r="AE40" s="1209"/>
      <c r="AF40" s="1209"/>
      <c r="AG40" s="1209"/>
      <c r="AH40" s="1209"/>
      <c r="AI40" s="1209"/>
      <c r="AJ40" s="1209"/>
      <c r="AK40" s="1209"/>
      <c r="AL40" s="1209"/>
      <c r="AM40" s="1209"/>
      <c r="AN40" s="1209"/>
      <c r="AO40" s="1209"/>
      <c r="AP40" s="1209"/>
      <c r="AQ40" s="1209"/>
      <c r="AR40" s="1209"/>
      <c r="AS40" s="1209"/>
      <c r="AT40" s="1209"/>
      <c r="AU40" s="1209"/>
      <c r="AV40" s="1209"/>
      <c r="AW40" s="1209"/>
      <c r="AX40" s="1209"/>
      <c r="AY40" s="1209"/>
      <c r="AZ40" s="1209"/>
      <c r="BA40" s="1209"/>
      <c r="BB40" s="358"/>
      <c r="BC40" s="359"/>
      <c r="BD40" s="359"/>
      <c r="BE40" s="359"/>
      <c r="BF40" s="1209"/>
      <c r="BG40" s="359"/>
      <c r="BH40" s="359"/>
      <c r="BI40" s="359"/>
      <c r="BJ40" s="359"/>
      <c r="BK40" s="359"/>
      <c r="BL40" s="359"/>
      <c r="BM40" s="359"/>
      <c r="BN40" s="359"/>
      <c r="BO40" s="359"/>
      <c r="BP40" s="359"/>
      <c r="BQ40" s="330"/>
      <c r="BR40" s="1409"/>
      <c r="BS40" s="1450"/>
      <c r="BT40" s="1409"/>
    </row>
    <row r="41" spans="1:73" s="332" customFormat="1" ht="12" customHeight="1">
      <c r="A41" s="532" t="s">
        <v>274</v>
      </c>
      <c r="B41" s="533"/>
      <c r="C41" s="533"/>
      <c r="D41" s="534"/>
      <c r="E41" s="535"/>
      <c r="F41" s="536"/>
      <c r="G41" s="533"/>
      <c r="H41" s="534"/>
      <c r="I41" s="535"/>
      <c r="J41" s="536"/>
      <c r="K41" s="533"/>
      <c r="L41" s="534"/>
      <c r="M41" s="535"/>
      <c r="N41" s="536"/>
      <c r="O41" s="533"/>
      <c r="P41" s="534"/>
      <c r="Q41" s="535"/>
      <c r="R41" s="536"/>
      <c r="S41" s="533"/>
      <c r="T41" s="533"/>
      <c r="U41" s="537"/>
      <c r="V41" s="536"/>
      <c r="W41" s="533"/>
      <c r="X41" s="533"/>
      <c r="Y41" s="537"/>
      <c r="Z41" s="536"/>
      <c r="AA41" s="533"/>
      <c r="AB41" s="533"/>
      <c r="AC41" s="537"/>
      <c r="AD41" s="536"/>
      <c r="AE41" s="533"/>
      <c r="AF41" s="533"/>
      <c r="AG41" s="537"/>
      <c r="AH41" s="536"/>
      <c r="AI41" s="533"/>
      <c r="AJ41" s="533"/>
      <c r="AK41" s="537"/>
      <c r="AL41" s="536"/>
      <c r="AM41" s="533"/>
      <c r="AN41" s="533"/>
      <c r="AO41" s="537"/>
      <c r="AP41" s="536"/>
      <c r="AQ41" s="533"/>
      <c r="AR41" s="533"/>
      <c r="AS41" s="537"/>
      <c r="AT41" s="536"/>
      <c r="AU41" s="533"/>
      <c r="AV41" s="533"/>
      <c r="AW41" s="537"/>
      <c r="AX41" s="536"/>
      <c r="AY41" s="533"/>
      <c r="AZ41" s="533"/>
      <c r="BA41" s="537"/>
      <c r="BB41" s="361"/>
      <c r="BC41" s="642"/>
      <c r="BD41" s="642"/>
      <c r="BE41" s="642"/>
      <c r="BF41" s="642"/>
      <c r="BG41" s="642"/>
      <c r="BH41" s="642"/>
      <c r="BI41" s="642"/>
      <c r="BJ41" s="642"/>
      <c r="BK41" s="642"/>
      <c r="BL41" s="642"/>
      <c r="BM41" s="642"/>
      <c r="BN41" s="642"/>
      <c r="BO41" s="642"/>
      <c r="BP41" s="642"/>
      <c r="BQ41" s="362"/>
      <c r="BR41" s="1449"/>
      <c r="BS41" s="1449"/>
      <c r="BT41" s="1449"/>
    </row>
    <row r="42" spans="1:73" s="332" customFormat="1" ht="12" customHeight="1">
      <c r="A42" s="363" t="s">
        <v>275</v>
      </c>
      <c r="B42" s="364"/>
      <c r="C42" s="364"/>
      <c r="D42" s="364"/>
      <c r="E42" s="364"/>
      <c r="F42" s="365"/>
      <c r="G42" s="364"/>
      <c r="H42" s="364"/>
      <c r="I42" s="364"/>
      <c r="J42" s="365"/>
      <c r="K42" s="364"/>
      <c r="L42" s="364"/>
      <c r="M42" s="364"/>
      <c r="N42" s="365"/>
      <c r="O42" s="364"/>
      <c r="P42" s="364"/>
      <c r="Q42" s="364"/>
      <c r="R42" s="366"/>
      <c r="S42" s="364"/>
      <c r="T42" s="364"/>
      <c r="U42" s="367"/>
      <c r="V42" s="366"/>
      <c r="W42" s="364"/>
      <c r="X42" s="364"/>
      <c r="Y42" s="367"/>
      <c r="Z42" s="366"/>
      <c r="AA42" s="364"/>
      <c r="AB42" s="364"/>
      <c r="AC42" s="367"/>
      <c r="AD42" s="364"/>
      <c r="AE42" s="364"/>
      <c r="AF42" s="364"/>
      <c r="AG42" s="367"/>
      <c r="AH42" s="1666"/>
      <c r="AI42" s="1666"/>
      <c r="AJ42" s="1666"/>
      <c r="AK42" s="1667"/>
      <c r="AL42" s="1666"/>
      <c r="AM42" s="1666"/>
      <c r="AN42" s="1666"/>
      <c r="AO42" s="1667"/>
      <c r="AP42" s="1666"/>
      <c r="AQ42" s="1666"/>
      <c r="AR42" s="1666"/>
      <c r="AS42" s="1667"/>
      <c r="AT42" s="1666"/>
      <c r="AU42" s="1666"/>
      <c r="AV42" s="1666"/>
      <c r="AW42" s="1667"/>
      <c r="AX42" s="1666"/>
      <c r="AY42" s="1666"/>
      <c r="AZ42" s="1666"/>
      <c r="BA42" s="1667"/>
      <c r="BB42" s="323"/>
      <c r="BC42" s="368"/>
      <c r="BD42" s="368"/>
      <c r="BE42" s="369"/>
      <c r="BF42" s="366"/>
      <c r="BG42" s="368"/>
      <c r="BH42" s="368"/>
      <c r="BI42" s="1318"/>
      <c r="BJ42" s="1318"/>
      <c r="BK42" s="1668"/>
      <c r="BL42" s="1669"/>
      <c r="BM42" s="1669"/>
      <c r="BN42" s="1669"/>
      <c r="BO42" s="1669"/>
      <c r="BP42" s="1669"/>
      <c r="BQ42" s="370"/>
      <c r="BR42" s="1449"/>
      <c r="BS42" s="1449"/>
      <c r="BT42" s="1449"/>
    </row>
    <row r="43" spans="1:73" s="332" customFormat="1" ht="12" customHeight="1">
      <c r="A43" s="371" t="s">
        <v>276</v>
      </c>
      <c r="B43" s="619">
        <f>+B151</f>
        <v>67</v>
      </c>
      <c r="C43" s="619">
        <f t="shared" ref="C43:U43" si="264">+C151</f>
        <v>65</v>
      </c>
      <c r="D43" s="619">
        <f t="shared" si="264"/>
        <v>65</v>
      </c>
      <c r="E43" s="620">
        <f t="shared" si="264"/>
        <v>81</v>
      </c>
      <c r="F43" s="619">
        <f t="shared" si="264"/>
        <v>89</v>
      </c>
      <c r="G43" s="619">
        <f t="shared" si="264"/>
        <v>81</v>
      </c>
      <c r="H43" s="619">
        <f t="shared" si="264"/>
        <v>71</v>
      </c>
      <c r="I43" s="620">
        <f t="shared" si="264"/>
        <v>85</v>
      </c>
      <c r="J43" s="619">
        <f t="shared" si="264"/>
        <v>97</v>
      </c>
      <c r="K43" s="619">
        <f t="shared" si="264"/>
        <v>94</v>
      </c>
      <c r="L43" s="619">
        <f t="shared" si="264"/>
        <v>92</v>
      </c>
      <c r="M43" s="620">
        <f t="shared" si="264"/>
        <v>99</v>
      </c>
      <c r="N43" s="619">
        <f t="shared" si="264"/>
        <v>105</v>
      </c>
      <c r="O43" s="619">
        <f t="shared" si="264"/>
        <v>100</v>
      </c>
      <c r="P43" s="619">
        <f t="shared" si="264"/>
        <v>98</v>
      </c>
      <c r="Q43" s="620">
        <f t="shared" si="264"/>
        <v>98</v>
      </c>
      <c r="R43" s="596">
        <f t="shared" si="264"/>
        <v>111</v>
      </c>
      <c r="S43" s="597">
        <f t="shared" si="264"/>
        <v>107</v>
      </c>
      <c r="T43" s="597">
        <f t="shared" si="264"/>
        <v>103</v>
      </c>
      <c r="U43" s="598">
        <f t="shared" si="264"/>
        <v>114</v>
      </c>
      <c r="V43" s="596">
        <f t="shared" ref="V43:Y43" si="265">+SUM(V44:V45)</f>
        <v>111</v>
      </c>
      <c r="W43" s="597">
        <f t="shared" si="265"/>
        <v>180</v>
      </c>
      <c r="X43" s="597">
        <f t="shared" si="265"/>
        <v>218</v>
      </c>
      <c r="Y43" s="599">
        <f t="shared" si="265"/>
        <v>244</v>
      </c>
      <c r="Z43" s="596">
        <f t="shared" ref="Z43:AC43" si="266">+SUM(Z44:Z45)</f>
        <v>280</v>
      </c>
      <c r="AA43" s="597">
        <f t="shared" si="266"/>
        <v>336</v>
      </c>
      <c r="AB43" s="597">
        <f t="shared" si="266"/>
        <v>346</v>
      </c>
      <c r="AC43" s="599">
        <f t="shared" si="266"/>
        <v>346</v>
      </c>
      <c r="AD43" s="596">
        <f t="shared" ref="AD43:AG43" si="267">+SUM(AD44:AD45)</f>
        <v>422</v>
      </c>
      <c r="AE43" s="597">
        <f t="shared" si="267"/>
        <v>423</v>
      </c>
      <c r="AF43" s="597">
        <f t="shared" si="267"/>
        <v>419</v>
      </c>
      <c r="AG43" s="599">
        <f t="shared" si="267"/>
        <v>448</v>
      </c>
      <c r="AH43" s="596">
        <f t="shared" ref="AH43:AJ43" si="268">+SUM(AH44:AH45)</f>
        <v>495</v>
      </c>
      <c r="AI43" s="597">
        <f t="shared" si="268"/>
        <v>475</v>
      </c>
      <c r="AJ43" s="597">
        <f t="shared" si="268"/>
        <v>451</v>
      </c>
      <c r="AK43" s="599">
        <f t="shared" ref="AK43:AN43" si="269">+SUM(AK44:AK45)</f>
        <v>494</v>
      </c>
      <c r="AL43" s="596">
        <f t="shared" si="269"/>
        <v>511</v>
      </c>
      <c r="AM43" s="597">
        <f t="shared" si="269"/>
        <v>498</v>
      </c>
      <c r="AN43" s="597">
        <f t="shared" si="269"/>
        <v>469</v>
      </c>
      <c r="AO43" s="599">
        <f t="shared" ref="AO43:AQ43" si="270">+SUM(AO44:AO45)</f>
        <v>490</v>
      </c>
      <c r="AP43" s="596">
        <f t="shared" si="270"/>
        <v>543</v>
      </c>
      <c r="AQ43" s="597">
        <f t="shared" si="270"/>
        <v>521</v>
      </c>
      <c r="AR43" s="597">
        <f t="shared" ref="AR43:AS43" si="271">+SUM(AR44:AR45)</f>
        <v>542.65980771214856</v>
      </c>
      <c r="AS43" s="599">
        <f t="shared" si="271"/>
        <v>575.89745418950656</v>
      </c>
      <c r="AT43" s="596">
        <f t="shared" ref="AT43:AW43" si="272">+SUM(AT44:AT45)</f>
        <v>566.6878558558559</v>
      </c>
      <c r="AU43" s="597">
        <f t="shared" si="272"/>
        <v>545.17511316972366</v>
      </c>
      <c r="AV43" s="597">
        <f t="shared" si="272"/>
        <v>546.17404433525758</v>
      </c>
      <c r="AW43" s="599">
        <f t="shared" si="272"/>
        <v>589.6353907888747</v>
      </c>
      <c r="AX43" s="596">
        <f>+SUM(AX44:AX45)</f>
        <v>587.23705258919824</v>
      </c>
      <c r="AY43" s="597">
        <f t="shared" ref="AY43:BA43" si="273">+SUM(AY44:AY45)</f>
        <v>569.63158448393972</v>
      </c>
      <c r="AZ43" s="597">
        <f t="shared" si="273"/>
        <v>552.91273301100887</v>
      </c>
      <c r="BA43" s="599">
        <f t="shared" si="273"/>
        <v>609.0123521563346</v>
      </c>
      <c r="BB43" s="323"/>
      <c r="BC43" s="372"/>
      <c r="BD43" s="591">
        <f t="shared" ref="BD43:BD51" si="274">+SUM(B43:E43)</f>
        <v>278</v>
      </c>
      <c r="BE43" s="591">
        <f t="shared" ref="BE43:BE51" si="275">+SUM(F43:I43)</f>
        <v>326</v>
      </c>
      <c r="BF43" s="591">
        <f t="shared" ref="BF43:BF51" si="276">+SUM(J43:M43)</f>
        <v>382</v>
      </c>
      <c r="BG43" s="591">
        <f t="shared" ref="BG43:BG51" si="277">SUM(N43:Q43)</f>
        <v>401</v>
      </c>
      <c r="BH43" s="591">
        <f t="shared" ref="BH43:BH51" si="278">+SUM(R43:U43)</f>
        <v>435</v>
      </c>
      <c r="BI43" s="591">
        <f t="shared" ref="BI43:BI51" si="279">SUM(V43:Y43)</f>
        <v>753</v>
      </c>
      <c r="BJ43" s="591">
        <f t="shared" ref="BJ43:BJ51" si="280">+SUM(Z43:AC43)</f>
        <v>1308</v>
      </c>
      <c r="BK43" s="591">
        <f t="shared" ref="BK43:BK51" si="281">+SUM(AD43:AG43)</f>
        <v>1712</v>
      </c>
      <c r="BL43" s="591">
        <f t="shared" ref="BL43:BL51" si="282">+SUM(AH43:AK43)</f>
        <v>1915</v>
      </c>
      <c r="BM43" s="591">
        <f t="shared" ref="BM43:BM51" si="283">+SUM(AL43:AO43)</f>
        <v>1968</v>
      </c>
      <c r="BN43" s="591">
        <f t="shared" ref="BN43:BN51" si="284">+SUM(AP43:AS43)</f>
        <v>2182.5572619016548</v>
      </c>
      <c r="BO43" s="591">
        <f t="shared" ref="BO43:BO51" si="285">+SUM(AT43:AW43)</f>
        <v>2247.6724041497118</v>
      </c>
      <c r="BP43" s="591">
        <f t="shared" ref="BP43:BP51" si="286">+SUM(AX43:BA43)</f>
        <v>2318.7937222404817</v>
      </c>
      <c r="BQ43" s="370"/>
      <c r="BR43" s="1449"/>
      <c r="BS43" s="1449"/>
      <c r="BT43" s="1449"/>
    </row>
    <row r="44" spans="1:73" s="376" customFormat="1" ht="12" customHeight="1">
      <c r="A44" s="373" t="s">
        <v>59</v>
      </c>
      <c r="B44" s="621">
        <f>+B146</f>
        <v>2</v>
      </c>
      <c r="C44" s="621">
        <f t="shared" ref="C44:V44" si="287">+C146</f>
        <v>2</v>
      </c>
      <c r="D44" s="621">
        <f t="shared" si="287"/>
        <v>2</v>
      </c>
      <c r="E44" s="622">
        <f t="shared" si="287"/>
        <v>2</v>
      </c>
      <c r="F44" s="621">
        <f t="shared" si="287"/>
        <v>2</v>
      </c>
      <c r="G44" s="621">
        <f t="shared" si="287"/>
        <v>2</v>
      </c>
      <c r="H44" s="621">
        <f t="shared" si="287"/>
        <v>2</v>
      </c>
      <c r="I44" s="622">
        <f t="shared" si="287"/>
        <v>2</v>
      </c>
      <c r="J44" s="621">
        <f t="shared" si="287"/>
        <v>3</v>
      </c>
      <c r="K44" s="621">
        <f t="shared" si="287"/>
        <v>13</v>
      </c>
      <c r="L44" s="621">
        <f t="shared" si="287"/>
        <v>14</v>
      </c>
      <c r="M44" s="622">
        <f t="shared" si="287"/>
        <v>13</v>
      </c>
      <c r="N44" s="621">
        <f t="shared" si="287"/>
        <v>14</v>
      </c>
      <c r="O44" s="621">
        <f t="shared" si="287"/>
        <v>15</v>
      </c>
      <c r="P44" s="621">
        <f t="shared" si="287"/>
        <v>15</v>
      </c>
      <c r="Q44" s="622">
        <f t="shared" si="287"/>
        <v>14</v>
      </c>
      <c r="R44" s="600">
        <f t="shared" si="287"/>
        <v>15</v>
      </c>
      <c r="S44" s="601">
        <f t="shared" si="287"/>
        <v>14</v>
      </c>
      <c r="T44" s="601">
        <f t="shared" si="287"/>
        <v>15</v>
      </c>
      <c r="U44" s="602">
        <f t="shared" si="287"/>
        <v>16</v>
      </c>
      <c r="V44" s="600">
        <f t="shared" si="287"/>
        <v>15</v>
      </c>
      <c r="W44" s="601">
        <f t="shared" ref="W44:Z44" si="288">+W146</f>
        <v>16</v>
      </c>
      <c r="X44" s="601">
        <f t="shared" si="288"/>
        <v>16</v>
      </c>
      <c r="Y44" s="602">
        <f t="shared" si="288"/>
        <v>22</v>
      </c>
      <c r="Z44" s="600">
        <f t="shared" si="288"/>
        <v>27</v>
      </c>
      <c r="AA44" s="601">
        <f t="shared" ref="AA44:AD44" si="289">+AA146</f>
        <v>38</v>
      </c>
      <c r="AB44" s="601">
        <f t="shared" si="289"/>
        <v>40</v>
      </c>
      <c r="AC44" s="602">
        <f t="shared" si="289"/>
        <v>41</v>
      </c>
      <c r="AD44" s="600">
        <f t="shared" si="289"/>
        <v>86</v>
      </c>
      <c r="AE44" s="601">
        <f t="shared" ref="AE44:AH44" si="290">+AE146</f>
        <v>91</v>
      </c>
      <c r="AF44" s="601">
        <f t="shared" si="290"/>
        <v>114</v>
      </c>
      <c r="AG44" s="602">
        <f t="shared" si="290"/>
        <v>83</v>
      </c>
      <c r="AH44" s="2113">
        <f t="shared" si="290"/>
        <v>101</v>
      </c>
      <c r="AI44" s="2114">
        <f t="shared" ref="AI44:AJ44" si="291">+AI146</f>
        <v>101</v>
      </c>
      <c r="AJ44" s="2114">
        <f t="shared" si="291"/>
        <v>98</v>
      </c>
      <c r="AK44" s="2115">
        <f t="shared" ref="AK44:AN44" si="292">+AK146</f>
        <v>102</v>
      </c>
      <c r="AL44" s="600">
        <f t="shared" si="292"/>
        <v>111</v>
      </c>
      <c r="AM44" s="601">
        <f t="shared" si="292"/>
        <v>110</v>
      </c>
      <c r="AN44" s="601">
        <f t="shared" si="292"/>
        <v>101</v>
      </c>
      <c r="AO44" s="608">
        <f t="shared" ref="AO44:AQ44" si="293">+AO146</f>
        <v>101</v>
      </c>
      <c r="AP44" s="600">
        <f t="shared" si="293"/>
        <v>97</v>
      </c>
      <c r="AQ44" s="601">
        <f t="shared" si="293"/>
        <v>94</v>
      </c>
      <c r="AR44" s="604">
        <f>AN44/AN9*AR9*0.9</f>
        <v>99.511350657725046</v>
      </c>
      <c r="AS44" s="603">
        <f>AO44/AO9*AS9*0.9</f>
        <v>100.90416072826937</v>
      </c>
      <c r="AT44" s="604">
        <f t="shared" ref="AT44:BA44" si="294">AP44/AP9*AT9</f>
        <v>110.29037323037323</v>
      </c>
      <c r="AU44" s="604">
        <f t="shared" si="294"/>
        <v>107.14292418556141</v>
      </c>
      <c r="AV44" s="604">
        <f t="shared" si="294"/>
        <v>109.06203732277781</v>
      </c>
      <c r="AW44" s="603">
        <f t="shared" si="294"/>
        <v>112.59817445580704</v>
      </c>
      <c r="AX44" s="604">
        <f t="shared" si="294"/>
        <v>124.30060249891376</v>
      </c>
      <c r="AY44" s="604">
        <f t="shared" si="294"/>
        <v>121.72998599925056</v>
      </c>
      <c r="AZ44" s="604">
        <f t="shared" si="294"/>
        <v>120.01243452701775</v>
      </c>
      <c r="BA44" s="603">
        <f t="shared" si="294"/>
        <v>126.53565564952335</v>
      </c>
      <c r="BB44" s="374"/>
      <c r="BC44" s="368"/>
      <c r="BD44" s="590">
        <f t="shared" si="274"/>
        <v>8</v>
      </c>
      <c r="BE44" s="590">
        <f t="shared" si="275"/>
        <v>8</v>
      </c>
      <c r="BF44" s="590">
        <f t="shared" si="276"/>
        <v>43</v>
      </c>
      <c r="BG44" s="590">
        <f t="shared" si="277"/>
        <v>58</v>
      </c>
      <c r="BH44" s="590">
        <f t="shared" si="278"/>
        <v>60</v>
      </c>
      <c r="BI44" s="590">
        <f t="shared" si="279"/>
        <v>69</v>
      </c>
      <c r="BJ44" s="590">
        <f t="shared" si="280"/>
        <v>146</v>
      </c>
      <c r="BK44" s="590">
        <f t="shared" si="281"/>
        <v>374</v>
      </c>
      <c r="BL44" s="590">
        <f t="shared" si="282"/>
        <v>402</v>
      </c>
      <c r="BM44" s="590">
        <f t="shared" si="283"/>
        <v>423</v>
      </c>
      <c r="BN44" s="590">
        <f t="shared" si="284"/>
        <v>391.41551138599448</v>
      </c>
      <c r="BO44" s="590">
        <f t="shared" si="285"/>
        <v>439.09350919451953</v>
      </c>
      <c r="BP44" s="590">
        <f t="shared" si="286"/>
        <v>492.57867867470537</v>
      </c>
      <c r="BQ44" s="375"/>
      <c r="BR44" s="1451"/>
      <c r="BS44" s="1451"/>
      <c r="BT44" s="1452"/>
    </row>
    <row r="45" spans="1:73" s="376" customFormat="1" ht="12" customHeight="1">
      <c r="A45" s="373" t="s">
        <v>277</v>
      </c>
      <c r="B45" s="621">
        <f>+B150</f>
        <v>65</v>
      </c>
      <c r="C45" s="621">
        <f t="shared" ref="C45:V45" si="295">+C150</f>
        <v>63</v>
      </c>
      <c r="D45" s="621">
        <f t="shared" si="295"/>
        <v>63</v>
      </c>
      <c r="E45" s="622">
        <f t="shared" si="295"/>
        <v>79</v>
      </c>
      <c r="F45" s="621">
        <f t="shared" si="295"/>
        <v>87</v>
      </c>
      <c r="G45" s="621">
        <f t="shared" si="295"/>
        <v>79</v>
      </c>
      <c r="H45" s="621">
        <f t="shared" si="295"/>
        <v>69</v>
      </c>
      <c r="I45" s="622">
        <f t="shared" si="295"/>
        <v>83</v>
      </c>
      <c r="J45" s="621">
        <f t="shared" si="295"/>
        <v>94</v>
      </c>
      <c r="K45" s="621">
        <f t="shared" si="295"/>
        <v>81</v>
      </c>
      <c r="L45" s="621">
        <f t="shared" si="295"/>
        <v>78</v>
      </c>
      <c r="M45" s="622">
        <f t="shared" si="295"/>
        <v>86</v>
      </c>
      <c r="N45" s="621">
        <f t="shared" si="295"/>
        <v>91</v>
      </c>
      <c r="O45" s="621">
        <f t="shared" si="295"/>
        <v>85</v>
      </c>
      <c r="P45" s="621">
        <f t="shared" si="295"/>
        <v>83</v>
      </c>
      <c r="Q45" s="622">
        <f t="shared" si="295"/>
        <v>84</v>
      </c>
      <c r="R45" s="600">
        <f t="shared" si="295"/>
        <v>96</v>
      </c>
      <c r="S45" s="601">
        <f t="shared" si="295"/>
        <v>93</v>
      </c>
      <c r="T45" s="601">
        <f>+T150</f>
        <v>88</v>
      </c>
      <c r="U45" s="602">
        <f t="shared" si="295"/>
        <v>98</v>
      </c>
      <c r="V45" s="600">
        <f t="shared" si="295"/>
        <v>96</v>
      </c>
      <c r="W45" s="601">
        <f t="shared" ref="W45" si="296">+W150</f>
        <v>164</v>
      </c>
      <c r="X45" s="601">
        <f>+X150</f>
        <v>202</v>
      </c>
      <c r="Y45" s="602">
        <f t="shared" ref="Y45:AA45" si="297">+Y150</f>
        <v>222</v>
      </c>
      <c r="Z45" s="600">
        <f t="shared" si="297"/>
        <v>253</v>
      </c>
      <c r="AA45" s="601">
        <f t="shared" si="297"/>
        <v>298</v>
      </c>
      <c r="AB45" s="601">
        <f>+AB150</f>
        <v>306</v>
      </c>
      <c r="AC45" s="602">
        <f t="shared" ref="AC45" si="298">+AC150</f>
        <v>305</v>
      </c>
      <c r="AD45" s="601">
        <f>+AD150</f>
        <v>336</v>
      </c>
      <c r="AE45" s="601">
        <f>+AE150</f>
        <v>332</v>
      </c>
      <c r="AF45" s="601">
        <f>+AF150</f>
        <v>305</v>
      </c>
      <c r="AG45" s="602">
        <f t="shared" ref="AG45:AI45" si="299">+AG150</f>
        <v>365</v>
      </c>
      <c r="AH45" s="2113">
        <f t="shared" si="299"/>
        <v>394</v>
      </c>
      <c r="AI45" s="2114">
        <f t="shared" si="299"/>
        <v>374</v>
      </c>
      <c r="AJ45" s="2114">
        <f>+AJ150</f>
        <v>353</v>
      </c>
      <c r="AK45" s="2115">
        <f>+AK150</f>
        <v>392</v>
      </c>
      <c r="AL45" s="600">
        <f t="shared" ref="AL45:AM45" si="300">+AL150</f>
        <v>400</v>
      </c>
      <c r="AM45" s="601">
        <f t="shared" si="300"/>
        <v>388</v>
      </c>
      <c r="AN45" s="601">
        <f>+AN150</f>
        <v>368</v>
      </c>
      <c r="AO45" s="608">
        <f>+AO150</f>
        <v>389</v>
      </c>
      <c r="AP45" s="600">
        <f t="shared" ref="AP45:AQ45" si="301">+AP150</f>
        <v>446</v>
      </c>
      <c r="AQ45" s="601">
        <f t="shared" si="301"/>
        <v>427</v>
      </c>
      <c r="AR45" s="604">
        <f>AN45/AN9*AR9*1.1</f>
        <v>443.14845705442355</v>
      </c>
      <c r="AS45" s="603">
        <f>AO45/AO9*AS9*1.1</f>
        <v>474.99329346123722</v>
      </c>
      <c r="AT45" s="604">
        <f>AP45/AP9*AT9*0.9</f>
        <v>456.39748262548267</v>
      </c>
      <c r="AU45" s="604">
        <f t="shared" ref="AU45:AW45" si="302">AQ45/AQ9*AU9*0.9</f>
        <v>438.03218898416225</v>
      </c>
      <c r="AV45" s="604">
        <f t="shared" si="302"/>
        <v>437.11200701247981</v>
      </c>
      <c r="AW45" s="603">
        <f t="shared" si="302"/>
        <v>477.0372163330677</v>
      </c>
      <c r="AX45" s="604">
        <f>AT45/AT9*AX9*0.9</f>
        <v>462.93645009028444</v>
      </c>
      <c r="AY45" s="604">
        <f t="shared" ref="AY45:BA45" si="303">AU45/AU9*AY9*0.9</f>
        <v>447.9015984846892</v>
      </c>
      <c r="AZ45" s="604">
        <f t="shared" si="303"/>
        <v>432.90029848399115</v>
      </c>
      <c r="BA45" s="603">
        <f t="shared" si="303"/>
        <v>482.47669650681127</v>
      </c>
      <c r="BB45" s="374"/>
      <c r="BC45" s="368"/>
      <c r="BD45" s="590">
        <f t="shared" si="274"/>
        <v>270</v>
      </c>
      <c r="BE45" s="590">
        <f t="shared" si="275"/>
        <v>318</v>
      </c>
      <c r="BF45" s="590">
        <f t="shared" si="276"/>
        <v>339</v>
      </c>
      <c r="BG45" s="590">
        <f t="shared" si="277"/>
        <v>343</v>
      </c>
      <c r="BH45" s="590">
        <f t="shared" si="278"/>
        <v>375</v>
      </c>
      <c r="BI45" s="590">
        <f t="shared" si="279"/>
        <v>684</v>
      </c>
      <c r="BJ45" s="590">
        <f t="shared" si="280"/>
        <v>1162</v>
      </c>
      <c r="BK45" s="590">
        <f t="shared" si="281"/>
        <v>1338</v>
      </c>
      <c r="BL45" s="590">
        <f t="shared" si="282"/>
        <v>1513</v>
      </c>
      <c r="BM45" s="590">
        <f t="shared" si="283"/>
        <v>1545</v>
      </c>
      <c r="BN45" s="590">
        <f t="shared" si="284"/>
        <v>1791.1417505156608</v>
      </c>
      <c r="BO45" s="590">
        <f t="shared" si="285"/>
        <v>1808.5788949551925</v>
      </c>
      <c r="BP45" s="590">
        <f t="shared" si="286"/>
        <v>1826.2150435657761</v>
      </c>
      <c r="BQ45" s="375"/>
      <c r="BR45" s="1451"/>
      <c r="BS45" s="1451"/>
      <c r="BT45" s="1452"/>
    </row>
    <row r="46" spans="1:73" s="332" customFormat="1" ht="12" customHeight="1">
      <c r="A46" s="371" t="s">
        <v>278</v>
      </c>
      <c r="B46" s="573">
        <f>+SUM(B47:B48)</f>
        <v>8</v>
      </c>
      <c r="C46" s="573">
        <f t="shared" ref="C46:V46" si="304">+SUM(C47:C48)</f>
        <v>7</v>
      </c>
      <c r="D46" s="573">
        <f t="shared" si="304"/>
        <v>8</v>
      </c>
      <c r="E46" s="623">
        <f t="shared" si="304"/>
        <v>11</v>
      </c>
      <c r="F46" s="573">
        <f t="shared" si="304"/>
        <v>4</v>
      </c>
      <c r="G46" s="573">
        <f t="shared" si="304"/>
        <v>3</v>
      </c>
      <c r="H46" s="573">
        <f t="shared" si="304"/>
        <v>4</v>
      </c>
      <c r="I46" s="623">
        <f t="shared" si="304"/>
        <v>3</v>
      </c>
      <c r="J46" s="573">
        <f t="shared" si="304"/>
        <v>3</v>
      </c>
      <c r="K46" s="573">
        <f t="shared" si="304"/>
        <v>4</v>
      </c>
      <c r="L46" s="573">
        <f t="shared" si="304"/>
        <v>7</v>
      </c>
      <c r="M46" s="623">
        <f t="shared" si="304"/>
        <v>7</v>
      </c>
      <c r="N46" s="573">
        <f t="shared" si="304"/>
        <v>7</v>
      </c>
      <c r="O46" s="573">
        <f t="shared" si="304"/>
        <v>6</v>
      </c>
      <c r="P46" s="573">
        <f t="shared" si="304"/>
        <v>6</v>
      </c>
      <c r="Q46" s="623">
        <f t="shared" si="304"/>
        <v>7</v>
      </c>
      <c r="R46" s="605">
        <f t="shared" si="304"/>
        <v>8</v>
      </c>
      <c r="S46" s="606">
        <f t="shared" si="304"/>
        <v>7</v>
      </c>
      <c r="T46" s="606">
        <f t="shared" si="304"/>
        <v>7</v>
      </c>
      <c r="U46" s="599">
        <f t="shared" si="304"/>
        <v>6</v>
      </c>
      <c r="V46" s="596">
        <f t="shared" si="304"/>
        <v>9</v>
      </c>
      <c r="W46" s="597">
        <f t="shared" ref="W46:Z46" si="305">+SUM(W47:W48)</f>
        <v>50</v>
      </c>
      <c r="X46" s="606">
        <f t="shared" si="305"/>
        <v>68</v>
      </c>
      <c r="Y46" s="599">
        <f t="shared" si="305"/>
        <v>69</v>
      </c>
      <c r="Z46" s="596">
        <f t="shared" si="305"/>
        <v>68</v>
      </c>
      <c r="AA46" s="597">
        <f t="shared" ref="AA46:AC46" si="306">+SUM(AA47:AA48)</f>
        <v>163</v>
      </c>
      <c r="AB46" s="606">
        <f t="shared" si="306"/>
        <v>163</v>
      </c>
      <c r="AC46" s="599">
        <f t="shared" si="306"/>
        <v>162</v>
      </c>
      <c r="AD46" s="605">
        <f t="shared" ref="AD46:AG46" si="307">+SUM(AD47:AD48)</f>
        <v>162</v>
      </c>
      <c r="AE46" s="606">
        <f t="shared" si="307"/>
        <v>162</v>
      </c>
      <c r="AF46" s="606">
        <f t="shared" si="307"/>
        <v>160</v>
      </c>
      <c r="AG46" s="599">
        <f t="shared" si="307"/>
        <v>162</v>
      </c>
      <c r="AH46" s="2116">
        <f t="shared" ref="AH46:AJ46" si="308">+SUM(AH47:AH48)</f>
        <v>158</v>
      </c>
      <c r="AI46" s="2117">
        <f t="shared" si="308"/>
        <v>156</v>
      </c>
      <c r="AJ46" s="2117">
        <f t="shared" si="308"/>
        <v>156</v>
      </c>
      <c r="AK46" s="2118">
        <f t="shared" ref="AK46:AN46" si="309">+SUM(AK47:AK48)</f>
        <v>159</v>
      </c>
      <c r="AL46" s="605">
        <f t="shared" si="309"/>
        <v>157</v>
      </c>
      <c r="AM46" s="606">
        <f t="shared" si="309"/>
        <v>157</v>
      </c>
      <c r="AN46" s="606">
        <f t="shared" si="309"/>
        <v>158</v>
      </c>
      <c r="AO46" s="599">
        <f t="shared" ref="AO46:AQ46" si="310">+SUM(AO47:AO48)</f>
        <v>165</v>
      </c>
      <c r="AP46" s="605">
        <f t="shared" si="310"/>
        <v>165</v>
      </c>
      <c r="AQ46" s="606">
        <f t="shared" si="310"/>
        <v>165</v>
      </c>
      <c r="AR46" s="606">
        <f t="shared" ref="AR46:AS46" si="311">+SUM(AR47:AR48)</f>
        <v>165</v>
      </c>
      <c r="AS46" s="599">
        <f t="shared" si="311"/>
        <v>165</v>
      </c>
      <c r="AT46" s="605">
        <f t="shared" ref="AT46:AW46" si="312">+SUM(AT47:AT48)</f>
        <v>165</v>
      </c>
      <c r="AU46" s="606">
        <f t="shared" si="312"/>
        <v>165</v>
      </c>
      <c r="AV46" s="606">
        <f t="shared" si="312"/>
        <v>165</v>
      </c>
      <c r="AW46" s="599">
        <f t="shared" si="312"/>
        <v>165</v>
      </c>
      <c r="AX46" s="605">
        <f t="shared" ref="AX46:BA46" si="313">+SUM(AX47:AX48)</f>
        <v>165</v>
      </c>
      <c r="AY46" s="606">
        <f t="shared" si="313"/>
        <v>165</v>
      </c>
      <c r="AZ46" s="606">
        <f t="shared" si="313"/>
        <v>165</v>
      </c>
      <c r="BA46" s="599">
        <f t="shared" si="313"/>
        <v>165</v>
      </c>
      <c r="BB46" s="378"/>
      <c r="BC46" s="372"/>
      <c r="BD46" s="591">
        <f t="shared" si="274"/>
        <v>34</v>
      </c>
      <c r="BE46" s="591">
        <f t="shared" si="275"/>
        <v>14</v>
      </c>
      <c r="BF46" s="591">
        <f t="shared" si="276"/>
        <v>21</v>
      </c>
      <c r="BG46" s="591">
        <f t="shared" si="277"/>
        <v>26</v>
      </c>
      <c r="BH46" s="591">
        <f t="shared" si="278"/>
        <v>28</v>
      </c>
      <c r="BI46" s="591">
        <f t="shared" si="279"/>
        <v>196</v>
      </c>
      <c r="BJ46" s="591">
        <f t="shared" si="280"/>
        <v>556</v>
      </c>
      <c r="BK46" s="591">
        <f t="shared" si="281"/>
        <v>646</v>
      </c>
      <c r="BL46" s="591">
        <f t="shared" si="282"/>
        <v>629</v>
      </c>
      <c r="BM46" s="591">
        <f t="shared" si="283"/>
        <v>637</v>
      </c>
      <c r="BN46" s="591">
        <f t="shared" si="284"/>
        <v>660</v>
      </c>
      <c r="BO46" s="591">
        <f t="shared" si="285"/>
        <v>660</v>
      </c>
      <c r="BP46" s="591">
        <f t="shared" si="286"/>
        <v>660</v>
      </c>
      <c r="BQ46" s="362"/>
      <c r="BR46" s="1449"/>
      <c r="BS46" s="1449"/>
      <c r="BT46" s="1449"/>
    </row>
    <row r="47" spans="1:73" s="376" customFormat="1" ht="12" customHeight="1">
      <c r="A47" s="373" t="s">
        <v>59</v>
      </c>
      <c r="B47" s="624">
        <f>+B114</f>
        <v>6</v>
      </c>
      <c r="C47" s="624">
        <f t="shared" ref="C47:V47" si="314">+C114</f>
        <v>6</v>
      </c>
      <c r="D47" s="624">
        <f t="shared" si="314"/>
        <v>5</v>
      </c>
      <c r="E47" s="625">
        <f t="shared" si="314"/>
        <v>5</v>
      </c>
      <c r="F47" s="624">
        <f t="shared" si="314"/>
        <v>3</v>
      </c>
      <c r="G47" s="624">
        <f t="shared" si="314"/>
        <v>3</v>
      </c>
      <c r="H47" s="624">
        <f t="shared" si="314"/>
        <v>3</v>
      </c>
      <c r="I47" s="625">
        <f t="shared" si="314"/>
        <v>3</v>
      </c>
      <c r="J47" s="624">
        <f t="shared" si="314"/>
        <v>2</v>
      </c>
      <c r="K47" s="624">
        <f t="shared" si="314"/>
        <v>3</v>
      </c>
      <c r="L47" s="624">
        <f t="shared" si="314"/>
        <v>5</v>
      </c>
      <c r="M47" s="625">
        <f t="shared" si="314"/>
        <v>5</v>
      </c>
      <c r="N47" s="624">
        <f t="shared" si="314"/>
        <v>5</v>
      </c>
      <c r="O47" s="624">
        <f t="shared" si="314"/>
        <v>5</v>
      </c>
      <c r="P47" s="624">
        <f t="shared" si="314"/>
        <v>5</v>
      </c>
      <c r="Q47" s="625">
        <f t="shared" si="314"/>
        <v>5</v>
      </c>
      <c r="R47" s="607">
        <f t="shared" si="314"/>
        <v>6</v>
      </c>
      <c r="S47" s="607">
        <f t="shared" si="314"/>
        <v>6</v>
      </c>
      <c r="T47" s="607">
        <f t="shared" si="314"/>
        <v>5</v>
      </c>
      <c r="U47" s="608">
        <f t="shared" si="314"/>
        <v>5</v>
      </c>
      <c r="V47" s="600">
        <f t="shared" si="314"/>
        <v>7</v>
      </c>
      <c r="W47" s="601">
        <f t="shared" ref="W47:Z47" si="315">+W114</f>
        <v>14</v>
      </c>
      <c r="X47" s="607">
        <f t="shared" si="315"/>
        <v>14</v>
      </c>
      <c r="Y47" s="608">
        <f t="shared" si="315"/>
        <v>15</v>
      </c>
      <c r="Z47" s="600">
        <f t="shared" si="315"/>
        <v>15</v>
      </c>
      <c r="AA47" s="601">
        <f t="shared" ref="AA47:AD47" si="316">+AA114</f>
        <v>42</v>
      </c>
      <c r="AB47" s="607">
        <f t="shared" si="316"/>
        <v>42</v>
      </c>
      <c r="AC47" s="608">
        <f t="shared" si="316"/>
        <v>41</v>
      </c>
      <c r="AD47" s="600">
        <f t="shared" si="316"/>
        <v>41</v>
      </c>
      <c r="AE47" s="601">
        <f t="shared" ref="AE47:AH47" si="317">+AE114</f>
        <v>41</v>
      </c>
      <c r="AF47" s="607">
        <f t="shared" si="317"/>
        <v>40</v>
      </c>
      <c r="AG47" s="608">
        <f t="shared" si="317"/>
        <v>41</v>
      </c>
      <c r="AH47" s="2113">
        <f t="shared" si="317"/>
        <v>38</v>
      </c>
      <c r="AI47" s="2114">
        <f>+AI114</f>
        <v>36</v>
      </c>
      <c r="AJ47" s="2119">
        <f t="shared" ref="AJ47" si="318">+AJ114</f>
        <v>36</v>
      </c>
      <c r="AK47" s="2120">
        <f t="shared" ref="AK47:AL47" si="319">+AK114</f>
        <v>36</v>
      </c>
      <c r="AL47" s="600">
        <f t="shared" si="319"/>
        <v>37</v>
      </c>
      <c r="AM47" s="601">
        <f>+AM114</f>
        <v>37</v>
      </c>
      <c r="AN47" s="607">
        <f t="shared" ref="AN47:AP47" si="320">+AN114</f>
        <v>38</v>
      </c>
      <c r="AO47" s="608">
        <f t="shared" si="320"/>
        <v>44</v>
      </c>
      <c r="AP47" s="600">
        <f t="shared" si="320"/>
        <v>44</v>
      </c>
      <c r="AQ47" s="601">
        <f>+AQ114</f>
        <v>44</v>
      </c>
      <c r="AR47" s="604">
        <f t="shared" ref="AR47:AR48" si="321">+AQ47</f>
        <v>44</v>
      </c>
      <c r="AS47" s="603">
        <f t="shared" ref="AS47:AS48" si="322">+AR47</f>
        <v>44</v>
      </c>
      <c r="AT47" s="604">
        <f t="shared" ref="AT47:AT48" si="323">+AS47</f>
        <v>44</v>
      </c>
      <c r="AU47" s="604">
        <f t="shared" ref="AU47:AU48" si="324">+AT47</f>
        <v>44</v>
      </c>
      <c r="AV47" s="604">
        <f t="shared" ref="AV47:AV48" si="325">+AU47</f>
        <v>44</v>
      </c>
      <c r="AW47" s="603">
        <f t="shared" ref="AW47:AW48" si="326">+AV47</f>
        <v>44</v>
      </c>
      <c r="AX47" s="604">
        <f t="shared" ref="AX47:AX48" si="327">+AW47</f>
        <v>44</v>
      </c>
      <c r="AY47" s="604">
        <f t="shared" ref="AY47:AY48" si="328">+AX47</f>
        <v>44</v>
      </c>
      <c r="AZ47" s="604">
        <f t="shared" ref="AZ47:AZ48" si="329">+AY47</f>
        <v>44</v>
      </c>
      <c r="BA47" s="603">
        <f t="shared" ref="BA47:BA48" si="330">+AZ47</f>
        <v>44</v>
      </c>
      <c r="BB47" s="379"/>
      <c r="BC47" s="368"/>
      <c r="BD47" s="590">
        <f t="shared" si="274"/>
        <v>22</v>
      </c>
      <c r="BE47" s="590">
        <f t="shared" si="275"/>
        <v>12</v>
      </c>
      <c r="BF47" s="590">
        <f t="shared" si="276"/>
        <v>15</v>
      </c>
      <c r="BG47" s="590">
        <f t="shared" si="277"/>
        <v>20</v>
      </c>
      <c r="BH47" s="590">
        <f t="shared" si="278"/>
        <v>22</v>
      </c>
      <c r="BI47" s="590">
        <f t="shared" si="279"/>
        <v>50</v>
      </c>
      <c r="BJ47" s="590">
        <f t="shared" si="280"/>
        <v>140</v>
      </c>
      <c r="BK47" s="590">
        <f t="shared" si="281"/>
        <v>163</v>
      </c>
      <c r="BL47" s="590">
        <f t="shared" si="282"/>
        <v>146</v>
      </c>
      <c r="BM47" s="590">
        <f t="shared" si="283"/>
        <v>156</v>
      </c>
      <c r="BN47" s="590">
        <f t="shared" si="284"/>
        <v>176</v>
      </c>
      <c r="BO47" s="590">
        <f t="shared" si="285"/>
        <v>176</v>
      </c>
      <c r="BP47" s="590">
        <f t="shared" si="286"/>
        <v>176</v>
      </c>
      <c r="BQ47" s="380"/>
      <c r="BR47" s="1451"/>
      <c r="BS47" s="1451"/>
      <c r="BT47" s="1451"/>
    </row>
    <row r="48" spans="1:73" s="376" customFormat="1" ht="12" customHeight="1">
      <c r="A48" s="373" t="s">
        <v>277</v>
      </c>
      <c r="B48" s="624">
        <f>+B122</f>
        <v>2</v>
      </c>
      <c r="C48" s="624">
        <f t="shared" ref="C48:V48" si="331">+C122</f>
        <v>1</v>
      </c>
      <c r="D48" s="624">
        <f t="shared" si="331"/>
        <v>3</v>
      </c>
      <c r="E48" s="625">
        <f t="shared" si="331"/>
        <v>6</v>
      </c>
      <c r="F48" s="624">
        <f t="shared" si="331"/>
        <v>1</v>
      </c>
      <c r="G48" s="624">
        <f t="shared" si="331"/>
        <v>0</v>
      </c>
      <c r="H48" s="624">
        <f t="shared" si="331"/>
        <v>1</v>
      </c>
      <c r="I48" s="625">
        <f t="shared" si="331"/>
        <v>0</v>
      </c>
      <c r="J48" s="624">
        <f t="shared" si="331"/>
        <v>1</v>
      </c>
      <c r="K48" s="624">
        <f t="shared" si="331"/>
        <v>1</v>
      </c>
      <c r="L48" s="624">
        <f t="shared" si="331"/>
        <v>2</v>
      </c>
      <c r="M48" s="625">
        <f t="shared" si="331"/>
        <v>2</v>
      </c>
      <c r="N48" s="624">
        <f t="shared" si="331"/>
        <v>2</v>
      </c>
      <c r="O48" s="624">
        <f t="shared" si="331"/>
        <v>1</v>
      </c>
      <c r="P48" s="624">
        <f t="shared" si="331"/>
        <v>1</v>
      </c>
      <c r="Q48" s="625">
        <f t="shared" si="331"/>
        <v>2</v>
      </c>
      <c r="R48" s="607">
        <f t="shared" si="331"/>
        <v>2</v>
      </c>
      <c r="S48" s="607">
        <f t="shared" si="331"/>
        <v>1</v>
      </c>
      <c r="T48" s="607">
        <f t="shared" si="331"/>
        <v>2</v>
      </c>
      <c r="U48" s="608">
        <f t="shared" si="331"/>
        <v>1</v>
      </c>
      <c r="V48" s="600">
        <f t="shared" si="331"/>
        <v>2</v>
      </c>
      <c r="W48" s="601">
        <f t="shared" ref="W48:Z48" si="332">+W122</f>
        <v>36</v>
      </c>
      <c r="X48" s="607">
        <f t="shared" si="332"/>
        <v>54</v>
      </c>
      <c r="Y48" s="608">
        <f t="shared" si="332"/>
        <v>54</v>
      </c>
      <c r="Z48" s="600">
        <f t="shared" si="332"/>
        <v>53</v>
      </c>
      <c r="AA48" s="601">
        <f t="shared" ref="AA48:AD48" si="333">+AA122</f>
        <v>121</v>
      </c>
      <c r="AB48" s="607">
        <f t="shared" si="333"/>
        <v>121</v>
      </c>
      <c r="AC48" s="608">
        <f t="shared" si="333"/>
        <v>121</v>
      </c>
      <c r="AD48" s="600">
        <f t="shared" si="333"/>
        <v>121</v>
      </c>
      <c r="AE48" s="601">
        <f t="shared" ref="AE48:AH48" si="334">+AE122</f>
        <v>121</v>
      </c>
      <c r="AF48" s="607">
        <f t="shared" si="334"/>
        <v>120</v>
      </c>
      <c r="AG48" s="608">
        <f t="shared" si="334"/>
        <v>121</v>
      </c>
      <c r="AH48" s="2113">
        <f t="shared" si="334"/>
        <v>120</v>
      </c>
      <c r="AI48" s="2114">
        <f t="shared" ref="AI48:AJ48" si="335">+AI122</f>
        <v>120</v>
      </c>
      <c r="AJ48" s="2119">
        <f t="shared" si="335"/>
        <v>120</v>
      </c>
      <c r="AK48" s="2120">
        <f t="shared" ref="AK48:AN48" si="336">+AK122</f>
        <v>123</v>
      </c>
      <c r="AL48" s="600">
        <f t="shared" si="336"/>
        <v>120</v>
      </c>
      <c r="AM48" s="601">
        <f t="shared" si="336"/>
        <v>120</v>
      </c>
      <c r="AN48" s="607">
        <f t="shared" si="336"/>
        <v>120</v>
      </c>
      <c r="AO48" s="608">
        <f t="shared" ref="AO48:AQ48" si="337">+AO122</f>
        <v>121</v>
      </c>
      <c r="AP48" s="600">
        <f t="shared" si="337"/>
        <v>121</v>
      </c>
      <c r="AQ48" s="601">
        <f t="shared" si="337"/>
        <v>121</v>
      </c>
      <c r="AR48" s="604">
        <f t="shared" si="321"/>
        <v>121</v>
      </c>
      <c r="AS48" s="603">
        <f t="shared" si="322"/>
        <v>121</v>
      </c>
      <c r="AT48" s="604">
        <f t="shared" si="323"/>
        <v>121</v>
      </c>
      <c r="AU48" s="604">
        <f t="shared" si="324"/>
        <v>121</v>
      </c>
      <c r="AV48" s="604">
        <f t="shared" si="325"/>
        <v>121</v>
      </c>
      <c r="AW48" s="603">
        <f t="shared" si="326"/>
        <v>121</v>
      </c>
      <c r="AX48" s="604">
        <f t="shared" si="327"/>
        <v>121</v>
      </c>
      <c r="AY48" s="604">
        <f t="shared" si="328"/>
        <v>121</v>
      </c>
      <c r="AZ48" s="604">
        <f t="shared" si="329"/>
        <v>121</v>
      </c>
      <c r="BA48" s="603">
        <f t="shared" si="330"/>
        <v>121</v>
      </c>
      <c r="BB48" s="379"/>
      <c r="BC48" s="368"/>
      <c r="BD48" s="590">
        <f t="shared" si="274"/>
        <v>12</v>
      </c>
      <c r="BE48" s="590">
        <f t="shared" si="275"/>
        <v>2</v>
      </c>
      <c r="BF48" s="590">
        <f t="shared" si="276"/>
        <v>6</v>
      </c>
      <c r="BG48" s="590">
        <f t="shared" si="277"/>
        <v>6</v>
      </c>
      <c r="BH48" s="590">
        <f t="shared" si="278"/>
        <v>6</v>
      </c>
      <c r="BI48" s="590">
        <f t="shared" si="279"/>
        <v>146</v>
      </c>
      <c r="BJ48" s="590">
        <f t="shared" si="280"/>
        <v>416</v>
      </c>
      <c r="BK48" s="590">
        <f t="shared" si="281"/>
        <v>483</v>
      </c>
      <c r="BL48" s="590">
        <f t="shared" si="282"/>
        <v>483</v>
      </c>
      <c r="BM48" s="590">
        <f t="shared" si="283"/>
        <v>481</v>
      </c>
      <c r="BN48" s="590">
        <f t="shared" si="284"/>
        <v>484</v>
      </c>
      <c r="BO48" s="590">
        <f t="shared" si="285"/>
        <v>484</v>
      </c>
      <c r="BP48" s="590">
        <f t="shared" si="286"/>
        <v>484</v>
      </c>
      <c r="BQ48" s="380"/>
      <c r="BR48" s="1451"/>
      <c r="BS48" s="1451"/>
      <c r="BT48" s="1451"/>
    </row>
    <row r="49" spans="1:72" s="332" customFormat="1" ht="12" customHeight="1">
      <c r="A49" s="371" t="s">
        <v>279</v>
      </c>
      <c r="B49" s="2121">
        <f t="shared" ref="B49:C49" si="338">SUM(B50:B51)</f>
        <v>0</v>
      </c>
      <c r="C49" s="2121">
        <f t="shared" si="338"/>
        <v>0</v>
      </c>
      <c r="D49" s="2121">
        <f>SUM(D50:D51)</f>
        <v>1</v>
      </c>
      <c r="E49" s="2122">
        <f>SUM(E50:E51)</f>
        <v>0</v>
      </c>
      <c r="F49" s="2121">
        <f t="shared" ref="F49:G49" si="339">SUM(F50:F51)</f>
        <v>0</v>
      </c>
      <c r="G49" s="2121">
        <f t="shared" si="339"/>
        <v>0</v>
      </c>
      <c r="H49" s="2121">
        <f>SUM(H50:H51)</f>
        <v>0</v>
      </c>
      <c r="I49" s="2122">
        <f>SUM(I50:I51)</f>
        <v>0</v>
      </c>
      <c r="J49" s="2121">
        <f t="shared" ref="J49:K49" si="340">SUM(J50:J51)</f>
        <v>0</v>
      </c>
      <c r="K49" s="2121">
        <f t="shared" si="340"/>
        <v>2</v>
      </c>
      <c r="L49" s="2121">
        <f>SUM(L50:L51)</f>
        <v>0</v>
      </c>
      <c r="M49" s="2122">
        <f>SUM(M50:M51)</f>
        <v>79</v>
      </c>
      <c r="N49" s="2121">
        <f t="shared" ref="N49:O49" si="341">SUM(N50:N51)</f>
        <v>0</v>
      </c>
      <c r="O49" s="2121">
        <f t="shared" si="341"/>
        <v>0</v>
      </c>
      <c r="P49" s="2121">
        <f>SUM(P50:P51)</f>
        <v>0</v>
      </c>
      <c r="Q49" s="2122">
        <f>SUM(Q50:Q51)</f>
        <v>1</v>
      </c>
      <c r="R49" s="2121">
        <f t="shared" ref="R49:S49" si="342">SUM(R50:R51)</f>
        <v>0</v>
      </c>
      <c r="S49" s="2121">
        <f t="shared" si="342"/>
        <v>0</v>
      </c>
      <c r="T49" s="2121">
        <f>SUM(T50:T51)</f>
        <v>16</v>
      </c>
      <c r="U49" s="2122">
        <f>SUM(U50:U51)</f>
        <v>13</v>
      </c>
      <c r="V49" s="2121">
        <f t="shared" ref="V49:W49" si="343">SUM(V50:V51)</f>
        <v>5</v>
      </c>
      <c r="W49" s="2121">
        <f t="shared" si="343"/>
        <v>30</v>
      </c>
      <c r="X49" s="2121">
        <f>SUM(X50:X51)</f>
        <v>1</v>
      </c>
      <c r="Y49" s="2122">
        <f>SUM(Y50:Y51)</f>
        <v>0</v>
      </c>
      <c r="Z49" s="2121">
        <f t="shared" ref="Z49" si="344">SUM(Z50:Z51)</f>
        <v>12</v>
      </c>
      <c r="AA49" s="2121">
        <f t="shared" ref="AA49" si="345">SUM(AA50:AA51)</f>
        <v>57</v>
      </c>
      <c r="AB49" s="2121">
        <f>SUM(AB50:AB51)</f>
        <v>0</v>
      </c>
      <c r="AC49" s="2122">
        <f>SUM(AC50:AC51)</f>
        <v>0</v>
      </c>
      <c r="AD49" s="2121">
        <f t="shared" ref="AD49" si="346">SUM(AD50:AD51)</f>
        <v>2</v>
      </c>
      <c r="AE49" s="2121">
        <f t="shared" ref="AE49" si="347">SUM(AE50:AE51)</f>
        <v>1</v>
      </c>
      <c r="AF49" s="2121">
        <f>SUM(AF50:AF51)</f>
        <v>1</v>
      </c>
      <c r="AG49" s="2122">
        <f>SUM(AG50:AG51)</f>
        <v>0</v>
      </c>
      <c r="AH49" s="2121">
        <f t="shared" ref="AH49" si="348">SUM(AH50:AH51)</f>
        <v>0</v>
      </c>
      <c r="AI49" s="2121">
        <f t="shared" ref="AI49" si="349">SUM(AI50:AI51)</f>
        <v>0</v>
      </c>
      <c r="AJ49" s="2121">
        <f>SUM(AJ50:AJ51)</f>
        <v>0</v>
      </c>
      <c r="AK49" s="2122">
        <f>SUM(AK50:AK51)</f>
        <v>228</v>
      </c>
      <c r="AL49" s="2121">
        <f t="shared" ref="AL49:AM49" si="350">SUM(AL50:AL51)</f>
        <v>9</v>
      </c>
      <c r="AM49" s="2121">
        <f t="shared" si="350"/>
        <v>4</v>
      </c>
      <c r="AN49" s="2121">
        <f>SUM(AN50:AN51)</f>
        <v>3</v>
      </c>
      <c r="AO49" s="2122">
        <f>SUM(AO50:AO51)</f>
        <v>1</v>
      </c>
      <c r="AP49" s="2121">
        <f t="shared" ref="AP49:AQ49" si="351">SUM(AP50:AP51)</f>
        <v>0</v>
      </c>
      <c r="AQ49" s="2121">
        <f t="shared" si="351"/>
        <v>0</v>
      </c>
      <c r="AR49" s="597">
        <f t="shared" ref="AR49:AS49" si="352">+SUM(AR50:AR51)</f>
        <v>0</v>
      </c>
      <c r="AS49" s="599">
        <f t="shared" si="352"/>
        <v>0</v>
      </c>
      <c r="AT49" s="597">
        <f t="shared" ref="AT49:AW49" si="353">+SUM(AT50:AT51)</f>
        <v>0</v>
      </c>
      <c r="AU49" s="597">
        <f t="shared" si="353"/>
        <v>0</v>
      </c>
      <c r="AV49" s="597">
        <f t="shared" si="353"/>
        <v>0</v>
      </c>
      <c r="AW49" s="599">
        <f t="shared" si="353"/>
        <v>0</v>
      </c>
      <c r="AX49" s="597">
        <f t="shared" ref="AX49:BA49" si="354">+SUM(AX50:AX51)</f>
        <v>0</v>
      </c>
      <c r="AY49" s="597">
        <f t="shared" si="354"/>
        <v>0</v>
      </c>
      <c r="AZ49" s="597">
        <f t="shared" si="354"/>
        <v>0</v>
      </c>
      <c r="BA49" s="599">
        <f t="shared" si="354"/>
        <v>0</v>
      </c>
      <c r="BB49" s="323"/>
      <c r="BC49" s="372"/>
      <c r="BD49" s="591">
        <f t="shared" si="274"/>
        <v>1</v>
      </c>
      <c r="BE49" s="591">
        <f t="shared" si="275"/>
        <v>0</v>
      </c>
      <c r="BF49" s="591">
        <f t="shared" si="276"/>
        <v>81</v>
      </c>
      <c r="BG49" s="591">
        <f t="shared" si="277"/>
        <v>1</v>
      </c>
      <c r="BH49" s="591">
        <f t="shared" si="278"/>
        <v>29</v>
      </c>
      <c r="BI49" s="591">
        <f t="shared" si="279"/>
        <v>36</v>
      </c>
      <c r="BJ49" s="591">
        <f t="shared" si="280"/>
        <v>69</v>
      </c>
      <c r="BK49" s="591">
        <f t="shared" si="281"/>
        <v>4</v>
      </c>
      <c r="BL49" s="591">
        <f t="shared" si="282"/>
        <v>228</v>
      </c>
      <c r="BM49" s="591">
        <f t="shared" si="283"/>
        <v>17</v>
      </c>
      <c r="BN49" s="591">
        <f t="shared" si="284"/>
        <v>0</v>
      </c>
      <c r="BO49" s="591">
        <f t="shared" si="285"/>
        <v>0</v>
      </c>
      <c r="BP49" s="591">
        <f t="shared" si="286"/>
        <v>0</v>
      </c>
      <c r="BQ49" s="370"/>
      <c r="BR49" s="1449"/>
      <c r="BS49" s="1449"/>
      <c r="BT49" s="1449"/>
    </row>
    <row r="50" spans="1:72" s="376" customFormat="1" ht="12" customHeight="1">
      <c r="A50" s="373" t="s">
        <v>59</v>
      </c>
      <c r="B50" s="601">
        <f t="shared" ref="B50:E50" si="355">+B154</f>
        <v>0</v>
      </c>
      <c r="C50" s="601">
        <f t="shared" si="355"/>
        <v>0</v>
      </c>
      <c r="D50" s="601">
        <f t="shared" si="355"/>
        <v>0</v>
      </c>
      <c r="E50" s="602">
        <f t="shared" si="355"/>
        <v>0</v>
      </c>
      <c r="F50" s="601">
        <f t="shared" ref="F50:V50" si="356">+F154</f>
        <v>0</v>
      </c>
      <c r="G50" s="601">
        <f t="shared" si="356"/>
        <v>0</v>
      </c>
      <c r="H50" s="601">
        <f t="shared" si="356"/>
        <v>0</v>
      </c>
      <c r="I50" s="602">
        <f t="shared" si="356"/>
        <v>0</v>
      </c>
      <c r="J50" s="601">
        <f t="shared" ref="J50:M50" si="357">+J154</f>
        <v>0</v>
      </c>
      <c r="K50" s="601">
        <f t="shared" si="357"/>
        <v>0</v>
      </c>
      <c r="L50" s="601">
        <f t="shared" si="357"/>
        <v>0</v>
      </c>
      <c r="M50" s="602">
        <f t="shared" si="357"/>
        <v>0</v>
      </c>
      <c r="N50" s="601">
        <f t="shared" si="356"/>
        <v>0</v>
      </c>
      <c r="O50" s="601">
        <f t="shared" si="356"/>
        <v>0</v>
      </c>
      <c r="P50" s="601">
        <f t="shared" si="356"/>
        <v>0</v>
      </c>
      <c r="Q50" s="602">
        <f t="shared" si="356"/>
        <v>0</v>
      </c>
      <c r="R50" s="601">
        <f t="shared" ref="R50:U50" si="358">+R154</f>
        <v>0</v>
      </c>
      <c r="S50" s="601">
        <f t="shared" si="358"/>
        <v>0</v>
      </c>
      <c r="T50" s="601">
        <f t="shared" si="358"/>
        <v>0</v>
      </c>
      <c r="U50" s="602">
        <f t="shared" si="358"/>
        <v>0</v>
      </c>
      <c r="V50" s="601">
        <f t="shared" si="356"/>
        <v>0</v>
      </c>
      <c r="W50" s="601">
        <f t="shared" ref="W50:Y50" si="359">+W154</f>
        <v>0</v>
      </c>
      <c r="X50" s="601">
        <f t="shared" si="359"/>
        <v>0</v>
      </c>
      <c r="Y50" s="602">
        <f t="shared" si="359"/>
        <v>0</v>
      </c>
      <c r="Z50" s="2114">
        <f>+Z123</f>
        <v>0</v>
      </c>
      <c r="AA50" s="2114">
        <f t="shared" ref="AA50:AC50" si="360">+AA123</f>
        <v>0</v>
      </c>
      <c r="AB50" s="2114">
        <f t="shared" si="360"/>
        <v>0</v>
      </c>
      <c r="AC50" s="2123">
        <f t="shared" si="360"/>
        <v>0</v>
      </c>
      <c r="AD50" s="2114">
        <f>+AD123</f>
        <v>0</v>
      </c>
      <c r="AE50" s="2114">
        <f t="shared" ref="AE50:AG50" si="361">+AE123</f>
        <v>0</v>
      </c>
      <c r="AF50" s="2114">
        <f t="shared" si="361"/>
        <v>0</v>
      </c>
      <c r="AG50" s="2123">
        <f t="shared" si="361"/>
        <v>0</v>
      </c>
      <c r="AH50" s="2114">
        <f>+AH123</f>
        <v>0</v>
      </c>
      <c r="AI50" s="2114">
        <f t="shared" ref="AI50:AK50" si="362">+AI123</f>
        <v>0</v>
      </c>
      <c r="AJ50" s="2114">
        <f t="shared" si="362"/>
        <v>0</v>
      </c>
      <c r="AK50" s="2123">
        <f t="shared" si="362"/>
        <v>223</v>
      </c>
      <c r="AL50" s="2114">
        <f>+AL123</f>
        <v>9</v>
      </c>
      <c r="AM50" s="2114">
        <f t="shared" ref="AM50:AO50" si="363">+AM123</f>
        <v>4</v>
      </c>
      <c r="AN50" s="2114">
        <f t="shared" si="363"/>
        <v>1</v>
      </c>
      <c r="AO50" s="2123">
        <f t="shared" si="363"/>
        <v>1</v>
      </c>
      <c r="AP50" s="2114">
        <f>+AP123</f>
        <v>0</v>
      </c>
      <c r="AQ50" s="2114">
        <f t="shared" ref="AQ50" si="364">+AQ123</f>
        <v>0</v>
      </c>
      <c r="AR50" s="609">
        <f t="shared" ref="AR50:AS50" si="365">+AR154</f>
        <v>0</v>
      </c>
      <c r="AS50" s="603">
        <f t="shared" si="365"/>
        <v>0</v>
      </c>
      <c r="AT50" s="609">
        <f t="shared" ref="AT50:AW50" si="366">+AT154</f>
        <v>0</v>
      </c>
      <c r="AU50" s="609">
        <f t="shared" si="366"/>
        <v>0</v>
      </c>
      <c r="AV50" s="609">
        <f t="shared" si="366"/>
        <v>0</v>
      </c>
      <c r="AW50" s="603">
        <f t="shared" si="366"/>
        <v>0</v>
      </c>
      <c r="AX50" s="609">
        <f t="shared" ref="AX50:BA50" si="367">+AX154</f>
        <v>0</v>
      </c>
      <c r="AY50" s="609">
        <f t="shared" si="367"/>
        <v>0</v>
      </c>
      <c r="AZ50" s="609">
        <f t="shared" si="367"/>
        <v>0</v>
      </c>
      <c r="BA50" s="603">
        <f t="shared" si="367"/>
        <v>0</v>
      </c>
      <c r="BB50" s="374"/>
      <c r="BC50" s="368"/>
      <c r="BD50" s="590">
        <f t="shared" si="274"/>
        <v>0</v>
      </c>
      <c r="BE50" s="590">
        <f t="shared" si="275"/>
        <v>0</v>
      </c>
      <c r="BF50" s="590">
        <f t="shared" si="276"/>
        <v>0</v>
      </c>
      <c r="BG50" s="590">
        <f t="shared" si="277"/>
        <v>0</v>
      </c>
      <c r="BH50" s="590">
        <f t="shared" si="278"/>
        <v>0</v>
      </c>
      <c r="BI50" s="590">
        <f t="shared" si="279"/>
        <v>0</v>
      </c>
      <c r="BJ50" s="590">
        <f t="shared" si="280"/>
        <v>0</v>
      </c>
      <c r="BK50" s="590">
        <f t="shared" si="281"/>
        <v>0</v>
      </c>
      <c r="BL50" s="590">
        <f t="shared" si="282"/>
        <v>223</v>
      </c>
      <c r="BM50" s="590">
        <f t="shared" si="283"/>
        <v>15</v>
      </c>
      <c r="BN50" s="590">
        <f t="shared" si="284"/>
        <v>0</v>
      </c>
      <c r="BO50" s="590">
        <f t="shared" si="285"/>
        <v>0</v>
      </c>
      <c r="BP50" s="590">
        <f t="shared" si="286"/>
        <v>0</v>
      </c>
      <c r="BQ50" s="375"/>
      <c r="BR50" s="1451"/>
      <c r="BS50" s="1451"/>
      <c r="BT50" s="1451"/>
    </row>
    <row r="51" spans="1:72" s="376" customFormat="1" ht="12" customHeight="1">
      <c r="A51" s="373" t="s">
        <v>277</v>
      </c>
      <c r="B51" s="601">
        <f t="shared" ref="B51:E51" si="368">+B158</f>
        <v>0</v>
      </c>
      <c r="C51" s="601">
        <f t="shared" si="368"/>
        <v>0</v>
      </c>
      <c r="D51" s="601">
        <f t="shared" si="368"/>
        <v>1</v>
      </c>
      <c r="E51" s="602">
        <f t="shared" si="368"/>
        <v>0</v>
      </c>
      <c r="F51" s="601">
        <f t="shared" ref="F51:V51" si="369">+F158</f>
        <v>0</v>
      </c>
      <c r="G51" s="601">
        <f t="shared" si="369"/>
        <v>0</v>
      </c>
      <c r="H51" s="601">
        <f t="shared" si="369"/>
        <v>0</v>
      </c>
      <c r="I51" s="602">
        <f t="shared" si="369"/>
        <v>0</v>
      </c>
      <c r="J51" s="601">
        <f t="shared" ref="J51:M51" si="370">+J158</f>
        <v>0</v>
      </c>
      <c r="K51" s="601">
        <f t="shared" si="370"/>
        <v>2</v>
      </c>
      <c r="L51" s="601">
        <f t="shared" si="370"/>
        <v>0</v>
      </c>
      <c r="M51" s="602">
        <f t="shared" si="370"/>
        <v>79</v>
      </c>
      <c r="N51" s="601">
        <f t="shared" si="369"/>
        <v>0</v>
      </c>
      <c r="O51" s="601">
        <f t="shared" si="369"/>
        <v>0</v>
      </c>
      <c r="P51" s="601">
        <f t="shared" si="369"/>
        <v>0</v>
      </c>
      <c r="Q51" s="602">
        <f t="shared" si="369"/>
        <v>1</v>
      </c>
      <c r="R51" s="601">
        <f t="shared" ref="R51:U51" si="371">+R158</f>
        <v>0</v>
      </c>
      <c r="S51" s="601">
        <f t="shared" si="371"/>
        <v>0</v>
      </c>
      <c r="T51" s="601">
        <f t="shared" si="371"/>
        <v>16</v>
      </c>
      <c r="U51" s="602">
        <f t="shared" si="371"/>
        <v>13</v>
      </c>
      <c r="V51" s="601">
        <f t="shared" si="369"/>
        <v>5</v>
      </c>
      <c r="W51" s="601">
        <f t="shared" ref="W51:AC51" si="372">+W158</f>
        <v>30</v>
      </c>
      <c r="X51" s="601">
        <f t="shared" si="372"/>
        <v>1</v>
      </c>
      <c r="Y51" s="602">
        <f t="shared" si="372"/>
        <v>0</v>
      </c>
      <c r="Z51" s="2114">
        <f t="shared" si="372"/>
        <v>12</v>
      </c>
      <c r="AA51" s="2114">
        <f t="shared" si="372"/>
        <v>57</v>
      </c>
      <c r="AB51" s="2114">
        <f t="shared" si="372"/>
        <v>0</v>
      </c>
      <c r="AC51" s="2123">
        <f t="shared" si="372"/>
        <v>0</v>
      </c>
      <c r="AD51" s="2114">
        <f t="shared" ref="AD51:AG51" si="373">+AD158</f>
        <v>2</v>
      </c>
      <c r="AE51" s="2114">
        <f t="shared" si="373"/>
        <v>1</v>
      </c>
      <c r="AF51" s="2114">
        <f t="shared" si="373"/>
        <v>1</v>
      </c>
      <c r="AG51" s="2123">
        <f t="shared" si="373"/>
        <v>0</v>
      </c>
      <c r="AH51" s="2114">
        <f t="shared" ref="AH51:AK51" si="374">+AH158</f>
        <v>0</v>
      </c>
      <c r="AI51" s="2114">
        <f t="shared" si="374"/>
        <v>0</v>
      </c>
      <c r="AJ51" s="2114">
        <f t="shared" si="374"/>
        <v>0</v>
      </c>
      <c r="AK51" s="2123">
        <f t="shared" si="374"/>
        <v>5</v>
      </c>
      <c r="AL51" s="2114">
        <f t="shared" ref="AL51:AO51" si="375">+AL158</f>
        <v>0</v>
      </c>
      <c r="AM51" s="2114">
        <f t="shared" si="375"/>
        <v>0</v>
      </c>
      <c r="AN51" s="2114">
        <f t="shared" si="375"/>
        <v>2</v>
      </c>
      <c r="AO51" s="2123">
        <f t="shared" si="375"/>
        <v>0</v>
      </c>
      <c r="AP51" s="2114">
        <f t="shared" ref="AP51:AQ51" si="376">+AP158</f>
        <v>0</v>
      </c>
      <c r="AQ51" s="2114">
        <f t="shared" si="376"/>
        <v>0</v>
      </c>
      <c r="AR51" s="609">
        <f t="shared" ref="AR51:AS51" si="377">+AR158</f>
        <v>0</v>
      </c>
      <c r="AS51" s="1327">
        <f t="shared" si="377"/>
        <v>0</v>
      </c>
      <c r="AT51" s="609">
        <f t="shared" ref="AT51:AW51" si="378">+AT158</f>
        <v>0</v>
      </c>
      <c r="AU51" s="609">
        <f t="shared" si="378"/>
        <v>0</v>
      </c>
      <c r="AV51" s="609">
        <f t="shared" si="378"/>
        <v>0</v>
      </c>
      <c r="AW51" s="2104">
        <f t="shared" si="378"/>
        <v>0</v>
      </c>
      <c r="AX51" s="609">
        <f t="shared" ref="AX51:BA51" si="379">+AX158</f>
        <v>0</v>
      </c>
      <c r="AY51" s="609">
        <f t="shared" si="379"/>
        <v>0</v>
      </c>
      <c r="AZ51" s="609">
        <f t="shared" si="379"/>
        <v>0</v>
      </c>
      <c r="BA51" s="1327">
        <f t="shared" si="379"/>
        <v>0</v>
      </c>
      <c r="BB51" s="374"/>
      <c r="BC51" s="368"/>
      <c r="BD51" s="590">
        <f t="shared" si="274"/>
        <v>1</v>
      </c>
      <c r="BE51" s="590">
        <f t="shared" si="275"/>
        <v>0</v>
      </c>
      <c r="BF51" s="590">
        <f t="shared" si="276"/>
        <v>81</v>
      </c>
      <c r="BG51" s="590">
        <f t="shared" si="277"/>
        <v>1</v>
      </c>
      <c r="BH51" s="590">
        <f t="shared" si="278"/>
        <v>29</v>
      </c>
      <c r="BI51" s="590">
        <f t="shared" si="279"/>
        <v>36</v>
      </c>
      <c r="BJ51" s="590">
        <f t="shared" si="280"/>
        <v>69</v>
      </c>
      <c r="BK51" s="590">
        <f t="shared" si="281"/>
        <v>4</v>
      </c>
      <c r="BL51" s="590">
        <f t="shared" si="282"/>
        <v>5</v>
      </c>
      <c r="BM51" s="590">
        <f t="shared" si="283"/>
        <v>2</v>
      </c>
      <c r="BN51" s="590">
        <f t="shared" si="284"/>
        <v>0</v>
      </c>
      <c r="BO51" s="590">
        <f t="shared" si="285"/>
        <v>0</v>
      </c>
      <c r="BP51" s="590">
        <f t="shared" si="286"/>
        <v>0</v>
      </c>
      <c r="BQ51" s="375"/>
      <c r="BR51" s="1451"/>
      <c r="BS51" s="1451"/>
      <c r="BT51" s="1451"/>
    </row>
    <row r="52" spans="1:72" s="376" customFormat="1" ht="12" customHeight="1">
      <c r="A52" s="947"/>
      <c r="B52" s="601"/>
      <c r="C52" s="601"/>
      <c r="D52" s="601"/>
      <c r="E52" s="602"/>
      <c r="F52" s="601"/>
      <c r="G52" s="601"/>
      <c r="H52" s="601"/>
      <c r="I52" s="602"/>
      <c r="J52" s="601"/>
      <c r="K52" s="601"/>
      <c r="L52" s="601"/>
      <c r="M52" s="602"/>
      <c r="N52" s="601"/>
      <c r="O52" s="601"/>
      <c r="P52" s="601"/>
      <c r="Q52" s="602"/>
      <c r="R52" s="601"/>
      <c r="S52" s="601"/>
      <c r="T52" s="601"/>
      <c r="U52" s="602"/>
      <c r="V52" s="601"/>
      <c r="W52" s="601"/>
      <c r="X52" s="601"/>
      <c r="Y52" s="602"/>
      <c r="Z52" s="2124"/>
      <c r="AA52" s="2114"/>
      <c r="AB52" s="2114"/>
      <c r="AC52" s="2125"/>
      <c r="AD52" s="2124"/>
      <c r="AE52" s="2114"/>
      <c r="AF52" s="2114"/>
      <c r="AG52" s="2125"/>
      <c r="AH52" s="2124"/>
      <c r="AI52" s="2114"/>
      <c r="AJ52" s="2114"/>
      <c r="AK52" s="2125"/>
      <c r="AL52" s="2124"/>
      <c r="AM52" s="2114"/>
      <c r="AN52" s="2114"/>
      <c r="AO52" s="2125"/>
      <c r="AP52" s="2124"/>
      <c r="AQ52" s="2114"/>
      <c r="AR52" s="609"/>
      <c r="AS52" s="1327"/>
      <c r="AT52" s="609"/>
      <c r="AU52" s="609"/>
      <c r="AV52" s="609"/>
      <c r="AW52" s="1327"/>
      <c r="AX52" s="609"/>
      <c r="AY52" s="609"/>
      <c r="AZ52" s="609"/>
      <c r="BA52" s="1327"/>
      <c r="BB52" s="374"/>
      <c r="BC52" s="368"/>
      <c r="BD52" s="590"/>
      <c r="BE52" s="590"/>
      <c r="BF52" s="590"/>
      <c r="BG52" s="590"/>
      <c r="BH52" s="590"/>
      <c r="BI52" s="590"/>
      <c r="BJ52" s="590"/>
      <c r="BK52" s="590"/>
      <c r="BL52" s="590"/>
      <c r="BM52" s="590"/>
      <c r="BN52" s="590"/>
      <c r="BO52" s="590"/>
      <c r="BP52" s="590"/>
      <c r="BQ52" s="375"/>
      <c r="BR52" s="1451"/>
      <c r="BS52" s="1451"/>
      <c r="BT52" s="1451"/>
    </row>
    <row r="53" spans="1:72" s="332" customFormat="1" ht="12" customHeight="1">
      <c r="A53" s="940" t="s">
        <v>727</v>
      </c>
      <c r="B53" s="2109">
        <f>+B162</f>
        <v>0</v>
      </c>
      <c r="C53" s="2109">
        <f t="shared" ref="C53:E53" si="380">+C162</f>
        <v>0</v>
      </c>
      <c r="D53" s="2109">
        <f t="shared" si="380"/>
        <v>0</v>
      </c>
      <c r="E53" s="2110">
        <f t="shared" si="380"/>
        <v>0</v>
      </c>
      <c r="F53" s="2109">
        <f>+F162</f>
        <v>0</v>
      </c>
      <c r="G53" s="2109">
        <f t="shared" ref="G53:I53" si="381">+G162</f>
        <v>0</v>
      </c>
      <c r="H53" s="2109">
        <f t="shared" si="381"/>
        <v>0</v>
      </c>
      <c r="I53" s="2110">
        <f t="shared" si="381"/>
        <v>0</v>
      </c>
      <c r="J53" s="2109">
        <f>+J162</f>
        <v>0</v>
      </c>
      <c r="K53" s="2109">
        <f t="shared" ref="K53:M53" si="382">+K162</f>
        <v>0</v>
      </c>
      <c r="L53" s="2109">
        <f t="shared" si="382"/>
        <v>0</v>
      </c>
      <c r="M53" s="2110">
        <f t="shared" si="382"/>
        <v>0</v>
      </c>
      <c r="N53" s="2109">
        <f>+N162</f>
        <v>0</v>
      </c>
      <c r="O53" s="2109">
        <f t="shared" ref="O53:Q53" si="383">+O162</f>
        <v>0</v>
      </c>
      <c r="P53" s="2109">
        <f t="shared" si="383"/>
        <v>0</v>
      </c>
      <c r="Q53" s="2110">
        <f t="shared" si="383"/>
        <v>0</v>
      </c>
      <c r="R53" s="2109">
        <f>+R162</f>
        <v>0</v>
      </c>
      <c r="S53" s="2109">
        <f t="shared" ref="S53:U53" si="384">+S162</f>
        <v>0</v>
      </c>
      <c r="T53" s="2109">
        <f t="shared" si="384"/>
        <v>0</v>
      </c>
      <c r="U53" s="2110">
        <f t="shared" si="384"/>
        <v>0</v>
      </c>
      <c r="V53" s="2109">
        <f>+V162</f>
        <v>0</v>
      </c>
      <c r="W53" s="2109">
        <f t="shared" ref="W53:Y53" si="385">+W162</f>
        <v>0</v>
      </c>
      <c r="X53" s="2109">
        <f t="shared" si="385"/>
        <v>0</v>
      </c>
      <c r="Y53" s="2110">
        <f t="shared" si="385"/>
        <v>0</v>
      </c>
      <c r="Z53" s="2109">
        <f>+Z162</f>
        <v>0</v>
      </c>
      <c r="AA53" s="2109">
        <f t="shared" ref="AA53:AC53" si="386">+AA162</f>
        <v>0</v>
      </c>
      <c r="AB53" s="2109">
        <f t="shared" si="386"/>
        <v>0</v>
      </c>
      <c r="AC53" s="2110">
        <f t="shared" si="386"/>
        <v>0</v>
      </c>
      <c r="AD53" s="2109">
        <f>+AD162</f>
        <v>0</v>
      </c>
      <c r="AE53" s="2109">
        <f t="shared" ref="AE53:AG53" si="387">+AE162</f>
        <v>0</v>
      </c>
      <c r="AF53" s="2109">
        <f t="shared" si="387"/>
        <v>0</v>
      </c>
      <c r="AG53" s="2110">
        <f t="shared" si="387"/>
        <v>0</v>
      </c>
      <c r="AH53" s="2109">
        <f>+AH162</f>
        <v>0</v>
      </c>
      <c r="AI53" s="2109">
        <f t="shared" ref="AI53:AK53" si="388">+AI162</f>
        <v>0</v>
      </c>
      <c r="AJ53" s="2109">
        <f t="shared" si="388"/>
        <v>0</v>
      </c>
      <c r="AK53" s="2110">
        <f t="shared" si="388"/>
        <v>0</v>
      </c>
      <c r="AL53" s="2109">
        <f>+AL162</f>
        <v>5</v>
      </c>
      <c r="AM53" s="2109">
        <f t="shared" ref="AM53:AO53" si="389">+AM162</f>
        <v>8</v>
      </c>
      <c r="AN53" s="2109">
        <f t="shared" si="389"/>
        <v>-7</v>
      </c>
      <c r="AO53" s="2110">
        <f t="shared" si="389"/>
        <v>21</v>
      </c>
      <c r="AP53" s="2109">
        <f>+AP162</f>
        <v>16</v>
      </c>
      <c r="AQ53" s="2109">
        <f t="shared" ref="AQ53" si="390">+AQ162</f>
        <v>8</v>
      </c>
      <c r="AR53" s="612">
        <f t="shared" ref="AR53:AS53" si="391">+AR162</f>
        <v>0</v>
      </c>
      <c r="AS53" s="1328">
        <f t="shared" si="391"/>
        <v>0</v>
      </c>
      <c r="AT53" s="612">
        <f t="shared" ref="AT53:AW53" si="392">+AT162</f>
        <v>0</v>
      </c>
      <c r="AU53" s="612">
        <f t="shared" si="392"/>
        <v>0</v>
      </c>
      <c r="AV53" s="612">
        <f t="shared" si="392"/>
        <v>0</v>
      </c>
      <c r="AW53" s="1328">
        <f t="shared" si="392"/>
        <v>0</v>
      </c>
      <c r="AX53" s="612">
        <f t="shared" ref="AX53:BA53" si="393">+AX162</f>
        <v>0</v>
      </c>
      <c r="AY53" s="612">
        <f t="shared" si="393"/>
        <v>0</v>
      </c>
      <c r="AZ53" s="612">
        <f t="shared" si="393"/>
        <v>0</v>
      </c>
      <c r="BA53" s="1328">
        <f t="shared" si="393"/>
        <v>0</v>
      </c>
      <c r="BB53" s="326"/>
      <c r="BC53" s="368"/>
      <c r="BD53" s="590">
        <f t="shared" ref="BD53:BD56" si="394">+SUM(B53:E53)</f>
        <v>0</v>
      </c>
      <c r="BE53" s="590">
        <f t="shared" ref="BE53:BE56" si="395">+SUM(F53:I53)</f>
        <v>0</v>
      </c>
      <c r="BF53" s="590">
        <f t="shared" ref="BF53:BF56" si="396">+SUM(J53:M53)</f>
        <v>0</v>
      </c>
      <c r="BG53" s="590">
        <f t="shared" ref="BG53:BG56" si="397">SUM(N53:Q53)</f>
        <v>0</v>
      </c>
      <c r="BH53" s="590">
        <f t="shared" ref="BH53:BH56" si="398">+SUM(R53:U53)</f>
        <v>0</v>
      </c>
      <c r="BI53" s="590">
        <f t="shared" ref="BI53:BI56" si="399">SUM(V53:Y53)</f>
        <v>0</v>
      </c>
      <c r="BJ53" s="590">
        <f t="shared" ref="BJ53:BJ56" si="400">+SUM(Z53:AC53)</f>
        <v>0</v>
      </c>
      <c r="BK53" s="590">
        <f t="shared" ref="BK53:BK56" si="401">+SUM(AD53:AG53)</f>
        <v>0</v>
      </c>
      <c r="BL53" s="590">
        <f t="shared" ref="BL53:BL56" si="402">+SUM(AH53:AK53)</f>
        <v>0</v>
      </c>
      <c r="BM53" s="590">
        <f t="shared" ref="BM53:BM56" si="403">+SUM(AL53:AO53)</f>
        <v>27</v>
      </c>
      <c r="BN53" s="590">
        <f>+SUM(AP53:AS53)</f>
        <v>24</v>
      </c>
      <c r="BO53" s="590">
        <f>+SUM(AT53:AW53)</f>
        <v>0</v>
      </c>
      <c r="BP53" s="590">
        <f>+SUM(AX53:BA53)</f>
        <v>0</v>
      </c>
      <c r="BQ53" s="567"/>
      <c r="BR53" s="1449"/>
      <c r="BS53" s="1449"/>
      <c r="BT53" s="1449"/>
    </row>
    <row r="54" spans="1:72" s="332" customFormat="1" ht="12" customHeight="1">
      <c r="A54" s="940" t="s">
        <v>317</v>
      </c>
      <c r="B54" s="2109">
        <f>+B164</f>
        <v>1</v>
      </c>
      <c r="C54" s="2109">
        <f t="shared" ref="C54:E54" si="404">+C164</f>
        <v>1</v>
      </c>
      <c r="D54" s="2109">
        <f t="shared" si="404"/>
        <v>2</v>
      </c>
      <c r="E54" s="2110">
        <f t="shared" si="404"/>
        <v>1</v>
      </c>
      <c r="F54" s="2109">
        <f>+F164</f>
        <v>1</v>
      </c>
      <c r="G54" s="2109">
        <f t="shared" ref="G54:I54" si="405">+G164</f>
        <v>6</v>
      </c>
      <c r="H54" s="2109">
        <f t="shared" si="405"/>
        <v>1</v>
      </c>
      <c r="I54" s="2110">
        <f t="shared" si="405"/>
        <v>1</v>
      </c>
      <c r="J54" s="2109">
        <f>+J164</f>
        <v>2</v>
      </c>
      <c r="K54" s="2109">
        <f t="shared" ref="K54:M54" si="406">+K164</f>
        <v>2</v>
      </c>
      <c r="L54" s="2109">
        <f t="shared" si="406"/>
        <v>-8</v>
      </c>
      <c r="M54" s="2110">
        <f t="shared" si="406"/>
        <v>2</v>
      </c>
      <c r="N54" s="2109">
        <f>+N164</f>
        <v>1</v>
      </c>
      <c r="O54" s="2109">
        <f t="shared" ref="O54:Q54" si="407">+O164</f>
        <v>2</v>
      </c>
      <c r="P54" s="2109">
        <f t="shared" si="407"/>
        <v>2</v>
      </c>
      <c r="Q54" s="2110">
        <f t="shared" si="407"/>
        <v>1</v>
      </c>
      <c r="R54" s="2109">
        <f>+R164</f>
        <v>1</v>
      </c>
      <c r="S54" s="2109">
        <f t="shared" ref="S54:U54" si="408">+S164</f>
        <v>1</v>
      </c>
      <c r="T54" s="2109">
        <f t="shared" si="408"/>
        <v>2</v>
      </c>
      <c r="U54" s="2110">
        <f t="shared" si="408"/>
        <v>1</v>
      </c>
      <c r="V54" s="2109">
        <f>+V164</f>
        <v>-7</v>
      </c>
      <c r="W54" s="2109">
        <f t="shared" ref="W54:Y54" si="409">+W164</f>
        <v>-38</v>
      </c>
      <c r="X54" s="2109">
        <f t="shared" si="409"/>
        <v>0</v>
      </c>
      <c r="Y54" s="2110">
        <f t="shared" si="409"/>
        <v>0</v>
      </c>
      <c r="Z54" s="2109">
        <f>+Z164</f>
        <v>-42</v>
      </c>
      <c r="AA54" s="2109">
        <f t="shared" ref="AA54:AC54" si="410">+AA164</f>
        <v>0</v>
      </c>
      <c r="AB54" s="2109">
        <f t="shared" si="410"/>
        <v>-7</v>
      </c>
      <c r="AC54" s="2110">
        <f t="shared" si="410"/>
        <v>0</v>
      </c>
      <c r="AD54" s="2109">
        <f>+AD164</f>
        <v>0</v>
      </c>
      <c r="AE54" s="2109">
        <f t="shared" ref="AE54:AG54" si="411">+AE164</f>
        <v>2</v>
      </c>
      <c r="AF54" s="2109">
        <f t="shared" si="411"/>
        <v>6</v>
      </c>
      <c r="AG54" s="2110">
        <f t="shared" si="411"/>
        <v>9</v>
      </c>
      <c r="AH54" s="2109">
        <f>+AH164</f>
        <v>2</v>
      </c>
      <c r="AI54" s="2109">
        <f t="shared" ref="AI54:AK54" si="412">+AI164</f>
        <v>-3</v>
      </c>
      <c r="AJ54" s="2109">
        <f t="shared" si="412"/>
        <v>10</v>
      </c>
      <c r="AK54" s="2110">
        <f t="shared" si="412"/>
        <v>0</v>
      </c>
      <c r="AL54" s="2109">
        <f>+AL164</f>
        <v>42</v>
      </c>
      <c r="AM54" s="2109">
        <f t="shared" ref="AM54:AO54" si="413">+AM164</f>
        <v>3</v>
      </c>
      <c r="AN54" s="2109">
        <f t="shared" si="413"/>
        <v>2</v>
      </c>
      <c r="AO54" s="2110">
        <f t="shared" si="413"/>
        <v>-2</v>
      </c>
      <c r="AP54" s="2109">
        <f>+AP164</f>
        <v>-34</v>
      </c>
      <c r="AQ54" s="2109">
        <f t="shared" ref="AQ54" si="414">+AQ164</f>
        <v>-29</v>
      </c>
      <c r="AR54" s="612"/>
      <c r="AS54" s="1328"/>
      <c r="AT54" s="612"/>
      <c r="AU54" s="612"/>
      <c r="AV54" s="612"/>
      <c r="AW54" s="1328"/>
      <c r="AX54" s="612"/>
      <c r="AY54" s="612"/>
      <c r="AZ54" s="612"/>
      <c r="BA54" s="1328"/>
      <c r="BB54" s="326"/>
      <c r="BC54" s="310"/>
      <c r="BD54" s="592"/>
      <c r="BE54" s="592"/>
      <c r="BF54" s="592"/>
      <c r="BG54" s="592"/>
      <c r="BH54" s="592"/>
      <c r="BI54" s="592"/>
      <c r="BJ54" s="592"/>
      <c r="BK54" s="592"/>
      <c r="BL54" s="592"/>
      <c r="BM54" s="592"/>
      <c r="BN54" s="592"/>
      <c r="BO54" s="592"/>
      <c r="BP54" s="592"/>
      <c r="BQ54" s="567"/>
      <c r="BR54" s="1449"/>
      <c r="BS54" s="1449"/>
      <c r="BT54" s="1449"/>
    </row>
    <row r="55" spans="1:72" s="332" customFormat="1" ht="12" customHeight="1">
      <c r="A55" s="940" t="s">
        <v>728</v>
      </c>
      <c r="B55" s="2109">
        <f>+B165</f>
        <v>0</v>
      </c>
      <c r="C55" s="2109">
        <f t="shared" ref="C55:E55" si="415">+C165</f>
        <v>0</v>
      </c>
      <c r="D55" s="2109">
        <f t="shared" si="415"/>
        <v>0</v>
      </c>
      <c r="E55" s="2110">
        <f t="shared" si="415"/>
        <v>0</v>
      </c>
      <c r="F55" s="2109">
        <f>+F165</f>
        <v>0</v>
      </c>
      <c r="G55" s="2109">
        <f t="shared" ref="G55:I55" si="416">+G165</f>
        <v>0</v>
      </c>
      <c r="H55" s="2109">
        <f t="shared" si="416"/>
        <v>0</v>
      </c>
      <c r="I55" s="2110">
        <f t="shared" si="416"/>
        <v>0</v>
      </c>
      <c r="J55" s="2109">
        <f>+J165</f>
        <v>0</v>
      </c>
      <c r="K55" s="2109">
        <f t="shared" ref="K55:M55" si="417">+K165</f>
        <v>0</v>
      </c>
      <c r="L55" s="2109">
        <f t="shared" si="417"/>
        <v>0</v>
      </c>
      <c r="M55" s="2110">
        <f t="shared" si="417"/>
        <v>0</v>
      </c>
      <c r="N55" s="2109">
        <f>+N165</f>
        <v>0</v>
      </c>
      <c r="O55" s="2109">
        <f t="shared" ref="O55:Q55" si="418">+O165</f>
        <v>0</v>
      </c>
      <c r="P55" s="2109">
        <f t="shared" si="418"/>
        <v>0</v>
      </c>
      <c r="Q55" s="2110">
        <f t="shared" si="418"/>
        <v>0</v>
      </c>
      <c r="R55" s="2109">
        <f>+R165</f>
        <v>0</v>
      </c>
      <c r="S55" s="2109">
        <f t="shared" ref="S55:U55" si="419">+S165</f>
        <v>0</v>
      </c>
      <c r="T55" s="2109">
        <f t="shared" si="419"/>
        <v>0</v>
      </c>
      <c r="U55" s="2110">
        <f t="shared" si="419"/>
        <v>0</v>
      </c>
      <c r="V55" s="2109">
        <f>+V165</f>
        <v>0</v>
      </c>
      <c r="W55" s="2109">
        <f t="shared" ref="W55:Y55" si="420">+W165</f>
        <v>0</v>
      </c>
      <c r="X55" s="2109">
        <f t="shared" si="420"/>
        <v>0</v>
      </c>
      <c r="Y55" s="2110">
        <f t="shared" si="420"/>
        <v>0</v>
      </c>
      <c r="Z55" s="2109">
        <f>+Z165</f>
        <v>0</v>
      </c>
      <c r="AA55" s="2109">
        <f t="shared" ref="AA55:AC55" si="421">+AA165</f>
        <v>0</v>
      </c>
      <c r="AB55" s="2109">
        <f t="shared" si="421"/>
        <v>0</v>
      </c>
      <c r="AC55" s="2110">
        <f t="shared" si="421"/>
        <v>0</v>
      </c>
      <c r="AD55" s="2109">
        <f>+AD165</f>
        <v>0</v>
      </c>
      <c r="AE55" s="2109">
        <f t="shared" ref="AE55:AG55" si="422">+AE165</f>
        <v>0</v>
      </c>
      <c r="AF55" s="2109">
        <f t="shared" si="422"/>
        <v>0</v>
      </c>
      <c r="AG55" s="2110">
        <f t="shared" si="422"/>
        <v>0</v>
      </c>
      <c r="AH55" s="2109">
        <f>+AH165</f>
        <v>0</v>
      </c>
      <c r="AI55" s="2109">
        <f t="shared" ref="AI55:AK55" si="423">+AI165</f>
        <v>0</v>
      </c>
      <c r="AJ55" s="2109">
        <f t="shared" si="423"/>
        <v>0</v>
      </c>
      <c r="AK55" s="2110">
        <f t="shared" si="423"/>
        <v>0</v>
      </c>
      <c r="AL55" s="2109">
        <f>+AL165</f>
        <v>-4</v>
      </c>
      <c r="AM55" s="2109">
        <f t="shared" ref="AM55:AO55" si="424">+AM165</f>
        <v>-7</v>
      </c>
      <c r="AN55" s="2109">
        <f t="shared" si="424"/>
        <v>7</v>
      </c>
      <c r="AO55" s="2110">
        <f t="shared" si="424"/>
        <v>-20</v>
      </c>
      <c r="AP55" s="2109">
        <f>+AP165</f>
        <v>-15</v>
      </c>
      <c r="AQ55" s="2109">
        <f t="shared" ref="AQ55" si="425">+AQ165</f>
        <v>-8</v>
      </c>
      <c r="AR55" s="612"/>
      <c r="AS55" s="1328"/>
      <c r="AT55" s="612"/>
      <c r="AU55" s="612"/>
      <c r="AV55" s="612"/>
      <c r="AW55" s="1328"/>
      <c r="AX55" s="612"/>
      <c r="AY55" s="612"/>
      <c r="AZ55" s="612"/>
      <c r="BA55" s="1328"/>
      <c r="BB55" s="326"/>
      <c r="BC55" s="310"/>
      <c r="BD55" s="592"/>
      <c r="BE55" s="592"/>
      <c r="BF55" s="592"/>
      <c r="BG55" s="592"/>
      <c r="BH55" s="592"/>
      <c r="BI55" s="592"/>
      <c r="BJ55" s="592"/>
      <c r="BK55" s="592"/>
      <c r="BL55" s="592"/>
      <c r="BM55" s="592"/>
      <c r="BN55" s="592"/>
      <c r="BO55" s="592"/>
      <c r="BP55" s="592"/>
      <c r="BQ55" s="567"/>
      <c r="BR55" s="1449"/>
      <c r="BS55" s="1449"/>
      <c r="BT55" s="1449"/>
    </row>
    <row r="56" spans="1:72" s="332" customFormat="1" ht="12" customHeight="1">
      <c r="A56" s="940" t="s">
        <v>318</v>
      </c>
      <c r="B56" s="626">
        <f t="shared" ref="B56:E56" si="426">+B166</f>
        <v>21</v>
      </c>
      <c r="C56" s="626">
        <f t="shared" si="426"/>
        <v>35</v>
      </c>
      <c r="D56" s="626">
        <f t="shared" si="426"/>
        <v>31</v>
      </c>
      <c r="E56" s="627">
        <f t="shared" si="426"/>
        <v>33</v>
      </c>
      <c r="F56" s="626">
        <f t="shared" ref="F56:U56" si="427">+F166</f>
        <v>49</v>
      </c>
      <c r="G56" s="626">
        <f t="shared" si="427"/>
        <v>36</v>
      </c>
      <c r="H56" s="626">
        <f t="shared" si="427"/>
        <v>25</v>
      </c>
      <c r="I56" s="627">
        <f t="shared" si="427"/>
        <v>60</v>
      </c>
      <c r="J56" s="626">
        <f t="shared" ref="J56:M56" si="428">+J166</f>
        <v>56</v>
      </c>
      <c r="K56" s="626">
        <f t="shared" si="428"/>
        <v>66</v>
      </c>
      <c r="L56" s="626">
        <f t="shared" si="428"/>
        <v>26</v>
      </c>
      <c r="M56" s="627">
        <f t="shared" si="428"/>
        <v>152</v>
      </c>
      <c r="N56" s="626">
        <f t="shared" si="427"/>
        <v>71</v>
      </c>
      <c r="O56" s="626">
        <f t="shared" si="427"/>
        <v>33</v>
      </c>
      <c r="P56" s="626">
        <f t="shared" si="427"/>
        <v>19</v>
      </c>
      <c r="Q56" s="627">
        <f t="shared" si="427"/>
        <v>86</v>
      </c>
      <c r="R56" s="610">
        <f t="shared" si="427"/>
        <v>68</v>
      </c>
      <c r="S56" s="610">
        <f t="shared" si="427"/>
        <v>49</v>
      </c>
      <c r="T56" s="610">
        <f t="shared" si="427"/>
        <v>29</v>
      </c>
      <c r="U56" s="611">
        <f t="shared" si="427"/>
        <v>102</v>
      </c>
      <c r="V56" s="610">
        <f>+V166</f>
        <v>66</v>
      </c>
      <c r="W56" s="610">
        <f>+W166</f>
        <v>57</v>
      </c>
      <c r="X56" s="610">
        <f t="shared" ref="X56:Y56" si="429">+X166</f>
        <v>73</v>
      </c>
      <c r="Y56" s="611">
        <f t="shared" si="429"/>
        <v>149</v>
      </c>
      <c r="Z56" s="1371">
        <f>+Z166</f>
        <v>123</v>
      </c>
      <c r="AA56" s="1371">
        <f>+AA166</f>
        <v>210</v>
      </c>
      <c r="AB56" s="1371">
        <f>+AB166</f>
        <v>111</v>
      </c>
      <c r="AC56" s="2126">
        <f>+AC166</f>
        <v>141</v>
      </c>
      <c r="AD56" s="1371">
        <f>+AD166</f>
        <v>156</v>
      </c>
      <c r="AE56" s="1371">
        <f>+AE166</f>
        <v>136</v>
      </c>
      <c r="AF56" s="1371">
        <f>+AF166</f>
        <v>150</v>
      </c>
      <c r="AG56" s="2126">
        <f>+AG166</f>
        <v>241</v>
      </c>
      <c r="AH56" s="1371">
        <f>+AH166</f>
        <v>198</v>
      </c>
      <c r="AI56" s="1371">
        <f>+AI166</f>
        <v>235</v>
      </c>
      <c r="AJ56" s="1371">
        <f>+AJ166</f>
        <v>202</v>
      </c>
      <c r="AK56" s="2126">
        <f>+AK166</f>
        <v>298</v>
      </c>
      <c r="AL56" s="1371">
        <f>+AL166</f>
        <v>208</v>
      </c>
      <c r="AM56" s="1371">
        <f>+AM166</f>
        <v>196</v>
      </c>
      <c r="AN56" s="1371">
        <f>+AN166</f>
        <v>172</v>
      </c>
      <c r="AO56" s="2126">
        <f>+AO166</f>
        <v>260</v>
      </c>
      <c r="AP56" s="1371">
        <f>+AP166</f>
        <v>182</v>
      </c>
      <c r="AQ56" s="1371">
        <f>+AQ166</f>
        <v>190</v>
      </c>
      <c r="AR56" s="1501">
        <f t="shared" ref="AR56:BA56" si="430">((AR30-AR43-AR46)*23%-AR31)*-1</f>
        <v>173.42336829979899</v>
      </c>
      <c r="AS56" s="1502">
        <f>((AS30-AS43-AS46)*23%-AS31)*-1</f>
        <v>173.15571220524816</v>
      </c>
      <c r="AT56" s="1501">
        <f t="shared" si="430"/>
        <v>178.82363508665151</v>
      </c>
      <c r="AU56" s="1501">
        <f t="shared" si="430"/>
        <v>176.36330232467807</v>
      </c>
      <c r="AV56" s="1501">
        <f t="shared" si="430"/>
        <v>200.83402397173631</v>
      </c>
      <c r="AW56" s="1502">
        <f t="shared" si="430"/>
        <v>183.28058908409645</v>
      </c>
      <c r="AX56" s="1501">
        <f t="shared" si="430"/>
        <v>185.08690973837975</v>
      </c>
      <c r="AY56" s="1501">
        <f t="shared" si="430"/>
        <v>183.95486463622996</v>
      </c>
      <c r="AZ56" s="1501">
        <f t="shared" si="430"/>
        <v>206.58453992401064</v>
      </c>
      <c r="BA56" s="1502">
        <f t="shared" si="430"/>
        <v>189.29261277725399</v>
      </c>
      <c r="BB56" s="326"/>
      <c r="BC56" s="368"/>
      <c r="BD56" s="590">
        <f t="shared" si="394"/>
        <v>120</v>
      </c>
      <c r="BE56" s="590">
        <f t="shared" si="395"/>
        <v>170</v>
      </c>
      <c r="BF56" s="590">
        <f t="shared" si="396"/>
        <v>300</v>
      </c>
      <c r="BG56" s="590">
        <f t="shared" si="397"/>
        <v>209</v>
      </c>
      <c r="BH56" s="590">
        <f t="shared" si="398"/>
        <v>248</v>
      </c>
      <c r="BI56" s="590">
        <f t="shared" si="399"/>
        <v>345</v>
      </c>
      <c r="BJ56" s="590">
        <f t="shared" si="400"/>
        <v>585</v>
      </c>
      <c r="BK56" s="590">
        <f t="shared" si="401"/>
        <v>683</v>
      </c>
      <c r="BL56" s="590">
        <f t="shared" si="402"/>
        <v>933</v>
      </c>
      <c r="BM56" s="590">
        <f t="shared" si="403"/>
        <v>836</v>
      </c>
      <c r="BN56" s="590">
        <f>+SUM(AP56:AS56)</f>
        <v>718.57908050504716</v>
      </c>
      <c r="BO56" s="590">
        <f>+SUM(AT56:AW56)</f>
        <v>739.30155046716231</v>
      </c>
      <c r="BP56" s="590">
        <f>+SUM(AX56:BA56)</f>
        <v>764.91892707587442</v>
      </c>
      <c r="BQ56" s="567"/>
      <c r="BR56" s="1449"/>
      <c r="BS56" s="1449"/>
      <c r="BT56" s="1449"/>
    </row>
    <row r="57" spans="1:72" s="383" customFormat="1" ht="12" customHeight="1">
      <c r="A57" s="948"/>
      <c r="B57" s="571"/>
      <c r="C57" s="571"/>
      <c r="D57" s="571"/>
      <c r="E57" s="628"/>
      <c r="F57" s="571"/>
      <c r="G57" s="571"/>
      <c r="H57" s="571"/>
      <c r="I57" s="628"/>
      <c r="J57" s="571"/>
      <c r="K57" s="571"/>
      <c r="L57" s="571"/>
      <c r="M57" s="628"/>
      <c r="N57" s="571"/>
      <c r="O57" s="571"/>
      <c r="P57" s="571"/>
      <c r="Q57" s="628"/>
      <c r="R57" s="613"/>
      <c r="S57" s="613"/>
      <c r="T57" s="613"/>
      <c r="U57" s="614"/>
      <c r="V57" s="613"/>
      <c r="W57" s="613"/>
      <c r="X57" s="613"/>
      <c r="Y57" s="614"/>
      <c r="Z57" s="613"/>
      <c r="AA57" s="613"/>
      <c r="AB57" s="613"/>
      <c r="AC57" s="614"/>
      <c r="AD57" s="613"/>
      <c r="AE57" s="613"/>
      <c r="AF57" s="613"/>
      <c r="AG57" s="1329"/>
      <c r="AH57" s="2109"/>
      <c r="AI57" s="2109"/>
      <c r="AJ57" s="2109"/>
      <c r="AK57" s="2110"/>
      <c r="AL57" s="2109"/>
      <c r="AM57" s="2109"/>
      <c r="AN57" s="2109"/>
      <c r="AO57" s="2110"/>
      <c r="AP57" s="2109"/>
      <c r="AQ57" s="2109"/>
      <c r="AR57" s="613"/>
      <c r="AS57" s="1329"/>
      <c r="AT57" s="613"/>
      <c r="AU57" s="613"/>
      <c r="AV57" s="613"/>
      <c r="AW57" s="1329"/>
      <c r="AX57" s="613"/>
      <c r="AY57" s="613"/>
      <c r="AZ57" s="613"/>
      <c r="BA57" s="1329"/>
      <c r="BB57" s="381"/>
      <c r="BC57" s="368"/>
      <c r="BD57" s="590"/>
      <c r="BE57" s="590"/>
      <c r="BF57" s="590"/>
      <c r="BG57" s="590"/>
      <c r="BH57" s="590"/>
      <c r="BI57" s="594"/>
      <c r="BJ57" s="590"/>
      <c r="BK57" s="590"/>
      <c r="BL57" s="590"/>
      <c r="BM57" s="590"/>
      <c r="BN57" s="590"/>
      <c r="BO57" s="590"/>
      <c r="BP57" s="590"/>
      <c r="BQ57" s="382"/>
      <c r="BR57" s="1453"/>
      <c r="BS57" s="1453"/>
      <c r="BT57" s="1453"/>
    </row>
    <row r="58" spans="1:72" s="383" customFormat="1" ht="12" customHeight="1">
      <c r="A58" s="949" t="s">
        <v>280</v>
      </c>
      <c r="B58" s="571">
        <f t="shared" ref="B58" si="431">+B16-B44-B47-B50</f>
        <v>547</v>
      </c>
      <c r="C58" s="571">
        <f>+C16-C44-C47-C50</f>
        <v>724</v>
      </c>
      <c r="D58" s="571">
        <f t="shared" ref="D58:E58" si="432">+D16-D44-D47-D50</f>
        <v>2088</v>
      </c>
      <c r="E58" s="628">
        <f t="shared" si="432"/>
        <v>583</v>
      </c>
      <c r="F58" s="571">
        <f t="shared" ref="F58:AO58" si="433">+F16-F44-F47-F50</f>
        <v>595</v>
      </c>
      <c r="G58" s="571">
        <f>+G16-G44-G47-G50</f>
        <v>810</v>
      </c>
      <c r="H58" s="571">
        <f t="shared" ref="H58:I58" si="434">+H16-H44-H47-H50</f>
        <v>2304</v>
      </c>
      <c r="I58" s="628">
        <f t="shared" si="434"/>
        <v>659</v>
      </c>
      <c r="J58" s="571">
        <f t="shared" ref="J58:M58" si="435">+J16-J44-J47-J50</f>
        <v>712</v>
      </c>
      <c r="K58" s="571">
        <f>+K16-K44-K47-K50</f>
        <v>1093</v>
      </c>
      <c r="L58" s="571">
        <f t="shared" si="435"/>
        <v>2607</v>
      </c>
      <c r="M58" s="628">
        <f t="shared" si="435"/>
        <v>635</v>
      </c>
      <c r="N58" s="571">
        <f t="shared" si="433"/>
        <v>769</v>
      </c>
      <c r="O58" s="571">
        <f t="shared" si="433"/>
        <v>1217</v>
      </c>
      <c r="P58" s="571">
        <f t="shared" si="433"/>
        <v>2918</v>
      </c>
      <c r="Q58" s="628">
        <f t="shared" si="433"/>
        <v>713</v>
      </c>
      <c r="R58" s="613">
        <f t="shared" si="433"/>
        <v>875</v>
      </c>
      <c r="S58" s="613">
        <f t="shared" si="433"/>
        <v>1356</v>
      </c>
      <c r="T58" s="613">
        <f t="shared" si="433"/>
        <v>2576</v>
      </c>
      <c r="U58" s="614">
        <f t="shared" si="433"/>
        <v>1494</v>
      </c>
      <c r="V58" s="613">
        <f t="shared" si="433"/>
        <v>1067</v>
      </c>
      <c r="W58" s="613">
        <f t="shared" si="433"/>
        <v>1209</v>
      </c>
      <c r="X58" s="613">
        <f t="shared" si="433"/>
        <v>3578</v>
      </c>
      <c r="Y58" s="614">
        <f t="shared" ref="Y58:AB58" si="436">+Y16-Y44-Y47-Y50</f>
        <v>2096</v>
      </c>
      <c r="Z58" s="613">
        <f t="shared" si="436"/>
        <v>1590</v>
      </c>
      <c r="AA58" s="613">
        <f t="shared" si="436"/>
        <v>2108</v>
      </c>
      <c r="AB58" s="613">
        <f t="shared" si="436"/>
        <v>4807.9999999999991</v>
      </c>
      <c r="AC58" s="614">
        <f t="shared" si="433"/>
        <v>1814</v>
      </c>
      <c r="AD58" s="613">
        <f t="shared" si="433"/>
        <v>1921</v>
      </c>
      <c r="AE58" s="613">
        <f t="shared" si="433"/>
        <v>2268</v>
      </c>
      <c r="AF58" s="613">
        <f t="shared" si="433"/>
        <v>5037</v>
      </c>
      <c r="AG58" s="1329">
        <f t="shared" si="433"/>
        <v>1999</v>
      </c>
      <c r="AH58" s="613">
        <f t="shared" si="433"/>
        <v>2218</v>
      </c>
      <c r="AI58" s="613">
        <f t="shared" si="433"/>
        <v>2531</v>
      </c>
      <c r="AJ58" s="613">
        <f t="shared" ref="AJ58:AK58" si="437">+AJ16-AJ44-AJ47-AJ50</f>
        <v>5669.9999999999991</v>
      </c>
      <c r="AK58" s="1329">
        <f t="shared" si="437"/>
        <v>2178.0000000000005</v>
      </c>
      <c r="AL58" s="2109">
        <f t="shared" si="433"/>
        <v>2451</v>
      </c>
      <c r="AM58" s="2109">
        <f t="shared" si="433"/>
        <v>3022</v>
      </c>
      <c r="AN58" s="2109">
        <f t="shared" si="433"/>
        <v>6559</v>
      </c>
      <c r="AO58" s="2110">
        <f t="shared" si="433"/>
        <v>2936</v>
      </c>
      <c r="AP58" s="2109">
        <f t="shared" ref="AP58:AQ58" si="438">+AP16-AP44-AP47-AP50</f>
        <v>3002</v>
      </c>
      <c r="AQ58" s="2109">
        <f t="shared" si="438"/>
        <v>3608</v>
      </c>
      <c r="AR58" s="613">
        <f t="shared" ref="AR58:AS58" si="439">+AR16-AR44-AR47-AR50</f>
        <v>7186.709854650343</v>
      </c>
      <c r="AS58" s="1329">
        <f t="shared" si="439"/>
        <v>3270.703838876339</v>
      </c>
      <c r="AT58" s="613">
        <f t="shared" ref="AT58:AW58" si="440">+AT16-AT44-AT47-AT50</f>
        <v>3414.8717695411269</v>
      </c>
      <c r="AU58" s="613">
        <f t="shared" si="440"/>
        <v>4107.2231622362442</v>
      </c>
      <c r="AV58" s="613">
        <f t="shared" si="440"/>
        <v>7876.7939154682599</v>
      </c>
      <c r="AW58" s="1329">
        <f t="shared" si="440"/>
        <v>3648.7106296481584</v>
      </c>
      <c r="AX58" s="613">
        <f t="shared" ref="AX58:BA58" si="441">+AX16-AX44-AX47-AX50</f>
        <v>3848.640947150664</v>
      </c>
      <c r="AY58" s="613">
        <f t="shared" si="441"/>
        <v>4659.4837454258686</v>
      </c>
      <c r="AZ58" s="613">
        <f t="shared" si="441"/>
        <v>8667.5019620605653</v>
      </c>
      <c r="BA58" s="1329">
        <f t="shared" si="441"/>
        <v>4099.0490462596481</v>
      </c>
      <c r="BB58" s="381"/>
      <c r="BC58" s="368"/>
      <c r="BD58" s="590">
        <f t="shared" ref="BD58:BD61" si="442">+SUM(B58:E58)</f>
        <v>3942</v>
      </c>
      <c r="BE58" s="590">
        <f t="shared" ref="BE58:BE61" si="443">+SUM(F58:I58)</f>
        <v>4368</v>
      </c>
      <c r="BF58" s="590">
        <f t="shared" ref="BF58:BF61" si="444">+SUM(J58:M58)</f>
        <v>5047</v>
      </c>
      <c r="BG58" s="590">
        <f t="shared" ref="BG58:BG61" si="445">SUM(N58:Q58)</f>
        <v>5617</v>
      </c>
      <c r="BH58" s="590">
        <f t="shared" ref="BH58:BH61" si="446">+SUM(R58:U58)</f>
        <v>6301</v>
      </c>
      <c r="BI58" s="590">
        <f t="shared" ref="BI58:BI61" si="447">SUM(V58:Y58)</f>
        <v>7950</v>
      </c>
      <c r="BJ58" s="590">
        <f t="shared" ref="BJ58:BJ61" si="448">+SUM(Z58:AC58)</f>
        <v>10320</v>
      </c>
      <c r="BK58" s="590">
        <f t="shared" ref="BK58:BK61" si="449">+SUM(AD58:AG58)</f>
        <v>11225</v>
      </c>
      <c r="BL58" s="590">
        <f t="shared" ref="BL58:BL61" si="450">+SUM(AH58:AK58)</f>
        <v>12597</v>
      </c>
      <c r="BM58" s="590">
        <f t="shared" ref="BM58:BM61" si="451">+SUM(AL58:AO58)</f>
        <v>14968</v>
      </c>
      <c r="BN58" s="590">
        <f>+SUM(AP58:AS58)</f>
        <v>17067.413693526683</v>
      </c>
      <c r="BO58" s="590">
        <f>+SUM(AT58:AW58)</f>
        <v>19047.599476893789</v>
      </c>
      <c r="BP58" s="590">
        <f>+SUM(AX58:BA58)</f>
        <v>21274.675700896747</v>
      </c>
      <c r="BQ58" s="382"/>
      <c r="BR58" s="1450">
        <f>9.52/8.43</f>
        <v>1.129300118623962</v>
      </c>
      <c r="BS58" s="1453"/>
      <c r="BT58" s="1453"/>
    </row>
    <row r="59" spans="1:72" s="384" customFormat="1" ht="12" customHeight="1">
      <c r="A59" s="949" t="s">
        <v>281</v>
      </c>
      <c r="B59" s="613">
        <f>+B24-B43-B46-B49-B53</f>
        <v>-29</v>
      </c>
      <c r="C59" s="613">
        <f t="shared" ref="C59:E59" si="452">+C24-C43-C46-C49-C53</f>
        <v>42</v>
      </c>
      <c r="D59" s="613">
        <f t="shared" si="452"/>
        <v>1285</v>
      </c>
      <c r="E59" s="614">
        <f t="shared" si="452"/>
        <v>-56</v>
      </c>
      <c r="F59" s="613">
        <f>+F24-F43-F46-F49-F53</f>
        <v>-61</v>
      </c>
      <c r="G59" s="613">
        <f t="shared" ref="G59:I59" si="453">+G24-G43-G46-G49-G53</f>
        <v>22</v>
      </c>
      <c r="H59" s="613">
        <f t="shared" si="453"/>
        <v>1444</v>
      </c>
      <c r="I59" s="614">
        <f t="shared" si="453"/>
        <v>-10</v>
      </c>
      <c r="J59" s="613">
        <f>+J24-J43-J46-J49-J53</f>
        <v>-35</v>
      </c>
      <c r="K59" s="613">
        <f t="shared" ref="K59:M59" si="454">+K24-K43-K46-K49-K53</f>
        <v>194</v>
      </c>
      <c r="L59" s="613">
        <f t="shared" si="454"/>
        <v>1601</v>
      </c>
      <c r="M59" s="614">
        <f t="shared" si="454"/>
        <v>-200</v>
      </c>
      <c r="N59" s="613">
        <f>+N24-N43-N46-N49-N53</f>
        <v>-10</v>
      </c>
      <c r="O59" s="613">
        <f t="shared" ref="O59:Q59" si="455">+O24-O43-O46-O49-O53</f>
        <v>233</v>
      </c>
      <c r="P59" s="613">
        <f t="shared" si="455"/>
        <v>1784</v>
      </c>
      <c r="Q59" s="614">
        <f t="shared" si="455"/>
        <v>-153</v>
      </c>
      <c r="R59" s="613">
        <f>+R24-R43-R46-R49-R53</f>
        <v>10</v>
      </c>
      <c r="S59" s="613">
        <f t="shared" ref="S59:U59" si="456">+S24-S43-S46-S49-S53</f>
        <v>270</v>
      </c>
      <c r="T59" s="613">
        <f t="shared" si="456"/>
        <v>1413</v>
      </c>
      <c r="U59" s="614">
        <f t="shared" si="456"/>
        <v>483</v>
      </c>
      <c r="V59" s="613">
        <f>+V24-V43-V46-V49-V53</f>
        <v>209</v>
      </c>
      <c r="W59" s="613">
        <f t="shared" ref="W59:Y59" si="457">+W24-W43-W46-W49-W53</f>
        <v>-25</v>
      </c>
      <c r="X59" s="613">
        <f t="shared" si="457"/>
        <v>1914</v>
      </c>
      <c r="Y59" s="614">
        <f t="shared" si="457"/>
        <v>402</v>
      </c>
      <c r="Z59" s="613">
        <f>+Z24-Z43-Z46-Z49-Z53</f>
        <v>195</v>
      </c>
      <c r="AA59" s="613">
        <f t="shared" ref="AA59:AC59" si="458">+AA24-AA43-AA46-AA49-AA53</f>
        <v>56</v>
      </c>
      <c r="AB59" s="613">
        <f t="shared" si="458"/>
        <v>2394.9999999999991</v>
      </c>
      <c r="AC59" s="614">
        <f t="shared" si="458"/>
        <v>-75</v>
      </c>
      <c r="AD59" s="615">
        <f>+AD24-AD43-AD46-AD49-AD53</f>
        <v>76</v>
      </c>
      <c r="AE59" s="613">
        <f t="shared" ref="AE59:AG59" si="459">+AE24-AE43-AE46-AE49-AE53</f>
        <v>270</v>
      </c>
      <c r="AF59" s="613">
        <f t="shared" si="459"/>
        <v>2778</v>
      </c>
      <c r="AG59" s="614">
        <f t="shared" si="459"/>
        <v>17</v>
      </c>
      <c r="AH59" s="2107">
        <f>+AH24-AH43-AH46-AH49-AH53</f>
        <v>307</v>
      </c>
      <c r="AI59" s="2109">
        <f t="shared" ref="AI59:AK59" si="460">+AI24-AI43-AI46-AI49-AI53</f>
        <v>369</v>
      </c>
      <c r="AJ59" s="2109">
        <f t="shared" si="460"/>
        <v>3104.9999999999991</v>
      </c>
      <c r="AK59" s="2108">
        <f t="shared" si="460"/>
        <v>-150.99999999999955</v>
      </c>
      <c r="AL59" s="2107">
        <f>+AL24-AL43-AL46-AL49-AL53</f>
        <v>271</v>
      </c>
      <c r="AM59" s="2109">
        <f t="shared" ref="AM59:AO59" si="461">+AM24-AM43-AM46-AM49-AM53</f>
        <v>593</v>
      </c>
      <c r="AN59" s="2109">
        <f t="shared" si="461"/>
        <v>3720</v>
      </c>
      <c r="AO59" s="2109">
        <f t="shared" si="461"/>
        <v>339</v>
      </c>
      <c r="AP59" s="2107">
        <f>+AP24-AP43-AP46-AP49-AP53</f>
        <v>534</v>
      </c>
      <c r="AQ59" s="2109">
        <f t="shared" ref="AQ59" si="462">+AQ24-AQ43-AQ46-AQ49-AQ53</f>
        <v>855</v>
      </c>
      <c r="AR59" s="613">
        <f t="shared" ref="AR59:AS59" si="463">+AR24-AR43-AR46-AR49</f>
        <v>3920.2830495420126</v>
      </c>
      <c r="AS59" s="1329">
        <f t="shared" si="463"/>
        <v>487.64893847500821</v>
      </c>
      <c r="AT59" s="615">
        <f t="shared" ref="AT59:AW59" si="464">+AT24-AT43-AT46-AT49</f>
        <v>725.1237009439584</v>
      </c>
      <c r="AU59" s="613">
        <f t="shared" si="464"/>
        <v>1086.4204358841876</v>
      </c>
      <c r="AV59" s="613">
        <f t="shared" si="464"/>
        <v>4440.7795031953956</v>
      </c>
      <c r="AW59" s="1329">
        <f t="shared" si="464"/>
        <v>623.36768669902858</v>
      </c>
      <c r="AX59" s="615">
        <f t="shared" ref="AX59:BA59" si="465">+AX24-AX43-AX46-AX49</f>
        <v>913.89177766610328</v>
      </c>
      <c r="AY59" s="613">
        <f t="shared" si="465"/>
        <v>1329.7900944731132</v>
      </c>
      <c r="AZ59" s="613">
        <f t="shared" si="465"/>
        <v>5006.119564341624</v>
      </c>
      <c r="BA59" s="1329">
        <f t="shared" si="465"/>
        <v>815.80886500200631</v>
      </c>
      <c r="BB59" s="381"/>
      <c r="BC59" s="368"/>
      <c r="BD59" s="590">
        <f t="shared" si="442"/>
        <v>1242</v>
      </c>
      <c r="BE59" s="590">
        <f t="shared" si="443"/>
        <v>1395</v>
      </c>
      <c r="BF59" s="590">
        <f t="shared" si="444"/>
        <v>1560</v>
      </c>
      <c r="BG59" s="590">
        <f t="shared" si="445"/>
        <v>1854</v>
      </c>
      <c r="BH59" s="590">
        <f t="shared" si="446"/>
        <v>2176</v>
      </c>
      <c r="BI59" s="590">
        <f t="shared" si="447"/>
        <v>2500</v>
      </c>
      <c r="BJ59" s="590">
        <f t="shared" si="448"/>
        <v>2570.9999999999991</v>
      </c>
      <c r="BK59" s="590">
        <f t="shared" si="449"/>
        <v>3141</v>
      </c>
      <c r="BL59" s="590">
        <f t="shared" si="450"/>
        <v>3629.9999999999995</v>
      </c>
      <c r="BM59" s="590">
        <f t="shared" si="451"/>
        <v>4923</v>
      </c>
      <c r="BN59" s="590">
        <f>+SUM(AP59:AS59)</f>
        <v>5796.9319880170215</v>
      </c>
      <c r="BO59" s="590">
        <f>+SUM(AT59:AW59)</f>
        <v>6875.69132672257</v>
      </c>
      <c r="BP59" s="590">
        <f>+SUM(AX59:BA59)</f>
        <v>8065.6103014828468</v>
      </c>
      <c r="BQ59" s="382"/>
      <c r="BR59" s="1389"/>
      <c r="BS59" s="1454"/>
      <c r="BT59" s="1389"/>
    </row>
    <row r="60" spans="1:72" s="334" customFormat="1" ht="12" hidden="1" customHeight="1" outlineLevel="1">
      <c r="A60" s="950" t="s">
        <v>282</v>
      </c>
      <c r="B60" s="577"/>
      <c r="C60" s="577"/>
      <c r="D60" s="577"/>
      <c r="E60" s="629"/>
      <c r="F60" s="577"/>
      <c r="G60" s="577"/>
      <c r="H60" s="577"/>
      <c r="I60" s="629"/>
      <c r="J60" s="577"/>
      <c r="K60" s="577"/>
      <c r="L60" s="577"/>
      <c r="M60" s="629"/>
      <c r="N60" s="630"/>
      <c r="O60" s="577"/>
      <c r="P60" s="577"/>
      <c r="Q60" s="629"/>
      <c r="R60" s="616"/>
      <c r="S60" s="616"/>
      <c r="T60" s="616"/>
      <c r="U60" s="617"/>
      <c r="V60" s="616"/>
      <c r="W60" s="616"/>
      <c r="X60" s="616"/>
      <c r="Y60" s="617"/>
      <c r="Z60" s="616"/>
      <c r="AA60" s="616"/>
      <c r="AB60" s="616"/>
      <c r="AC60" s="617"/>
      <c r="AD60" s="616"/>
      <c r="AE60" s="616"/>
      <c r="AF60" s="616"/>
      <c r="AG60" s="617"/>
      <c r="AH60" s="616"/>
      <c r="AI60" s="616"/>
      <c r="AJ60" s="616"/>
      <c r="AK60" s="617"/>
      <c r="AL60" s="2128"/>
      <c r="AM60" s="2128">
        <f>593-AM59</f>
        <v>0</v>
      </c>
      <c r="AN60" s="2128"/>
      <c r="AO60" s="2108"/>
      <c r="AP60" s="2128"/>
      <c r="AQ60" s="2128"/>
      <c r="AR60" s="616"/>
      <c r="AS60" s="617"/>
      <c r="AT60" s="616"/>
      <c r="AU60" s="616"/>
      <c r="AV60" s="616"/>
      <c r="AW60" s="617"/>
      <c r="AX60" s="616"/>
      <c r="AY60" s="616"/>
      <c r="AZ60" s="616"/>
      <c r="BA60" s="617"/>
      <c r="BB60" s="317"/>
      <c r="BC60" s="385"/>
      <c r="BD60" s="589">
        <f t="shared" si="442"/>
        <v>0</v>
      </c>
      <c r="BE60" s="595">
        <f t="shared" si="443"/>
        <v>0</v>
      </c>
      <c r="BF60" s="589">
        <f t="shared" si="444"/>
        <v>0</v>
      </c>
      <c r="BG60" s="589">
        <f t="shared" si="445"/>
        <v>0</v>
      </c>
      <c r="BH60" s="589">
        <f t="shared" si="446"/>
        <v>0</v>
      </c>
      <c r="BI60" s="589">
        <f t="shared" si="447"/>
        <v>0</v>
      </c>
      <c r="BJ60" s="589">
        <f t="shared" si="448"/>
        <v>0</v>
      </c>
      <c r="BK60" s="589">
        <f t="shared" si="449"/>
        <v>0</v>
      </c>
      <c r="BL60" s="589">
        <f t="shared" si="450"/>
        <v>0</v>
      </c>
      <c r="BM60" s="589">
        <f t="shared" si="451"/>
        <v>0</v>
      </c>
      <c r="BN60" s="589">
        <f>+SUM(AP60:AS60)</f>
        <v>0</v>
      </c>
      <c r="BO60" s="589">
        <f>+SUM(AT60:AW60)</f>
        <v>0</v>
      </c>
      <c r="BP60" s="589">
        <f>+SUM(AX60:BA60)</f>
        <v>0</v>
      </c>
      <c r="BQ60" s="319"/>
      <c r="BR60" s="1401"/>
      <c r="BS60" s="1401"/>
      <c r="BT60" s="1401"/>
    </row>
    <row r="61" spans="1:72" s="384" customFormat="1" ht="12" customHeight="1" collapsed="1">
      <c r="A61" s="949" t="s">
        <v>283</v>
      </c>
      <c r="B61" s="613">
        <f>+B33-B43-B46-B49-B53-B54-B55+B56</f>
        <v>-31</v>
      </c>
      <c r="C61" s="613">
        <f>+C33-C43-C46-C49-C53-C54-C55+C56+C134</f>
        <v>24</v>
      </c>
      <c r="D61" s="2109">
        <f>+D33-D43-D46-D49-D53-D54-D55+D56+D134</f>
        <v>1026</v>
      </c>
      <c r="E61" s="614">
        <f t="shared" ref="E61" si="466">+E33-E43-E46-E49-E53-E54-E55+E56</f>
        <v>-40</v>
      </c>
      <c r="F61" s="613">
        <f>+F33-F43-F46-F49-F53-F54-F55+F56</f>
        <v>-30</v>
      </c>
      <c r="G61" s="613">
        <f t="shared" ref="G61:I61" si="467">+G33-G43-G46-G49-G53-G54-G55+G56</f>
        <v>13</v>
      </c>
      <c r="H61" s="613">
        <f t="shared" si="467"/>
        <v>964</v>
      </c>
      <c r="I61" s="614">
        <f t="shared" si="467"/>
        <v>24</v>
      </c>
      <c r="J61" s="613">
        <f>+J33-J43-J46-J49-J53-J54-J55+J56</f>
        <v>-2</v>
      </c>
      <c r="K61" s="613">
        <f t="shared" ref="K61:M61" si="468">+K33-K43-K46-K49-K53-K54-K55+K56</f>
        <v>183</v>
      </c>
      <c r="L61" s="613">
        <f t="shared" si="468"/>
        <v>1186</v>
      </c>
      <c r="M61" s="614">
        <f t="shared" si="468"/>
        <v>-38</v>
      </c>
      <c r="N61" s="613">
        <f>+N33-N43-N46-N49-N53-N54-N55+N56</f>
        <v>34</v>
      </c>
      <c r="O61" s="613">
        <f t="shared" ref="O61:Q61" si="469">+O33-O43-O46-O49-O53-O54-O55+O56</f>
        <v>189</v>
      </c>
      <c r="P61" s="613">
        <f t="shared" si="469"/>
        <v>1378</v>
      </c>
      <c r="Q61" s="614">
        <f t="shared" si="469"/>
        <v>-44</v>
      </c>
      <c r="R61" s="613">
        <f>+R33-R43-R46-R49-R53-R54-R55+R56</f>
        <v>57</v>
      </c>
      <c r="S61" s="613">
        <f t="shared" ref="S61:U61" si="470">+S33-S43-S46-S49-S53-S54-S55+S56</f>
        <v>240</v>
      </c>
      <c r="T61" s="613">
        <f t="shared" si="470"/>
        <v>1084</v>
      </c>
      <c r="U61" s="614">
        <f t="shared" si="470"/>
        <v>445</v>
      </c>
      <c r="V61" s="613">
        <f>+V33-V43-V46-V49-V53-V54-V55+V56</f>
        <v>198</v>
      </c>
      <c r="W61" s="613">
        <f t="shared" ref="W61:Y61" si="471">+W33-W43-W46-W49-W53-W54-W55+W56</f>
        <v>20</v>
      </c>
      <c r="X61" s="613">
        <f t="shared" si="471"/>
        <v>1464</v>
      </c>
      <c r="Y61" s="614">
        <f t="shared" si="471"/>
        <v>380</v>
      </c>
      <c r="Z61" s="613">
        <f>+Z33-Z43-Z46-Z49-Z53-Z54-Z55+Z56</f>
        <v>228</v>
      </c>
      <c r="AA61" s="613">
        <f t="shared" ref="AA61:AC61" si="472">+AA33-AA43-AA46-AA49-AA53-AA54-AA55+AA56</f>
        <v>100</v>
      </c>
      <c r="AB61" s="613">
        <f t="shared" si="472"/>
        <v>1793.9999999999991</v>
      </c>
      <c r="AC61" s="614">
        <f t="shared" si="472"/>
        <v>-56</v>
      </c>
      <c r="AD61" s="613">
        <f>+AD33-AD43-AD46-AD49-AD53-AD54-AD55+AD56</f>
        <v>40</v>
      </c>
      <c r="AE61" s="613">
        <f t="shared" ref="AE61:AG61" si="473">+AE33-AE43-AE46-AE49-AE53-AE54-AE55+AE56</f>
        <v>168</v>
      </c>
      <c r="AF61" s="613">
        <f t="shared" si="473"/>
        <v>2087</v>
      </c>
      <c r="AG61" s="614">
        <f t="shared" si="473"/>
        <v>89</v>
      </c>
      <c r="AH61" s="2109">
        <f>+AH33-AH43-AH46-AH49-AH53-AH54-AH55+AH56</f>
        <v>241</v>
      </c>
      <c r="AI61" s="2109">
        <f t="shared" ref="AI61:AK61" si="474">+AI33-AI43-AI46-AI49-AI53-AI54-AI55+AI56</f>
        <v>353</v>
      </c>
      <c r="AJ61" s="2109">
        <f t="shared" si="474"/>
        <v>2388.9999999999991</v>
      </c>
      <c r="AK61" s="2108">
        <f t="shared" si="474"/>
        <v>-19.999999999999545</v>
      </c>
      <c r="AL61" s="2109">
        <f>+AL33-AL43-AL46-AL49-AL53-AL54-AL55+AL56</f>
        <v>197</v>
      </c>
      <c r="AM61" s="2109">
        <f t="shared" ref="AM61:AO61" si="475">+AM33-AM43-AM46-AM49-AM53-AM54-AM55+AM56</f>
        <v>471</v>
      </c>
      <c r="AN61" s="2109">
        <f t="shared" si="475"/>
        <v>2820</v>
      </c>
      <c r="AO61" s="2110">
        <f t="shared" si="475"/>
        <v>381</v>
      </c>
      <c r="AP61" s="2109">
        <f>+AP33-AP43-AP46-AP49-AP53-AP54-AP55+AP56</f>
        <v>446</v>
      </c>
      <c r="AQ61" s="2109">
        <f t="shared" ref="AQ61" si="476">+AQ33-AQ43-AQ46-AQ49-AQ53-AQ54-AQ55+AQ56</f>
        <v>693</v>
      </c>
      <c r="AR61" s="613">
        <f>+AR33-AR43-AR46-AR49-AR53+AR56</f>
        <v>2959.3279481473492</v>
      </c>
      <c r="AS61" s="614">
        <f t="shared" ref="AS61" si="477">+AS33-AS43-AS46-AS49-AS53+AS56</f>
        <v>333.13968262575634</v>
      </c>
      <c r="AT61" s="613">
        <f t="shared" ref="AT61:AW61" si="478">+AT33-AT43-AT46-AT49-AT53+AT56</f>
        <v>541.40524972684784</v>
      </c>
      <c r="AU61" s="613">
        <f t="shared" si="478"/>
        <v>818.83373563082455</v>
      </c>
      <c r="AV61" s="613">
        <f t="shared" si="478"/>
        <v>3360.1102174604548</v>
      </c>
      <c r="AW61" s="614">
        <f t="shared" si="478"/>
        <v>437.643118758252</v>
      </c>
      <c r="AX61" s="613">
        <f t="shared" ref="AX61:BA61" si="479">+AX33-AX43-AX46-AX49-AX53+AX56</f>
        <v>686.75666880289975</v>
      </c>
      <c r="AY61" s="613">
        <f t="shared" si="479"/>
        <v>1006.2283727442971</v>
      </c>
      <c r="AZ61" s="613">
        <f t="shared" si="479"/>
        <v>3795.4220645430505</v>
      </c>
      <c r="BA61" s="614">
        <f t="shared" si="479"/>
        <v>585.82282605154489</v>
      </c>
      <c r="BB61" s="381"/>
      <c r="BC61" s="368"/>
      <c r="BD61" s="590">
        <f t="shared" si="442"/>
        <v>979</v>
      </c>
      <c r="BE61" s="590">
        <f t="shared" si="443"/>
        <v>971</v>
      </c>
      <c r="BF61" s="590">
        <f t="shared" si="444"/>
        <v>1329</v>
      </c>
      <c r="BG61" s="590">
        <f t="shared" si="445"/>
        <v>1557</v>
      </c>
      <c r="BH61" s="590">
        <f t="shared" si="446"/>
        <v>1826</v>
      </c>
      <c r="BI61" s="590">
        <f t="shared" si="447"/>
        <v>2062</v>
      </c>
      <c r="BJ61" s="590">
        <f t="shared" si="448"/>
        <v>2065.9999999999991</v>
      </c>
      <c r="BK61" s="590">
        <f t="shared" si="449"/>
        <v>2384</v>
      </c>
      <c r="BL61" s="590">
        <f t="shared" si="450"/>
        <v>2962.9999999999995</v>
      </c>
      <c r="BM61" s="590">
        <f t="shared" si="451"/>
        <v>3869</v>
      </c>
      <c r="BN61" s="590">
        <f>+SUM(AP61:AS61)</f>
        <v>4431.4676307731052</v>
      </c>
      <c r="BO61" s="590">
        <f>+SUM(AT61:AW61)</f>
        <v>5157.9923215763793</v>
      </c>
      <c r="BP61" s="590">
        <f>+SUM(AX61:BA61)</f>
        <v>6074.2299321417931</v>
      </c>
      <c r="BQ61" s="382"/>
      <c r="BR61" s="1389"/>
      <c r="BS61" s="1389"/>
      <c r="BT61" s="1389"/>
    </row>
    <row r="62" spans="1:72" s="332" customFormat="1" ht="12" customHeight="1">
      <c r="A62" s="951" t="s">
        <v>284</v>
      </c>
      <c r="B62" s="344">
        <f t="shared" ref="B62:U62" si="480">B61/B64</f>
        <v>-0.11397058823529412</v>
      </c>
      <c r="C62" s="344">
        <f t="shared" si="480"/>
        <v>9.0225563909774431E-2</v>
      </c>
      <c r="D62" s="344">
        <f t="shared" si="480"/>
        <v>3.9461538461538463</v>
      </c>
      <c r="E62" s="386">
        <f t="shared" si="480"/>
        <v>-0.1556420233463035</v>
      </c>
      <c r="F62" s="344">
        <f t="shared" si="480"/>
        <v>-0.11627906976744186</v>
      </c>
      <c r="G62" s="344">
        <f t="shared" si="480"/>
        <v>0.05</v>
      </c>
      <c r="H62" s="344">
        <f t="shared" si="480"/>
        <v>3.7076923076923078</v>
      </c>
      <c r="I62" s="386">
        <f t="shared" si="480"/>
        <v>9.1954022988505746E-2</v>
      </c>
      <c r="J62" s="344">
        <f t="shared" si="480"/>
        <v>-7.8125E-3</v>
      </c>
      <c r="K62" s="344">
        <f t="shared" si="480"/>
        <v>0.7038461538461539</v>
      </c>
      <c r="L62" s="344">
        <f t="shared" si="480"/>
        <v>4.5267175572519083</v>
      </c>
      <c r="M62" s="386">
        <f t="shared" si="480"/>
        <v>-0.14728682170542637</v>
      </c>
      <c r="N62" s="344">
        <f t="shared" si="480"/>
        <v>0.12878787878787878</v>
      </c>
      <c r="O62" s="344">
        <f t="shared" si="480"/>
        <v>0.71590909090909094</v>
      </c>
      <c r="P62" s="344">
        <f t="shared" si="480"/>
        <v>5.2196969696969697</v>
      </c>
      <c r="Q62" s="386">
        <f t="shared" si="480"/>
        <v>-0.16666666666666666</v>
      </c>
      <c r="R62" s="344">
        <f t="shared" si="480"/>
        <v>0.21590909090909091</v>
      </c>
      <c r="S62" s="344">
        <f t="shared" si="480"/>
        <v>0.90909090909090906</v>
      </c>
      <c r="T62" s="344">
        <f t="shared" si="480"/>
        <v>4.1138519924098675</v>
      </c>
      <c r="U62" s="386">
        <f t="shared" si="480"/>
        <v>1.6856060606060606</v>
      </c>
      <c r="V62" s="388">
        <f>V61/V64</f>
        <v>0.74716981132075466</v>
      </c>
      <c r="W62" s="388">
        <f>W61/W64</f>
        <v>7.3260073260073263E-2</v>
      </c>
      <c r="X62" s="388">
        <f t="shared" ref="X62:AN62" si="481">X61/X64</f>
        <v>5.3043478260869561</v>
      </c>
      <c r="Y62" s="386">
        <f t="shared" si="481"/>
        <v>1.371841155234657</v>
      </c>
      <c r="Z62" s="388">
        <f>Z61/Z64</f>
        <v>0.82310469314079426</v>
      </c>
      <c r="AA62" s="388">
        <f>AA61/AA64</f>
        <v>0.34843205574912894</v>
      </c>
      <c r="AB62" s="388">
        <f t="shared" ref="AB62" si="482">AB61/AB64</f>
        <v>6.2727272727272698</v>
      </c>
      <c r="AC62" s="1244">
        <f t="shared" si="481"/>
        <v>-0.19858156028368795</v>
      </c>
      <c r="AD62" s="344">
        <f t="shared" si="481"/>
        <v>0.14094432699083864</v>
      </c>
      <c r="AE62" s="344">
        <f t="shared" si="481"/>
        <v>0.59490084985835712</v>
      </c>
      <c r="AF62" s="344">
        <f t="shared" si="481"/>
        <v>7.3641496118560346</v>
      </c>
      <c r="AG62" s="386">
        <f t="shared" si="481"/>
        <v>0.3143321325139507</v>
      </c>
      <c r="AH62" s="387">
        <f t="shared" si="481"/>
        <v>0.85159010600706708</v>
      </c>
      <c r="AI62" s="344">
        <f t="shared" si="481"/>
        <v>1.2429577464788732</v>
      </c>
      <c r="AJ62" s="344">
        <f t="shared" si="481"/>
        <v>8.4208671131476862</v>
      </c>
      <c r="AK62" s="1244">
        <f t="shared" si="481"/>
        <v>-7.067137809187117E-2</v>
      </c>
      <c r="AL62" s="387">
        <f t="shared" si="481"/>
        <v>0.69611307420494695</v>
      </c>
      <c r="AM62" s="344">
        <f t="shared" si="481"/>
        <v>1.6643109540636043</v>
      </c>
      <c r="AN62" s="344">
        <f t="shared" si="481"/>
        <v>10.017761989342807</v>
      </c>
      <c r="AO62" s="386">
        <f t="shared" ref="AO62:AQ62" si="483">AO61/AO64</f>
        <v>1.3510638297872339</v>
      </c>
      <c r="AP62" s="387">
        <f t="shared" si="483"/>
        <v>1.5871886120996441</v>
      </c>
      <c r="AQ62" s="344">
        <f t="shared" si="483"/>
        <v>2.4776546299606719</v>
      </c>
      <c r="AR62" s="344">
        <f t="shared" ref="AR62:AS62" si="484">AR61/AR64</f>
        <v>10.580364491052372</v>
      </c>
      <c r="AS62" s="386">
        <f t="shared" si="484"/>
        <v>1.1910607172890819</v>
      </c>
      <c r="AT62" s="387">
        <f t="shared" ref="AT62:AW62" si="485">AT61/AT64</f>
        <v>1.926709073761024</v>
      </c>
      <c r="AU62" s="344">
        <f t="shared" si="485"/>
        <v>2.9139990591844289</v>
      </c>
      <c r="AV62" s="344">
        <f t="shared" si="485"/>
        <v>11.957687606620835</v>
      </c>
      <c r="AW62" s="386">
        <f t="shared" si="485"/>
        <v>1.5574488212037438</v>
      </c>
      <c r="AX62" s="387">
        <f t="shared" ref="AX62:BA62" si="486">AX61/AX64</f>
        <v>2.4527023885817849</v>
      </c>
      <c r="AY62" s="344">
        <f t="shared" si="486"/>
        <v>3.5936727598010609</v>
      </c>
      <c r="AZ62" s="344">
        <f t="shared" si="486"/>
        <v>13.555078801939466</v>
      </c>
      <c r="BA62" s="386">
        <f t="shared" si="486"/>
        <v>2.0922243787555175</v>
      </c>
      <c r="BB62" s="388"/>
      <c r="BC62" s="389"/>
      <c r="BD62" s="347">
        <f t="shared" ref="BD62:BG62" si="487">+BD61/BD64</f>
        <v>3.7118483412322276</v>
      </c>
      <c r="BE62" s="347">
        <f t="shared" si="487"/>
        <v>3.7382098171318576</v>
      </c>
      <c r="BF62" s="347">
        <f t="shared" si="487"/>
        <v>5.1312741312741315</v>
      </c>
      <c r="BG62" s="347">
        <f t="shared" si="487"/>
        <v>5.8977272727272725</v>
      </c>
      <c r="BH62" s="347">
        <f>+BH61/BH64</f>
        <v>6.9199431549028896</v>
      </c>
      <c r="BI62" s="347">
        <f t="shared" ref="BI62:BM62" si="488">+BI61/BI64</f>
        <v>7.5600366636113661</v>
      </c>
      <c r="BJ62" s="1243">
        <f>SUM(Z62:AC62)</f>
        <v>7.2456824613335051</v>
      </c>
      <c r="BK62" s="347">
        <f>SUM(AD62:AG62)</f>
        <v>8.41432692121918</v>
      </c>
      <c r="BL62" s="1243">
        <f t="shared" si="488"/>
        <v>10.454264796683423</v>
      </c>
      <c r="BM62" s="347">
        <f t="shared" si="488"/>
        <v>13.701637892872952</v>
      </c>
      <c r="BN62" s="347">
        <f>+BN61/BN64</f>
        <v>15.825257140516399</v>
      </c>
      <c r="BO62" s="347">
        <f t="shared" ref="BO62" si="489">+BO61/BO64</f>
        <v>18.355844560770034</v>
      </c>
      <c r="BP62" s="347">
        <f t="shared" ref="BP62" si="490">+BP61/BP64</f>
        <v>21.693678329077834</v>
      </c>
      <c r="BQ62" s="348"/>
      <c r="BR62" s="1449">
        <f>+BM62/BL62</f>
        <v>1.3106266350953484</v>
      </c>
      <c r="BS62" s="1449">
        <f>+BN62/BM62</f>
        <v>1.1549901744774667</v>
      </c>
      <c r="BT62" s="1449"/>
    </row>
    <row r="63" spans="1:72" s="334" customFormat="1" ht="12" hidden="1" customHeight="1" outlineLevel="1">
      <c r="A63" s="952" t="s">
        <v>285</v>
      </c>
      <c r="B63" s="349"/>
      <c r="C63" s="350"/>
      <c r="D63" s="350"/>
      <c r="E63" s="350"/>
      <c r="F63" s="390"/>
      <c r="G63" s="350"/>
      <c r="H63" s="350"/>
      <c r="I63" s="391"/>
      <c r="J63" s="350"/>
      <c r="K63" s="350"/>
      <c r="L63" s="350"/>
      <c r="M63" s="391"/>
      <c r="N63" s="392" cm="1">
        <f t="array" ref="N63">_xll.FDS("INTU-US","FE_ESTIMATE(EPS_GAAP,MEAN,QTR_ROLL,"&amp;N2&amp;",NOW,,,'')")</f>
        <v>0.13</v>
      </c>
      <c r="O63" s="350" cm="1">
        <f t="array" ref="O63">_xll.FDS("INTU-US","FE_ESTIMATE(EPS_GAAP,MEAN,QTR_ROLL,"&amp;O2&amp;",NOW,,,'')")</f>
        <v>0.72</v>
      </c>
      <c r="P63" s="350" cm="1">
        <f t="array" ref="P63">_xll.FDS("INTU-US","FE_ESTIMATE(EPS_GAAP,MEAN,QTR_ROLL,"&amp;P2&amp;",NOW,,,'')")</f>
        <v>5.22</v>
      </c>
      <c r="Q63" s="391" cm="1">
        <f t="array" ref="Q63">_xll.FDS("INTU-US","FE_ESTIMATE(EPS_GAAP,MEAN,QTR_ROLL,"&amp;Q2&amp;",NOW,,,'')")</f>
        <v>-0.17</v>
      </c>
      <c r="R63" s="350" cm="1">
        <f t="array" ref="R63">_xll.FDS("INTU-US","FE_ESTIMATE(EPS_GAAP,MEAN,QTR_ROLL,"&amp;R2&amp;",NOW,,,'')")</f>
        <v>0.22</v>
      </c>
      <c r="S63" s="350" cm="1">
        <f t="array" ref="S63">_xll.FDS("INTU-US","FE_ESTIMATE(EPS_GAAP,MEAN,QTR_ROLL,"&amp;S2&amp;",NOW,,,'')")</f>
        <v>0.91</v>
      </c>
      <c r="T63" s="350" cm="1">
        <f t="array" ref="T63">_xll.FDS("INTU-US","FE_ESTIMATE(EPS_GAAP,MEAN,QTR_ROLL,"&amp;T2&amp;",NOW,,,'')")</f>
        <v>4.1100000000000003</v>
      </c>
      <c r="U63" s="391" cm="1">
        <f t="array" ref="U63">_xll.FDS("INTU-US","FE_ESTIMATE(EPS_GAAP,MEAN,QTR_ROLL,"&amp;U2&amp;",NOW,,,'')")</f>
        <v>1.68</v>
      </c>
      <c r="V63" s="350" cm="1">
        <f t="array" ref="V63">_xll.FDS("INTU-US","FE_ESTIMATE(EPS_GAAP,MEAN,QTR_ROLL,"&amp;V2&amp;",NOW,,,'')")</f>
        <v>0.75</v>
      </c>
      <c r="W63" s="350" cm="1">
        <f t="array" ref="W63">_xll.FDS("INTU-US","FE_ESTIMATE(EPS_GAAP,MEAN,QTR_ROLL,"&amp;W2&amp;",NOW,,,'')")</f>
        <v>7.0000000000000007E-2</v>
      </c>
      <c r="X63" s="350" cm="1">
        <f t="array" ref="X63">_xll.FDS("INTU-US","FE_ESTIMATE(EPS_GAAP,MEAN,QTR_ROLL,"&amp;X2&amp;",NOW,,,'')")</f>
        <v>5.3</v>
      </c>
      <c r="Y63" s="391" cm="1">
        <f t="array" ref="Y63">_xll.FDS("INTU-US","FE_ESTIMATE(EPS_GAAP,MEAN,QTR_ROLL,"&amp;Y2&amp;",NOW,,,'')")</f>
        <v>1.37</v>
      </c>
      <c r="Z63" s="350" cm="1">
        <f t="array" ref="Z63">_xll.FDS("INTU-US","FE_ESTIMATE(EPS_GAAP,MEAN,QTR_ROLL,"&amp;Z2&amp;",NOW,,,'')")</f>
        <v>0.82</v>
      </c>
      <c r="AA63" s="350" cm="1">
        <f t="array" ref="AA63">_xll.FDS("INTU-US","FE_ESTIMATE(EPS_GAAP,MEAN,QTR_ROLL,"&amp;AA2&amp;",NOW,,,'')")</f>
        <v>0.35</v>
      </c>
      <c r="AB63" s="350" cm="1">
        <f t="array" ref="AB63">_xll.FDS("INTU-US","FE_ESTIMATE(EPS_GAAP,MEAN,QTR_ROLL,"&amp;AB2&amp;",NOW,,,'')")</f>
        <v>6.28</v>
      </c>
      <c r="AC63" s="391" cm="1">
        <f t="array" ref="AC63">_xll.FDS("INTU-US","FE_ESTIMATE(EPS_GAAP,MEAN,QTR_ROLL,"&amp;AC2&amp;",NOW,,,'')")</f>
        <v>-0.2</v>
      </c>
      <c r="AD63" s="350" cm="1">
        <f t="array" ref="AD63">_xll.FDS("INTU-US","FE_ESTIMATE(EPS_GAAP,MEAN,QTR_ROLL,"&amp;AD2&amp;",NOW,,,'')")</f>
        <v>0.14000000000000001</v>
      </c>
      <c r="AE63" s="350" cm="1">
        <f t="array" ref="AE63">_xll.FDS("INTU-US","FE_ESTIMATE(EPS_GAAP,MEAN,QTR_ROLL,"&amp;AE2&amp;",NOW,,,'')")</f>
        <v>0.6</v>
      </c>
      <c r="AF63" s="350" cm="1">
        <f t="array" ref="AF63">_xll.FDS("INTU-US","FE_ESTIMATE(EPS_GAAP,MEAN,QTR_ROLL,"&amp;AF2&amp;",NOW,,,'')")</f>
        <v>7.38</v>
      </c>
      <c r="AG63" s="391" cm="1">
        <f t="array" ref="AG63">_xll.FDS("INTU-US","FE_ESTIMATE(EPS_GAAP,MEAN,QTR_ROLL,"&amp;AG2&amp;",NOW,,,'')")</f>
        <v>0.32</v>
      </c>
      <c r="AH63" s="350" cm="1">
        <f t="array" ref="AH63">_xll.FDS("INTU-US","FE_ESTIMATE(EPS_GAAP,MEAN,QTR_ROLL,"&amp;AH2&amp;",NOW,,,'')")</f>
        <v>0.85</v>
      </c>
      <c r="AI63" s="350" cm="1">
        <f t="array" ref="AI63">_xll.FDS("INTU-US","FE_ESTIMATE(EPS_GAAP,MEAN,QTR_ROLL,"&amp;AI2&amp;",NOW,,,'')")</f>
        <v>1.25</v>
      </c>
      <c r="AJ63" s="350" cm="1">
        <f t="array" ref="AJ63">_xll.FDS("INTU-US","FE_ESTIMATE(EPS_GAAP,MEAN,QTR_ROLL,"&amp;AJ2&amp;",NOW,,,'')")</f>
        <v>8.42</v>
      </c>
      <c r="AK63" s="391" cm="1">
        <f t="array" ref="AK63">_xll.FDS("INTU-US","FE_ESTIMATE(EPS_GAAP,MEAN,QTR_ROLL,"&amp;AK2&amp;",NOW,,,'')")</f>
        <v>-7.0000000000000007E-2</v>
      </c>
      <c r="AL63" s="350" cm="1">
        <f t="array" ref="AL63">_xll.FDS("INTU-US","FE_ESTIMATE(EPS_GAAP,MEAN,QTR_ROLL,"&amp;AL2&amp;",NOW,,,'')")</f>
        <v>0.7</v>
      </c>
      <c r="AM63" s="350" cm="1">
        <f t="array" ref="AM63">_xll.FDS("INTU-US","FE_ESTIMATE(EPS_GAAP,MEAN,QTR_ROLL,"&amp;AM2&amp;",NOW,,,'')")</f>
        <v>1.67</v>
      </c>
      <c r="AN63" s="350" cm="1">
        <f t="array" ref="AN63">_xll.FDS("INTU-US","FE_ESTIMATE(EPS_GAAP,MEAN,QTR_ROLL,"&amp;AN2&amp;",NOW,,,'')")</f>
        <v>10.02</v>
      </c>
      <c r="AO63" s="2005" cm="1">
        <f t="array" ref="AO63">_xll.FDS("INTU-US","FE_ESTIMATE(EPS_GAAP,MEAN,QTR_ROLL,"&amp;AO2&amp;",NOW,,,'')")</f>
        <v>1.35</v>
      </c>
      <c r="AP63" s="350" cm="1">
        <f t="array" ref="AP63">_xll.FDS("INTU-US","FE_ESTIMATE(EPS_GAAP,MEAN,QTR_ROLL,"&amp;AP2&amp;",NOW,,,'')")</f>
        <v>1.59</v>
      </c>
      <c r="AQ63" s="350" cm="1">
        <f t="array" ref="AQ63">_xll.FDS("INTU-US","FE_ESTIMATE(EPS_GAAP,MEAN,QTR_ROLL,"&amp;AQ2&amp;",NOW,,,'')")</f>
        <v>1.8307226999999999</v>
      </c>
      <c r="AR63" s="350" cm="1">
        <f t="array" ref="AR63">_xll.FDS("INTU-US","FE_ESTIMATE(EPS_GAAP,MEAN,QTR_ROLL,"&amp;AR2&amp;",NOW,,,'')")</f>
        <v>11.132285</v>
      </c>
      <c r="AS63" s="391" cm="1">
        <f t="array" ref="AS63">_xll.FDS("INTU-US","FE_ESTIMATE(EPS_GAAP,MEAN,QTR_ROLL,"&amp;AS2&amp;",NOW,,,'')")</f>
        <v>1.1654329999999999</v>
      </c>
      <c r="AT63" s="350" cm="1">
        <f t="array" ref="AT63">_xll.FDS("INTU-US","FE_ESTIMATE(EPS_GAAP,MEAN,QTR_ROLL,"&amp;AT2&amp;",NOW,,,'')")</f>
        <v>1.9723023</v>
      </c>
      <c r="AU63" s="350" cm="1">
        <f t="array" ref="AU63">_xll.FDS("INTU-US","FE_ESTIMATE(EPS_GAAP,MEAN,QTR_ROLL,"&amp;AU2&amp;",NOW,,,'')")</f>
        <v>2.3312940000000002</v>
      </c>
      <c r="AV63" s="350" cm="1">
        <f t="array" ref="AV63">_xll.FDS("INTU-US","FE_ESTIMATE(EPS_GAAP,MEAN,QTR_ROLL,"&amp;AV2&amp;",NOW,,,'')")</f>
        <v>12.466518000000001</v>
      </c>
      <c r="AW63" s="391" cm="1">
        <f t="array" ref="AW63">_xll.FDS("INTU-US","FE_ESTIMATE(EPS_GAAP,MEAN,QTR_ROLL,"&amp;AW2&amp;",NOW,,,'')")</f>
        <v>1.526799</v>
      </c>
      <c r="AX63" s="350" cm="1">
        <f t="array" ref="AX63">_xll.FDS("INTU-US","FE_ESTIMATE(EPS_GAAP,MEAN,QTR_ROLL,"&amp;AX2&amp;",NOW,,,'')")</f>
        <v>2.364528</v>
      </c>
      <c r="AY63" s="350" cm="1">
        <f t="array" ref="AY63">_xll.FDS("INTU-US","FE_ESTIMATE(EPS_GAAP,MEAN,QTR_ROLL,"&amp;AY2&amp;",NOW,,,'')")</f>
        <v>2.8145194</v>
      </c>
      <c r="AZ63" s="350" cm="1">
        <f t="array" ref="AZ63">_xll.FDS("INTU-US","FE_ESTIMATE(EPS_GAAP,MEAN,QTR_ROLL,"&amp;AZ2&amp;",NOW,,,'')")</f>
        <v>13.982054</v>
      </c>
      <c r="BA63" s="391" cm="1">
        <f t="array" ref="BA63">_xll.FDS("INTU-US","FE_ESTIMATE(EPS_GAAP,MEAN,QTR_ROLL,"&amp;BA2&amp;",NOW,,,'')")</f>
        <v>1.9873075</v>
      </c>
      <c r="BB63" s="350"/>
      <c r="BC63" s="393"/>
      <c r="BD63" s="393"/>
      <c r="BE63" s="393"/>
      <c r="BF63" s="393"/>
      <c r="BG63" s="393"/>
      <c r="BH63" s="393"/>
      <c r="BI63" s="393"/>
      <c r="BJ63" s="393"/>
      <c r="BK63" s="393"/>
      <c r="BL63" s="393"/>
      <c r="BM63" s="385"/>
      <c r="BN63" s="385"/>
      <c r="BO63" s="385"/>
      <c r="BP63" s="385"/>
      <c r="BQ63" s="355"/>
      <c r="BR63" s="1401"/>
      <c r="BS63" s="1401"/>
      <c r="BT63" s="1401"/>
    </row>
    <row r="64" spans="1:72" s="328" customFormat="1" ht="12" customHeight="1" collapsed="1">
      <c r="A64" s="394" t="s">
        <v>286</v>
      </c>
      <c r="B64" s="581">
        <f t="shared" ref="B64:Y64" si="491">+B140</f>
        <v>272</v>
      </c>
      <c r="C64" s="581">
        <f t="shared" si="491"/>
        <v>266</v>
      </c>
      <c r="D64" s="581">
        <f t="shared" si="491"/>
        <v>260</v>
      </c>
      <c r="E64" s="582">
        <f t="shared" si="491"/>
        <v>257</v>
      </c>
      <c r="F64" s="581">
        <f t="shared" si="491"/>
        <v>258</v>
      </c>
      <c r="G64" s="581">
        <f t="shared" si="491"/>
        <v>260</v>
      </c>
      <c r="H64" s="581">
        <f t="shared" si="491"/>
        <v>260</v>
      </c>
      <c r="I64" s="582">
        <f t="shared" si="491"/>
        <v>261</v>
      </c>
      <c r="J64" s="581">
        <f t="shared" si="491"/>
        <v>256</v>
      </c>
      <c r="K64" s="581">
        <f t="shared" si="491"/>
        <v>260</v>
      </c>
      <c r="L64" s="581">
        <f t="shared" si="491"/>
        <v>262</v>
      </c>
      <c r="M64" s="582">
        <f t="shared" si="491"/>
        <v>258</v>
      </c>
      <c r="N64" s="581">
        <f t="shared" si="491"/>
        <v>264</v>
      </c>
      <c r="O64" s="581">
        <f t="shared" si="491"/>
        <v>264</v>
      </c>
      <c r="P64" s="581">
        <f t="shared" si="491"/>
        <v>264</v>
      </c>
      <c r="Q64" s="582">
        <f t="shared" si="491"/>
        <v>264</v>
      </c>
      <c r="R64" s="581">
        <f t="shared" si="491"/>
        <v>264</v>
      </c>
      <c r="S64" s="581">
        <f t="shared" si="491"/>
        <v>264</v>
      </c>
      <c r="T64" s="581">
        <f t="shared" si="491"/>
        <v>263.5</v>
      </c>
      <c r="U64" s="582">
        <f t="shared" si="491"/>
        <v>264</v>
      </c>
      <c r="V64" s="581">
        <f t="shared" si="491"/>
        <v>265</v>
      </c>
      <c r="W64" s="581">
        <f t="shared" si="491"/>
        <v>273</v>
      </c>
      <c r="X64" s="581">
        <f t="shared" si="491"/>
        <v>276</v>
      </c>
      <c r="Y64" s="582">
        <f t="shared" si="491"/>
        <v>277</v>
      </c>
      <c r="Z64" s="581">
        <f>+Z140</f>
        <v>277</v>
      </c>
      <c r="AA64" s="581">
        <f>+AA140</f>
        <v>287</v>
      </c>
      <c r="AB64" s="581">
        <f>+AB140</f>
        <v>286</v>
      </c>
      <c r="AC64" s="581">
        <f>+AC140</f>
        <v>282</v>
      </c>
      <c r="AD64" s="618">
        <f t="shared" ref="AD64:AQ64" si="492">+AC64+AD37-AC37</f>
        <v>283.79999999999995</v>
      </c>
      <c r="AE64" s="581">
        <f t="shared" si="492"/>
        <v>282.39999999999992</v>
      </c>
      <c r="AF64" s="581">
        <f t="shared" si="492"/>
        <v>283.39999999999998</v>
      </c>
      <c r="AG64" s="583">
        <f t="shared" si="492"/>
        <v>283.14</v>
      </c>
      <c r="AH64" s="618">
        <f t="shared" si="492"/>
        <v>283</v>
      </c>
      <c r="AI64" s="581">
        <f t="shared" si="492"/>
        <v>284</v>
      </c>
      <c r="AJ64" s="581">
        <f t="shared" si="492"/>
        <v>283.70000000000005</v>
      </c>
      <c r="AK64" s="582">
        <f t="shared" si="492"/>
        <v>283.00000000000006</v>
      </c>
      <c r="AL64" s="618">
        <v>283</v>
      </c>
      <c r="AM64" s="581">
        <f t="shared" si="492"/>
        <v>283</v>
      </c>
      <c r="AN64" s="581">
        <f t="shared" si="492"/>
        <v>281.5</v>
      </c>
      <c r="AO64" s="582">
        <f t="shared" si="492"/>
        <v>282</v>
      </c>
      <c r="AP64" s="618">
        <v>281</v>
      </c>
      <c r="AQ64" s="581">
        <f t="shared" si="492"/>
        <v>279.70000000000005</v>
      </c>
      <c r="AR64" s="581">
        <f t="shared" ref="AR64" si="493">+AQ64+AR37-AQ37</f>
        <v>279.7000000000001</v>
      </c>
      <c r="AS64" s="582">
        <f t="shared" ref="AS64" si="494">+AR64+AS37-AR37</f>
        <v>279.7000000000001</v>
      </c>
      <c r="AT64" s="618">
        <f t="shared" ref="AT64" si="495">+AS64+AT37-AS37</f>
        <v>281.00000000000006</v>
      </c>
      <c r="AU64" s="581">
        <f t="shared" ref="AU64" si="496">+AT64+AU37-AT37</f>
        <v>281</v>
      </c>
      <c r="AV64" s="581">
        <f t="shared" ref="AV64" si="497">+AU64+AV37-AU37</f>
        <v>281</v>
      </c>
      <c r="AW64" s="582">
        <f t="shared" ref="AW64" si="498">+AV64+AW37-AV37</f>
        <v>281</v>
      </c>
      <c r="AX64" s="618">
        <f t="shared" ref="AX64" si="499">+AW64+AX37-AW37</f>
        <v>280</v>
      </c>
      <c r="AY64" s="581">
        <f t="shared" ref="AY64" si="500">+AX64+AY37-AX37</f>
        <v>280</v>
      </c>
      <c r="AZ64" s="581">
        <f t="shared" ref="AZ64" si="501">+AY64+AZ37-AY37</f>
        <v>280</v>
      </c>
      <c r="BA64" s="582">
        <f t="shared" ref="BA64" si="502">+AZ64+BA37-AZ37</f>
        <v>280</v>
      </c>
      <c r="BB64" s="357"/>
      <c r="BC64" s="356"/>
      <c r="BD64" s="356">
        <f>AVERAGE(B64:E64)</f>
        <v>263.75</v>
      </c>
      <c r="BE64" s="356">
        <f>+AVERAGE(F64:I64)</f>
        <v>259.75</v>
      </c>
      <c r="BF64" s="531">
        <f>+AVERAGE(J64:M64)</f>
        <v>259</v>
      </c>
      <c r="BG64" s="356">
        <f>AVERAGE(N64:Q64)</f>
        <v>264</v>
      </c>
      <c r="BH64" s="356">
        <f>+AVERAGE(R64:U64)</f>
        <v>263.875</v>
      </c>
      <c r="BI64" s="356">
        <f>AVERAGE(V64:Y64)</f>
        <v>272.75</v>
      </c>
      <c r="BJ64" s="356">
        <f>+AVERAGE(Z64:AC64)</f>
        <v>283</v>
      </c>
      <c r="BK64" s="356">
        <f>+AVERAGE(AD64:AG64)</f>
        <v>283.18499999999995</v>
      </c>
      <c r="BL64" s="356">
        <f>+AVERAGE(AH64:AK64)</f>
        <v>283.42500000000001</v>
      </c>
      <c r="BM64" s="356">
        <f>+AVERAGE(AL64:AO64)</f>
        <v>282.375</v>
      </c>
      <c r="BN64" s="356">
        <f>+AVERAGE(AP64:AS64)</f>
        <v>280.02500000000003</v>
      </c>
      <c r="BO64" s="356">
        <f>+AVERAGE(AT64:AW64)</f>
        <v>281</v>
      </c>
      <c r="BP64" s="356">
        <f>+AVERAGE(AX64:BA64)</f>
        <v>280</v>
      </c>
      <c r="BQ64" s="357"/>
      <c r="BR64" s="1446"/>
      <c r="BS64" s="1446"/>
      <c r="BT64" s="1446"/>
    </row>
    <row r="65" spans="1:72" s="395" customFormat="1" ht="12" customHeight="1">
      <c r="A65" s="538"/>
      <c r="B65" s="539"/>
      <c r="C65" s="539"/>
      <c r="D65" s="539"/>
      <c r="E65" s="539"/>
      <c r="F65" s="539"/>
      <c r="G65" s="540"/>
      <c r="H65" s="540"/>
      <c r="I65" s="539"/>
      <c r="J65" s="541"/>
      <c r="K65" s="540"/>
      <c r="L65" s="540"/>
      <c r="M65" s="539"/>
      <c r="N65" s="539"/>
      <c r="O65" s="539"/>
      <c r="P65" s="539"/>
      <c r="Q65" s="539"/>
      <c r="R65" s="539"/>
      <c r="S65" s="539"/>
      <c r="T65" s="539"/>
      <c r="U65" s="539"/>
      <c r="V65" s="539"/>
      <c r="W65" s="539"/>
      <c r="X65" s="539"/>
      <c r="Y65" s="539"/>
      <c r="Z65" s="542"/>
      <c r="AA65" s="542"/>
      <c r="AB65" s="542"/>
      <c r="AC65" s="542"/>
      <c r="AD65" s="542"/>
      <c r="AE65" s="542"/>
      <c r="AF65" s="542"/>
      <c r="AG65" s="542"/>
      <c r="AH65" s="542"/>
      <c r="AI65" s="542"/>
      <c r="AJ65" s="542"/>
      <c r="AK65" s="542"/>
      <c r="AL65" s="542"/>
      <c r="AM65" s="542"/>
      <c r="AN65" s="542"/>
      <c r="AO65" s="542"/>
      <c r="AP65" s="542"/>
      <c r="AQ65" s="542"/>
      <c r="AR65" s="542"/>
      <c r="AS65" s="542"/>
      <c r="AT65" s="542"/>
      <c r="AU65" s="542"/>
      <c r="AV65" s="542"/>
      <c r="AW65" s="542"/>
      <c r="AX65" s="542"/>
      <c r="AY65" s="542"/>
      <c r="AZ65" s="542"/>
      <c r="BA65" s="542"/>
      <c r="BB65" s="329"/>
      <c r="BC65" s="542"/>
      <c r="BD65" s="542"/>
      <c r="BE65" s="542"/>
      <c r="BF65" s="542"/>
      <c r="BG65" s="542"/>
      <c r="BH65" s="542"/>
      <c r="BI65" s="542"/>
      <c r="BJ65" s="542"/>
      <c r="BK65" s="542"/>
      <c r="BL65" s="542"/>
      <c r="BM65" s="542"/>
      <c r="BN65" s="542"/>
      <c r="BO65" s="542"/>
      <c r="BP65" s="542"/>
      <c r="BQ65" s="330"/>
      <c r="BR65" s="1455"/>
      <c r="BS65" s="1455"/>
      <c r="BT65" s="1455"/>
    </row>
    <row r="66" spans="1:72" s="288" customFormat="1" ht="12" customHeight="1">
      <c r="A66" s="396"/>
      <c r="B66" s="2171" t="str">
        <f>+B3</f>
        <v>Fiscal 2016</v>
      </c>
      <c r="C66" s="2172"/>
      <c r="D66" s="2172"/>
      <c r="E66" s="2173"/>
      <c r="F66" s="2171" t="str">
        <f>+F3</f>
        <v>Fiscal 2017</v>
      </c>
      <c r="G66" s="2172"/>
      <c r="H66" s="2172"/>
      <c r="I66" s="2173"/>
      <c r="J66" s="2171" t="str">
        <f>+J3</f>
        <v>Fiscal 2018</v>
      </c>
      <c r="K66" s="2172"/>
      <c r="L66" s="2172"/>
      <c r="M66" s="2173"/>
      <c r="N66" s="2171" t="str">
        <f>+N3</f>
        <v>Fiscal 2019</v>
      </c>
      <c r="O66" s="2172"/>
      <c r="P66" s="2172"/>
      <c r="Q66" s="2173"/>
      <c r="R66" s="2171" t="str">
        <f>+R3</f>
        <v>Fiscal 2020</v>
      </c>
      <c r="S66" s="2172"/>
      <c r="T66" s="2172"/>
      <c r="U66" s="2173"/>
      <c r="V66" s="2171" t="str">
        <f>+V3</f>
        <v>Fiscal 2021</v>
      </c>
      <c r="W66" s="2172"/>
      <c r="X66" s="2172"/>
      <c r="Y66" s="2173"/>
      <c r="Z66" s="2171" t="str">
        <f>+Z3</f>
        <v>Fiscal 2022</v>
      </c>
      <c r="AA66" s="2172"/>
      <c r="AB66" s="2172"/>
      <c r="AC66" s="2173"/>
      <c r="AD66" s="2171" t="str">
        <f>+AD3</f>
        <v>Fiscal 2023</v>
      </c>
      <c r="AE66" s="2172"/>
      <c r="AF66" s="2172"/>
      <c r="AG66" s="2173"/>
      <c r="AH66" s="2171" t="str">
        <f>+AH3</f>
        <v>Fiscal 2024</v>
      </c>
      <c r="AI66" s="2172"/>
      <c r="AJ66" s="2172"/>
      <c r="AK66" s="2173"/>
      <c r="AL66" s="2171" t="str">
        <f>+AL3</f>
        <v>Fiscal 2025</v>
      </c>
      <c r="AM66" s="2172"/>
      <c r="AN66" s="2172"/>
      <c r="AO66" s="2173"/>
      <c r="AP66" s="2171" t="str">
        <f>+AP3</f>
        <v>Fiscal 2026</v>
      </c>
      <c r="AQ66" s="2172"/>
      <c r="AR66" s="2172"/>
      <c r="AS66" s="2173"/>
      <c r="AT66" s="2171" t="str">
        <f>+AT3</f>
        <v>Fiscal 2027</v>
      </c>
      <c r="AU66" s="2172"/>
      <c r="AV66" s="2172"/>
      <c r="AW66" s="2173"/>
      <c r="AX66" s="2171" t="str">
        <f>+AX3</f>
        <v>Fiscal 2028</v>
      </c>
      <c r="AY66" s="2172"/>
      <c r="AZ66" s="2172"/>
      <c r="BA66" s="2173"/>
      <c r="BB66" s="285"/>
      <c r="BC66" s="635"/>
      <c r="BD66" s="286"/>
      <c r="BE66" s="286"/>
      <c r="BF66" s="286"/>
      <c r="BG66" s="286"/>
      <c r="BH66" s="286"/>
      <c r="BI66" s="286"/>
      <c r="BJ66" s="286"/>
      <c r="BK66" s="286"/>
      <c r="BL66" s="1662"/>
      <c r="BM66" s="1662"/>
      <c r="BN66" s="1349"/>
      <c r="BO66" s="1349"/>
      <c r="BP66" s="1349"/>
      <c r="BQ66" s="287"/>
      <c r="BR66" s="1378"/>
      <c r="BS66" s="1378"/>
      <c r="BT66" s="1378"/>
    </row>
    <row r="67" spans="1:72" s="305" customFormat="1" ht="12" customHeight="1">
      <c r="A67" s="397"/>
      <c r="B67" s="398">
        <f>+B4</f>
        <v>42308</v>
      </c>
      <c r="C67" s="398">
        <f>+C4</f>
        <v>42400</v>
      </c>
      <c r="D67" s="398">
        <f>+D4</f>
        <v>42490</v>
      </c>
      <c r="E67" s="399">
        <f>+E4</f>
        <v>42582</v>
      </c>
      <c r="F67" s="400">
        <f>+F4</f>
        <v>42674</v>
      </c>
      <c r="G67" s="398">
        <f>+G4</f>
        <v>42766</v>
      </c>
      <c r="H67" s="398">
        <f>+H4</f>
        <v>42855</v>
      </c>
      <c r="I67" s="399">
        <f>+I4</f>
        <v>42947</v>
      </c>
      <c r="J67" s="400">
        <f>+J4</f>
        <v>43039</v>
      </c>
      <c r="K67" s="398">
        <f>+K4</f>
        <v>43131</v>
      </c>
      <c r="L67" s="398">
        <f>+L4</f>
        <v>43220</v>
      </c>
      <c r="M67" s="399">
        <f>+M4</f>
        <v>43312</v>
      </c>
      <c r="N67" s="400">
        <f>+N4</f>
        <v>43404</v>
      </c>
      <c r="O67" s="398">
        <f>+O4</f>
        <v>43496</v>
      </c>
      <c r="P67" s="398">
        <f>+P4</f>
        <v>43585</v>
      </c>
      <c r="Q67" s="399">
        <f>+Q4</f>
        <v>43677</v>
      </c>
      <c r="R67" s="400">
        <f>+R4</f>
        <v>43769</v>
      </c>
      <c r="S67" s="398">
        <f>+S4</f>
        <v>43861</v>
      </c>
      <c r="T67" s="177">
        <f>+T4</f>
        <v>43951</v>
      </c>
      <c r="U67" s="399">
        <f>+U4</f>
        <v>44043</v>
      </c>
      <c r="V67" s="400">
        <f>+V4</f>
        <v>44135</v>
      </c>
      <c r="W67" s="398" t="str">
        <f>+W4</f>
        <v>Jan-21</v>
      </c>
      <c r="X67" s="398" t="str">
        <f>+X4</f>
        <v>Apr-21</v>
      </c>
      <c r="Y67" s="401" t="str">
        <f>+Y4</f>
        <v>Jul-21</v>
      </c>
      <c r="Z67" s="400" t="str">
        <f>+Z4</f>
        <v>Oct-21</v>
      </c>
      <c r="AA67" s="398" t="str">
        <f>+AA4</f>
        <v>Jan-22</v>
      </c>
      <c r="AB67" s="398" t="str">
        <f>+AB4</f>
        <v>Apr-22</v>
      </c>
      <c r="AC67" s="401" t="str">
        <f>+AC4</f>
        <v>Jul-22</v>
      </c>
      <c r="AD67" s="400" t="str">
        <f>+AD4</f>
        <v>Oct-22</v>
      </c>
      <c r="AE67" s="398" t="str">
        <f>+AE4</f>
        <v>Jan-23</v>
      </c>
      <c r="AF67" s="398" t="str">
        <f>+AF4</f>
        <v>Apr-23</v>
      </c>
      <c r="AG67" s="401" t="str">
        <f>+AG4</f>
        <v>Jul-23</v>
      </c>
      <c r="AH67" s="400" t="str">
        <f>+AH4</f>
        <v>Oct-23</v>
      </c>
      <c r="AI67" s="398" t="str">
        <f>+AI4</f>
        <v>Jan-24</v>
      </c>
      <c r="AJ67" s="398" t="str">
        <f>+AJ4</f>
        <v>Apr-24</v>
      </c>
      <c r="AK67" s="401" t="str">
        <f>+AK4</f>
        <v>Jul-24</v>
      </c>
      <c r="AL67" s="400" t="str">
        <f>+AL4</f>
        <v>Oct-24</v>
      </c>
      <c r="AM67" s="398" t="str">
        <f>+AM4</f>
        <v>Jan-25</v>
      </c>
      <c r="AN67" s="398" t="str">
        <f>+AN4</f>
        <v>Apr-25</v>
      </c>
      <c r="AO67" s="401" t="str">
        <f>+AO4</f>
        <v>Jul-25</v>
      </c>
      <c r="AP67" s="400" t="str">
        <f>+AP4</f>
        <v>Oct-25</v>
      </c>
      <c r="AQ67" s="398" t="str">
        <f>+AQ4</f>
        <v>Jan-26</v>
      </c>
      <c r="AR67" s="398" t="str">
        <f>+AR4</f>
        <v>Apr-26E</v>
      </c>
      <c r="AS67" s="401" t="str">
        <f>+AS4</f>
        <v>Jul-26E</v>
      </c>
      <c r="AT67" s="400" t="str">
        <f>+AT4</f>
        <v>Oct-26E</v>
      </c>
      <c r="AU67" s="398" t="str">
        <f>+AU4</f>
        <v>Jan-27E</v>
      </c>
      <c r="AV67" s="398" t="str">
        <f>+AV4</f>
        <v>Apr-27E</v>
      </c>
      <c r="AW67" s="401" t="str">
        <f>+AW4</f>
        <v>Jul-27E</v>
      </c>
      <c r="AX67" s="400" t="str">
        <f>+AX4</f>
        <v>Oct-27E</v>
      </c>
      <c r="AY67" s="398" t="str">
        <f>+AY4</f>
        <v>Jan-28E</v>
      </c>
      <c r="AZ67" s="398" t="str">
        <f>+AZ4</f>
        <v>Apr-28E</v>
      </c>
      <c r="BA67" s="401" t="str">
        <f>+BA4</f>
        <v>Jul-28E</v>
      </c>
      <c r="BB67" s="403"/>
      <c r="BC67" s="636"/>
      <c r="BD67" s="402" t="str">
        <f t="shared" ref="BD67:BM67" si="503">+BD4</f>
        <v>FY16</v>
      </c>
      <c r="BE67" s="402" t="str">
        <f t="shared" si="503"/>
        <v>FY17</v>
      </c>
      <c r="BF67" s="402" t="str">
        <f t="shared" si="503"/>
        <v>FY18</v>
      </c>
      <c r="BG67" s="402" t="str">
        <f t="shared" si="503"/>
        <v>FY19</v>
      </c>
      <c r="BH67" s="402" t="str">
        <f t="shared" si="503"/>
        <v>FY20</v>
      </c>
      <c r="BI67" s="402" t="str">
        <f t="shared" si="503"/>
        <v>FY21</v>
      </c>
      <c r="BJ67" s="402" t="str">
        <f t="shared" si="503"/>
        <v>FY22</v>
      </c>
      <c r="BK67" s="402" t="str">
        <f t="shared" si="503"/>
        <v>FY23</v>
      </c>
      <c r="BL67" s="402" t="str">
        <f t="shared" si="503"/>
        <v>FY24</v>
      </c>
      <c r="BM67" s="402" t="str">
        <f t="shared" si="503"/>
        <v>FY25</v>
      </c>
      <c r="BN67" s="402" t="str">
        <f t="shared" ref="BN67:BO67" si="504">+BN4</f>
        <v>FY26E</v>
      </c>
      <c r="BO67" s="402" t="str">
        <f t="shared" si="504"/>
        <v>FY27E</v>
      </c>
      <c r="BP67" s="402" t="str">
        <f t="shared" ref="BP67" si="505">+BP4</f>
        <v>FY28E</v>
      </c>
      <c r="BQ67" s="405"/>
      <c r="BR67" s="1379"/>
      <c r="BS67" s="1379"/>
      <c r="BT67" s="1379"/>
    </row>
    <row r="68" spans="1:72" ht="12" customHeight="1">
      <c r="A68" s="406" t="s">
        <v>181</v>
      </c>
      <c r="B68" s="407"/>
      <c r="C68" s="407"/>
      <c r="D68" s="407"/>
      <c r="E68" s="408"/>
      <c r="F68" s="409"/>
      <c r="G68" s="407"/>
      <c r="H68" s="407"/>
      <c r="I68" s="408"/>
      <c r="J68" s="409"/>
      <c r="K68" s="407"/>
      <c r="L68" s="407"/>
      <c r="M68" s="408"/>
      <c r="N68" s="410"/>
      <c r="O68" s="411"/>
      <c r="P68" s="411"/>
      <c r="Q68" s="412"/>
      <c r="R68" s="410"/>
      <c r="S68" s="411"/>
      <c r="T68" s="407"/>
      <c r="U68" s="412"/>
      <c r="V68" s="410"/>
      <c r="W68" s="411"/>
      <c r="X68" s="411"/>
      <c r="Y68" s="413"/>
      <c r="Z68" s="410"/>
      <c r="AA68" s="411"/>
      <c r="AB68" s="411"/>
      <c r="AC68" s="413"/>
      <c r="AD68" s="410"/>
      <c r="AE68" s="411"/>
      <c r="AF68" s="411"/>
      <c r="AG68" s="413"/>
      <c r="AH68" s="410"/>
      <c r="AI68" s="411"/>
      <c r="AJ68" s="411"/>
      <c r="AK68" s="413"/>
      <c r="AL68" s="410"/>
      <c r="AM68" s="411"/>
      <c r="AN68" s="411"/>
      <c r="AO68" s="413"/>
      <c r="AP68" s="410"/>
      <c r="AQ68" s="411"/>
      <c r="AR68" s="411"/>
      <c r="AS68" s="413"/>
      <c r="AT68" s="410"/>
      <c r="AU68" s="411"/>
      <c r="AV68" s="411"/>
      <c r="AW68" s="413"/>
      <c r="AX68" s="410"/>
      <c r="AY68" s="411"/>
      <c r="AZ68" s="411"/>
      <c r="BA68" s="413"/>
      <c r="BB68" s="639"/>
      <c r="BC68" s="441"/>
      <c r="BD68" s="415"/>
      <c r="BE68" s="441"/>
      <c r="BF68" s="415"/>
      <c r="BG68" s="441"/>
      <c r="BH68" s="441"/>
      <c r="BI68" s="415"/>
      <c r="BJ68" s="441"/>
      <c r="BK68" s="415"/>
      <c r="BL68" s="441"/>
      <c r="BM68" s="415"/>
      <c r="BN68" s="415"/>
      <c r="BO68" s="415"/>
      <c r="BP68" s="415"/>
      <c r="BQ68" s="287"/>
    </row>
    <row r="69" spans="1:72" s="288" customFormat="1" ht="12" customHeight="1">
      <c r="A69" s="416" t="s">
        <v>31</v>
      </c>
      <c r="B69" s="417" t="str">
        <f>IFERROR(B7/#REF!-1,"NA")</f>
        <v>NA</v>
      </c>
      <c r="C69" s="417" t="str">
        <f>IFERROR(C7/#REF!-1,"NA")</f>
        <v>NA</v>
      </c>
      <c r="D69" s="417" t="str">
        <f>IFERROR(D7/#REF!-1,"NA")</f>
        <v>NA</v>
      </c>
      <c r="E69" s="418" t="str">
        <f>IFERROR(E7/A7-1,"NA")</f>
        <v>NA</v>
      </c>
      <c r="F69" s="419">
        <f t="shared" ref="F69:AQ69" si="506">IF(OR(B9&lt;=0,F9&lt;=0),"NM",(F9-B9)/B9)</f>
        <v>9.1164095371669002E-2</v>
      </c>
      <c r="G69" s="417">
        <f t="shared" si="506"/>
        <v>0.10075839653304441</v>
      </c>
      <c r="H69" s="417">
        <f t="shared" si="506"/>
        <v>0.10286458333333333</v>
      </c>
      <c r="I69" s="418">
        <f t="shared" si="506"/>
        <v>0.11671087533156499</v>
      </c>
      <c r="J69" s="419">
        <f t="shared" si="506"/>
        <v>0.16966580976863754</v>
      </c>
      <c r="K69" s="417">
        <f t="shared" si="506"/>
        <v>0.31791338582677164</v>
      </c>
      <c r="L69" s="417">
        <f t="shared" si="506"/>
        <v>0.14600550964187328</v>
      </c>
      <c r="M69" s="418">
        <f t="shared" si="506"/>
        <v>2.6128266033254157E-2</v>
      </c>
      <c r="N69" s="419">
        <f t="shared" si="506"/>
        <v>0.11648351648351649</v>
      </c>
      <c r="O69" s="417">
        <f t="shared" si="506"/>
        <v>0.12173263629574309</v>
      </c>
      <c r="P69" s="417">
        <f t="shared" si="506"/>
        <v>0.12362637362637363</v>
      </c>
      <c r="Q69" s="418">
        <f t="shared" si="506"/>
        <v>0.15046296296296297</v>
      </c>
      <c r="R69" s="419">
        <f t="shared" si="506"/>
        <v>0.1466535433070866</v>
      </c>
      <c r="S69" s="417">
        <f t="shared" si="506"/>
        <v>0.12916111850865514</v>
      </c>
      <c r="T69" s="417">
        <f t="shared" si="506"/>
        <v>-8.2518337408312964E-2</v>
      </c>
      <c r="U69" s="418">
        <f t="shared" si="506"/>
        <v>0.82696177062374243</v>
      </c>
      <c r="V69" s="419">
        <f t="shared" si="506"/>
        <v>0.13562231759656651</v>
      </c>
      <c r="W69" s="417">
        <f t="shared" si="506"/>
        <v>-7.0754716981132074E-2</v>
      </c>
      <c r="X69" s="417">
        <f t="shared" si="506"/>
        <v>0.39007328447701534</v>
      </c>
      <c r="Y69" s="424">
        <f t="shared" si="506"/>
        <v>0.41024229074889867</v>
      </c>
      <c r="Z69" s="419">
        <f t="shared" si="506"/>
        <v>0.51700680272108845</v>
      </c>
      <c r="AA69" s="417">
        <f t="shared" si="506"/>
        <v>0.69606598984771573</v>
      </c>
      <c r="AB69" s="417">
        <f t="shared" si="506"/>
        <v>0.34962856458183539</v>
      </c>
      <c r="AC69" s="424">
        <f t="shared" si="506"/>
        <v>-5.739945333853963E-2</v>
      </c>
      <c r="AD69" s="419">
        <f t="shared" si="506"/>
        <v>0.29397110114598901</v>
      </c>
      <c r="AE69" s="417">
        <f t="shared" si="506"/>
        <v>0.13767302656191546</v>
      </c>
      <c r="AF69" s="417">
        <f t="shared" si="506"/>
        <v>6.853693181818199E-2</v>
      </c>
      <c r="AG69" s="420">
        <f t="shared" si="506"/>
        <v>0.12344656172328086</v>
      </c>
      <c r="AH69" s="419">
        <f t="shared" si="506"/>
        <v>0.14670773969965345</v>
      </c>
      <c r="AI69" s="417">
        <f t="shared" si="506"/>
        <v>0.11344952318316344</v>
      </c>
      <c r="AJ69" s="417">
        <f t="shared" si="506"/>
        <v>0.11947490860751064</v>
      </c>
      <c r="AK69" s="420">
        <f t="shared" si="506"/>
        <v>0.17404129793510342</v>
      </c>
      <c r="AL69" s="419">
        <f t="shared" si="506"/>
        <v>0.10241773002014776</v>
      </c>
      <c r="AM69" s="417">
        <f t="shared" si="506"/>
        <v>0.17040756054341405</v>
      </c>
      <c r="AN69" s="417">
        <f t="shared" si="506"/>
        <v>0.15095739943595088</v>
      </c>
      <c r="AO69" s="420">
        <f t="shared" si="506"/>
        <v>0.20320351758793953</v>
      </c>
      <c r="AP69" s="419">
        <f t="shared" si="506"/>
        <v>0.18336886993603413</v>
      </c>
      <c r="AQ69" s="417">
        <f t="shared" si="506"/>
        <v>0.1736058541508958</v>
      </c>
      <c r="AR69" s="417">
        <f t="shared" ref="AR69" si="507">IF(OR(AN9&lt;=0,AR9&lt;=0),"NM",(AR9-AN9)/AN9)</f>
        <v>9.4734330668042266E-2</v>
      </c>
      <c r="AS69" s="420">
        <f t="shared" ref="AS69" si="508">IF(OR(AO9&lt;=0,AS9&lt;=0),"NM",(AS9-AO9)/AO9)</f>
        <v>0.11005677368833193</v>
      </c>
      <c r="AT69" s="419">
        <f t="shared" ref="AT69" si="509">IF(OR(AP9&lt;=0,AT9&lt;=0),"NM",(AT9-AP9)/AP9)</f>
        <v>0.13701415701415706</v>
      </c>
      <c r="AU69" s="417">
        <f t="shared" ref="AU69" si="510">IF(OR(AQ9&lt;=0,AU9&lt;=0),"NM",(AU9-AQ9)/AQ9)</f>
        <v>0.13981834239958943</v>
      </c>
      <c r="AV69" s="417">
        <f t="shared" ref="AV69" si="511">IF(OR(AR9&lt;=0,AV9&lt;=0),"NM",(AV9-AR9)/AR9)</f>
        <v>9.5975852020167021E-2</v>
      </c>
      <c r="AW69" s="420">
        <f t="shared" ref="AW69" si="512">IF(OR(AS9&lt;=0,AW9&lt;=0),"NM",(AW9-AS9)/AS9)</f>
        <v>0.1158922847495769</v>
      </c>
      <c r="AX69" s="419">
        <f t="shared" ref="AX69" si="513">IF(OR(AT9&lt;=0,AX9&lt;=0),"NM",(AX9-AT9)/AT9)</f>
        <v>0.12703039130419952</v>
      </c>
      <c r="AY69" s="417">
        <f t="shared" ref="AY69" si="514">IF(OR(AU9&lt;=0,AY9&lt;=0),"NM",(AY9-AU9)/AU9)</f>
        <v>0.13614582507031198</v>
      </c>
      <c r="AZ69" s="417">
        <f t="shared" ref="AZ69" si="515">IF(OR(AV9&lt;=0,AZ9&lt;=0),"NM",(AZ9-AV9)/AV9)</f>
        <v>0.10040521406941398</v>
      </c>
      <c r="BA69" s="420">
        <f t="shared" ref="BA69" si="516">IF(OR(AW9&lt;=0,BA9&lt;=0),"NM",(BA9-AW9)/AW9)</f>
        <v>0.12378070302717514</v>
      </c>
      <c r="BB69" s="640"/>
      <c r="BC69" s="637"/>
      <c r="BD69" s="420" t="str">
        <f t="shared" ref="BD69" si="517">IFERROR(BD7/BC7-1,"NA")</f>
        <v>NA</v>
      </c>
      <c r="BE69" s="420">
        <f t="shared" ref="BE69:BP69" si="518">IFERROR(BE9/BD9-1,"NA")</f>
        <v>0.10289731572219862</v>
      </c>
      <c r="BF69" s="420">
        <f t="shared" si="518"/>
        <v>0.16380142939926601</v>
      </c>
      <c r="BG69" s="420">
        <f t="shared" si="518"/>
        <v>0.12597510373443987</v>
      </c>
      <c r="BH69" s="420">
        <f t="shared" si="518"/>
        <v>0.13192806603773577</v>
      </c>
      <c r="BI69" s="420">
        <f t="shared" si="518"/>
        <v>0.25446021617398107</v>
      </c>
      <c r="BJ69" s="420">
        <f t="shared" si="518"/>
        <v>0.32108377452507009</v>
      </c>
      <c r="BK69" s="420">
        <f t="shared" si="518"/>
        <v>0.1290271884331291</v>
      </c>
      <c r="BL69" s="420">
        <f t="shared" si="518"/>
        <v>0.13342149220489974</v>
      </c>
      <c r="BM69" s="420">
        <f t="shared" si="518"/>
        <v>0.15634019035922631</v>
      </c>
      <c r="BN69" s="420">
        <f t="shared" si="518"/>
        <v>0.12990268705857355</v>
      </c>
      <c r="BO69" s="420">
        <f t="shared" si="518"/>
        <v>0.11703324960193662</v>
      </c>
      <c r="BP69" s="420">
        <f t="shared" si="518"/>
        <v>0.11799282604079897</v>
      </c>
      <c r="BQ69" s="421"/>
      <c r="BR69" s="1378"/>
      <c r="BS69" s="1378"/>
      <c r="BT69" s="1378"/>
    </row>
    <row r="70" spans="1:72" ht="12" customHeight="1">
      <c r="A70" s="422" t="s">
        <v>39</v>
      </c>
      <c r="B70" s="423" t="str">
        <f>IFERROR(B15/#REF!-1,"NA")</f>
        <v>NA</v>
      </c>
      <c r="C70" s="423" t="str">
        <f>IFERROR(C15/#REF!-1,"NA")</f>
        <v>NA</v>
      </c>
      <c r="D70" s="423" t="str">
        <f>IFERROR(D15/#REF!-1,"NA")</f>
        <v>NA</v>
      </c>
      <c r="E70" s="424" t="str">
        <f>IFERROR(E15/A15-1,"NA")</f>
        <v>NA</v>
      </c>
      <c r="F70" s="425">
        <f t="shared" ref="F70:O71" si="519">IF(OR(B15&lt;=0,F15&lt;=0),"NM",(F15-B15)/B15)</f>
        <v>0.12658227848101267</v>
      </c>
      <c r="G70" s="423">
        <f t="shared" si="519"/>
        <v>5.2356020942408377E-2</v>
      </c>
      <c r="H70" s="423">
        <f t="shared" si="519"/>
        <v>0.11004784688995216</v>
      </c>
      <c r="I70" s="424">
        <f t="shared" si="519"/>
        <v>8.5365853658536592E-2</v>
      </c>
      <c r="J70" s="425">
        <f t="shared" si="519"/>
        <v>8.4269662921348312E-2</v>
      </c>
      <c r="K70" s="423">
        <f t="shared" si="519"/>
        <v>0.14427860696517414</v>
      </c>
      <c r="L70" s="423">
        <f t="shared" si="519"/>
        <v>0.23275862068965517</v>
      </c>
      <c r="M70" s="424">
        <f t="shared" si="519"/>
        <v>0.1853932584269663</v>
      </c>
      <c r="N70" s="425">
        <f t="shared" si="519"/>
        <v>0.18134715025906736</v>
      </c>
      <c r="O70" s="423">
        <f t="shared" si="519"/>
        <v>0.15217391304347827</v>
      </c>
      <c r="P70" s="423">
        <f t="shared" ref="P70:Y71" si="520">IF(OR(L15&lt;=0,P15&lt;=0),"NM",(P15-L15)/L15)</f>
        <v>0.16783216783216784</v>
      </c>
      <c r="Q70" s="424">
        <f t="shared" si="520"/>
        <v>0.24170616113744076</v>
      </c>
      <c r="R70" s="425">
        <f t="shared" si="520"/>
        <v>0.17982456140350878</v>
      </c>
      <c r="S70" s="423">
        <f t="shared" si="520"/>
        <v>0.20754716981132076</v>
      </c>
      <c r="T70" s="423">
        <f t="shared" si="520"/>
        <v>0.21556886227544911</v>
      </c>
      <c r="U70" s="424">
        <f t="shared" si="520"/>
        <v>0.14885496183206107</v>
      </c>
      <c r="V70" s="425">
        <f t="shared" si="520"/>
        <v>-0.13011152416356878</v>
      </c>
      <c r="W70" s="423">
        <f t="shared" si="520"/>
        <v>5.3124999999999999E-2</v>
      </c>
      <c r="X70" s="423">
        <f t="shared" si="520"/>
        <v>0.39162561576354682</v>
      </c>
      <c r="Y70" s="424">
        <f t="shared" si="520"/>
        <v>0.42192691029900331</v>
      </c>
      <c r="Z70" s="425">
        <f t="shared" ref="Z70:AI71" si="521">IF(OR(V15&lt;=0,Z15&lt;=0),"NM",(Z15-V15)/V15)</f>
        <v>0.60256410256410253</v>
      </c>
      <c r="AA70" s="423">
        <f t="shared" si="521"/>
        <v>0.43916913946587538</v>
      </c>
      <c r="AB70" s="423">
        <f t="shared" si="521"/>
        <v>0.31327433628318585</v>
      </c>
      <c r="AC70" s="424">
        <f t="shared" si="521"/>
        <v>0.2102803738317757</v>
      </c>
      <c r="AD70" s="425">
        <f t="shared" si="521"/>
        <v>0.46400000000000002</v>
      </c>
      <c r="AE70" s="423">
        <f t="shared" si="521"/>
        <v>0.3216494845360825</v>
      </c>
      <c r="AF70" s="423">
        <f t="shared" si="521"/>
        <v>0.11455525606469003</v>
      </c>
      <c r="AG70" s="426">
        <f t="shared" si="521"/>
        <v>0.13706563706563707</v>
      </c>
      <c r="AH70" s="425">
        <f t="shared" si="521"/>
        <v>0.13114754098360656</v>
      </c>
      <c r="AI70" s="423">
        <f t="shared" si="521"/>
        <v>0.12012480499219969</v>
      </c>
      <c r="AJ70" s="423">
        <f t="shared" ref="AJ70:AS71" si="522">IF(OR(AF15&lt;=0,AJ15&lt;=0),"NM",(AJ15-AF15)/AF15)</f>
        <v>0.12817412333736397</v>
      </c>
      <c r="AK70" s="426">
        <f t="shared" si="522"/>
        <v>9.5076400679117143E-2</v>
      </c>
      <c r="AL70" s="425">
        <f t="shared" si="522"/>
        <v>8.6956521739130432E-2</v>
      </c>
      <c r="AM70" s="423">
        <f t="shared" si="522"/>
        <v>0.10027855153203342</v>
      </c>
      <c r="AN70" s="423">
        <f t="shared" si="522"/>
        <v>0.13076098606645231</v>
      </c>
      <c r="AO70" s="426">
        <f t="shared" si="522"/>
        <v>0.16124031007751938</v>
      </c>
      <c r="AP70" s="425">
        <f t="shared" si="522"/>
        <v>9.9259259259259255E-2</v>
      </c>
      <c r="AQ70" s="423">
        <f t="shared" si="522"/>
        <v>0.14556962025316456</v>
      </c>
      <c r="AR70" s="423">
        <f t="shared" si="522"/>
        <v>9.7960942835953829E-2</v>
      </c>
      <c r="AS70" s="426">
        <f t="shared" si="522"/>
        <v>0.11751602188970836</v>
      </c>
      <c r="AT70" s="425">
        <f t="shared" ref="AT70:BA71" si="523">IF(OR(AP15&lt;=0,AT15&lt;=0),"NM",(AT15-AP15)/AP15)</f>
        <v>0.14304293427021519</v>
      </c>
      <c r="AU70" s="423">
        <f t="shared" si="523"/>
        <v>0.15240776141291132</v>
      </c>
      <c r="AV70" s="423">
        <f t="shared" si="523"/>
        <v>9.933363010099347E-2</v>
      </c>
      <c r="AW70" s="426">
        <f t="shared" si="523"/>
        <v>0.12322999955891108</v>
      </c>
      <c r="AX70" s="425">
        <f t="shared" si="523"/>
        <v>0.1336480144871364</v>
      </c>
      <c r="AY70" s="423">
        <f t="shared" si="523"/>
        <v>0.14852549711503624</v>
      </c>
      <c r="AZ70" s="423">
        <f t="shared" si="523"/>
        <v>0.1040026066352341</v>
      </c>
      <c r="BA70" s="426">
        <f t="shared" si="523"/>
        <v>0.13095805831864427</v>
      </c>
      <c r="BB70" s="641"/>
      <c r="BC70" s="638"/>
      <c r="BD70" s="426" t="str">
        <f t="shared" ref="BD70:BP70" si="524">IFERROR(BD15/BC15-1,"NA")</f>
        <v>NA</v>
      </c>
      <c r="BE70" s="426">
        <f t="shared" si="524"/>
        <v>9.2797783933517897E-2</v>
      </c>
      <c r="BF70" s="426">
        <f t="shared" si="524"/>
        <v>0.1660329531051965</v>
      </c>
      <c r="BG70" s="426">
        <f t="shared" si="524"/>
        <v>0.18369565217391304</v>
      </c>
      <c r="BH70" s="426">
        <f t="shared" si="524"/>
        <v>0.19008264462809921</v>
      </c>
      <c r="BI70" s="426">
        <f t="shared" si="524"/>
        <v>0.20679012345679015</v>
      </c>
      <c r="BJ70" s="426">
        <f t="shared" si="524"/>
        <v>0.35549872122762149</v>
      </c>
      <c r="BK70" s="426">
        <f t="shared" si="524"/>
        <v>0.22924528301886782</v>
      </c>
      <c r="BL70" s="426">
        <f t="shared" si="524"/>
        <v>0.11933998465080586</v>
      </c>
      <c r="BM70" s="426">
        <f t="shared" si="524"/>
        <v>0.12067192320877607</v>
      </c>
      <c r="BN70" s="426">
        <f t="shared" si="524"/>
        <v>0.11421483483858141</v>
      </c>
      <c r="BO70" s="426">
        <f t="shared" si="524"/>
        <v>0.12691626634656017</v>
      </c>
      <c r="BP70" s="426">
        <f t="shared" si="524"/>
        <v>0.12761493181917127</v>
      </c>
      <c r="BQ70" s="427"/>
    </row>
    <row r="71" spans="1:72" ht="12" customHeight="1">
      <c r="A71" s="422" t="s">
        <v>287</v>
      </c>
      <c r="B71" s="423" t="str">
        <f>IFERROR(B16/#REF!-1,"NA")</f>
        <v>NA</v>
      </c>
      <c r="C71" s="423" t="str">
        <f>IFERROR(C16/#REF!-1,"NA")</f>
        <v>NA</v>
      </c>
      <c r="D71" s="423" t="str">
        <f>IFERROR(D16/#REF!-1,"NA")</f>
        <v>NA</v>
      </c>
      <c r="E71" s="424" t="str">
        <f>IFERROR(E16/A16-1,"NA")</f>
        <v>NA</v>
      </c>
      <c r="F71" s="425">
        <f t="shared" si="519"/>
        <v>8.1081081081081086E-2</v>
      </c>
      <c r="G71" s="423">
        <f t="shared" si="519"/>
        <v>0.1133879781420765</v>
      </c>
      <c r="H71" s="423">
        <f t="shared" si="519"/>
        <v>0.10214797136038187</v>
      </c>
      <c r="I71" s="424">
        <f t="shared" si="519"/>
        <v>0.12542372881355932</v>
      </c>
      <c r="J71" s="425">
        <f t="shared" si="519"/>
        <v>0.19500000000000001</v>
      </c>
      <c r="K71" s="423">
        <f t="shared" si="519"/>
        <v>0.36073619631901843</v>
      </c>
      <c r="L71" s="423">
        <f t="shared" si="519"/>
        <v>0.13728886964053702</v>
      </c>
      <c r="M71" s="424">
        <f t="shared" si="519"/>
        <v>-1.6566265060240965E-2</v>
      </c>
      <c r="N71" s="425">
        <f t="shared" si="519"/>
        <v>9.9023709902370985E-2</v>
      </c>
      <c r="O71" s="423">
        <f t="shared" si="519"/>
        <v>0.11541929666366095</v>
      </c>
      <c r="P71" s="423">
        <f t="shared" si="520"/>
        <v>0.11881188118811881</v>
      </c>
      <c r="Q71" s="424">
        <f t="shared" si="520"/>
        <v>0.12098009188361408</v>
      </c>
      <c r="R71" s="425">
        <f t="shared" si="520"/>
        <v>0.13705583756345177</v>
      </c>
      <c r="S71" s="423">
        <f t="shared" si="520"/>
        <v>0.11236863379143087</v>
      </c>
      <c r="T71" s="423">
        <f t="shared" si="520"/>
        <v>-0.11640571817562968</v>
      </c>
      <c r="U71" s="424">
        <f t="shared" si="520"/>
        <v>1.069672131147541</v>
      </c>
      <c r="V71" s="425">
        <f t="shared" si="520"/>
        <v>0.21540178571428573</v>
      </c>
      <c r="W71" s="423">
        <f t="shared" si="520"/>
        <v>-9.9563953488372089E-2</v>
      </c>
      <c r="X71" s="423">
        <f t="shared" si="520"/>
        <v>0.38983050847457629</v>
      </c>
      <c r="Y71" s="424">
        <f t="shared" si="520"/>
        <v>0.40792079207920789</v>
      </c>
      <c r="Z71" s="425">
        <f t="shared" si="521"/>
        <v>0.49862258953168043</v>
      </c>
      <c r="AA71" s="423">
        <f t="shared" si="521"/>
        <v>0.76594027441485069</v>
      </c>
      <c r="AB71" s="423">
        <f t="shared" si="521"/>
        <v>0.3553215077605319</v>
      </c>
      <c r="AC71" s="424">
        <f t="shared" si="521"/>
        <v>-0.1111111111111111</v>
      </c>
      <c r="AD71" s="425">
        <f t="shared" si="521"/>
        <v>0.25490196078431371</v>
      </c>
      <c r="AE71" s="423">
        <f t="shared" si="521"/>
        <v>9.6892138939670927E-2</v>
      </c>
      <c r="AF71" s="423">
        <f t="shared" si="521"/>
        <v>6.1554192229039052E-2</v>
      </c>
      <c r="AG71" s="426">
        <f t="shared" si="521"/>
        <v>0.11972573839662447</v>
      </c>
      <c r="AH71" s="425">
        <f t="shared" si="521"/>
        <v>0.15087890625</v>
      </c>
      <c r="AI71" s="423">
        <f t="shared" si="521"/>
        <v>0.11166666666666666</v>
      </c>
      <c r="AJ71" s="423">
        <f t="shared" si="522"/>
        <v>0.11808900019264093</v>
      </c>
      <c r="AK71" s="426">
        <f t="shared" si="522"/>
        <v>0.19594912859161584</v>
      </c>
      <c r="AL71" s="425">
        <f t="shared" si="522"/>
        <v>0.10649130250318201</v>
      </c>
      <c r="AM71" s="423">
        <f t="shared" si="522"/>
        <v>0.18928035982008995</v>
      </c>
      <c r="AN71" s="423">
        <f t="shared" si="522"/>
        <v>0.15420399724328068</v>
      </c>
      <c r="AO71" s="426">
        <f t="shared" si="522"/>
        <v>0.21386372587632904</v>
      </c>
      <c r="AP71" s="425">
        <f t="shared" si="522"/>
        <v>0.20513803680981596</v>
      </c>
      <c r="AQ71" s="423">
        <f t="shared" si="522"/>
        <v>0.18058619602899464</v>
      </c>
      <c r="AR71" s="423">
        <f t="shared" si="522"/>
        <v>9.4226183804757196E-2</v>
      </c>
      <c r="AS71" s="426">
        <f t="shared" si="522"/>
        <v>0.10824399727599229</v>
      </c>
      <c r="AT71" s="425">
        <f t="shared" si="523"/>
        <v>0.13559088220537716</v>
      </c>
      <c r="AU71" s="423">
        <f t="shared" si="523"/>
        <v>0.13677685168761491</v>
      </c>
      <c r="AV71" s="423">
        <f t="shared" si="523"/>
        <v>9.5445243449998371E-2</v>
      </c>
      <c r="AW71" s="426">
        <f t="shared" si="523"/>
        <v>0.11409412454370323</v>
      </c>
      <c r="AX71" s="425">
        <f t="shared" si="523"/>
        <v>0.12545784948015018</v>
      </c>
      <c r="AY71" s="423">
        <f t="shared" si="523"/>
        <v>0.13311388300098487</v>
      </c>
      <c r="AZ71" s="423">
        <f t="shared" si="523"/>
        <v>9.9834722877924512E-2</v>
      </c>
      <c r="BA71" s="426">
        <f t="shared" si="523"/>
        <v>0.12200741692881584</v>
      </c>
      <c r="BB71" s="641"/>
      <c r="BC71" s="638"/>
      <c r="BD71" s="426" t="str">
        <f t="shared" ref="BD71:BP71" si="525">IFERROR(BD16/BC16-1,"NA")</f>
        <v>NA</v>
      </c>
      <c r="BE71" s="426">
        <f t="shared" si="525"/>
        <v>0.10473313192346434</v>
      </c>
      <c r="BF71" s="426">
        <f t="shared" si="525"/>
        <v>0.16340018231540565</v>
      </c>
      <c r="BG71" s="426">
        <f t="shared" si="525"/>
        <v>0.11557296767874625</v>
      </c>
      <c r="BH71" s="426">
        <f t="shared" si="525"/>
        <v>0.12080772607550472</v>
      </c>
      <c r="BI71" s="426">
        <f t="shared" si="525"/>
        <v>0.26413911953626812</v>
      </c>
      <c r="BJ71" s="426">
        <f t="shared" si="525"/>
        <v>0.31441318626843473</v>
      </c>
      <c r="BK71" s="426">
        <f t="shared" si="525"/>
        <v>0.10899490854233451</v>
      </c>
      <c r="BL71" s="426">
        <f t="shared" si="525"/>
        <v>0.1365414045230402</v>
      </c>
      <c r="BM71" s="426">
        <f t="shared" si="525"/>
        <v>0.16412327947336913</v>
      </c>
      <c r="BN71" s="426">
        <f t="shared" si="525"/>
        <v>0.13319812395017827</v>
      </c>
      <c r="BO71" s="426">
        <f t="shared" si="525"/>
        <v>0.1149919717175778</v>
      </c>
      <c r="BP71" s="426">
        <f t="shared" si="525"/>
        <v>0.1159841836058102</v>
      </c>
      <c r="BQ71" s="427"/>
    </row>
    <row r="72" spans="1:72" ht="12" customHeight="1">
      <c r="A72" s="422" t="s">
        <v>321</v>
      </c>
      <c r="B72" s="423" t="str">
        <f>IFERROR(B20/#REF!-1,"NA")</f>
        <v>NA</v>
      </c>
      <c r="C72" s="423" t="str">
        <f>IFERROR(C20/#REF!-1,"NA")</f>
        <v>NA</v>
      </c>
      <c r="D72" s="423" t="str">
        <f>IFERROR(D20/#REF!-1,"NA")</f>
        <v>NA</v>
      </c>
      <c r="E72" s="424" t="str">
        <f>IFERROR(E20/A20-1,"NA")</f>
        <v>NA</v>
      </c>
      <c r="F72" s="425">
        <f t="shared" ref="F72:O76" si="526">IF(OR(B20&lt;=0,F20&lt;=0),"NM",(F20-B20)/B20)</f>
        <v>0.14666666666666667</v>
      </c>
      <c r="G72" s="423">
        <f t="shared" si="526"/>
        <v>0.13313609467455623</v>
      </c>
      <c r="H72" s="423">
        <f t="shared" si="526"/>
        <v>0.10617283950617284</v>
      </c>
      <c r="I72" s="424">
        <f t="shared" si="526"/>
        <v>-4.0983606557377051E-3</v>
      </c>
      <c r="J72" s="425">
        <f t="shared" si="526"/>
        <v>9.6899224806201556E-2</v>
      </c>
      <c r="K72" s="423">
        <f t="shared" si="526"/>
        <v>0.15926892950391644</v>
      </c>
      <c r="L72" s="423">
        <f t="shared" si="526"/>
        <v>0.16964285714285715</v>
      </c>
      <c r="M72" s="424">
        <f t="shared" si="526"/>
        <v>0.14814814814814814</v>
      </c>
      <c r="N72" s="425">
        <f t="shared" si="526"/>
        <v>0.1166077738515901</v>
      </c>
      <c r="O72" s="423">
        <f t="shared" si="526"/>
        <v>0.17792792792792791</v>
      </c>
      <c r="P72" s="423">
        <f t="shared" ref="P72:Y76" si="527">IF(OR(L20&lt;=0,P20&lt;=0),"NM",(P20-L20)/L20)</f>
        <v>0.20038167938931298</v>
      </c>
      <c r="Q72" s="424">
        <f t="shared" si="527"/>
        <v>0.27598566308243727</v>
      </c>
      <c r="R72" s="425">
        <f t="shared" si="527"/>
        <v>0.11708860759493671</v>
      </c>
      <c r="S72" s="423">
        <f t="shared" si="527"/>
        <v>7.8393881453154873E-2</v>
      </c>
      <c r="T72" s="423">
        <f t="shared" si="527"/>
        <v>-1.2718600953895072E-2</v>
      </c>
      <c r="U72" s="424">
        <f t="shared" si="527"/>
        <v>0.10674157303370786</v>
      </c>
      <c r="V72" s="425">
        <f t="shared" si="527"/>
        <v>-6.5155807365439092E-2</v>
      </c>
      <c r="W72" s="423">
        <f t="shared" si="527"/>
        <v>-4.9645390070921988E-2</v>
      </c>
      <c r="X72" s="423">
        <f t="shared" si="527"/>
        <v>0.29790660225442833</v>
      </c>
      <c r="Y72" s="424">
        <f t="shared" si="527"/>
        <v>1.0025380710659899</v>
      </c>
      <c r="Z72" s="425">
        <f t="shared" ref="Z72:AI76" si="528">IF(OR(V20&lt;=0,Z20&lt;=0),"NM",(Z20-V20)/V20)</f>
        <v>0.47272727272727272</v>
      </c>
      <c r="AA72" s="423">
        <f t="shared" si="528"/>
        <v>0.60261194029850751</v>
      </c>
      <c r="AB72" s="423">
        <f t="shared" si="528"/>
        <v>0.41687344913151364</v>
      </c>
      <c r="AC72" s="424">
        <f t="shared" si="528"/>
        <v>-7.477820025348543E-2</v>
      </c>
      <c r="AD72" s="425">
        <f t="shared" si="528"/>
        <v>0.41769547325102879</v>
      </c>
      <c r="AE72" s="423">
        <f t="shared" si="528"/>
        <v>-5.0058207217694994E-2</v>
      </c>
      <c r="AF72" s="423">
        <f t="shared" si="528"/>
        <v>-3.0647985989492119E-2</v>
      </c>
      <c r="AG72" s="426">
        <f t="shared" si="528"/>
        <v>-1.2328767123287671E-2</v>
      </c>
      <c r="AH72" s="425">
        <f t="shared" si="528"/>
        <v>-6.2409288824383166E-2</v>
      </c>
      <c r="AI72" s="423">
        <f t="shared" si="528"/>
        <v>9.6813725490196081E-2</v>
      </c>
      <c r="AJ72" s="423">
        <f t="shared" ref="AJ72:AS76" si="529">IF(OR(AF20&lt;=0,AJ20&lt;=0),"NM",(AJ20-AF20)/AF20)</f>
        <v>0.17253839205058719</v>
      </c>
      <c r="AK72" s="426">
        <f t="shared" si="529"/>
        <v>0.34119278779472956</v>
      </c>
      <c r="AL72" s="425">
        <f t="shared" si="529"/>
        <v>0.27708978328173373</v>
      </c>
      <c r="AM72" s="423">
        <f t="shared" si="529"/>
        <v>0.19329608938547485</v>
      </c>
      <c r="AN72" s="423">
        <f t="shared" si="529"/>
        <v>0.14560862865947613</v>
      </c>
      <c r="AO72" s="426">
        <f t="shared" si="529"/>
        <v>0.15201654601861428</v>
      </c>
      <c r="AP72" s="425">
        <f t="shared" si="529"/>
        <v>0.12242424242424242</v>
      </c>
      <c r="AQ72" s="423">
        <f t="shared" si="529"/>
        <v>0.16573033707865167</v>
      </c>
      <c r="AR72" s="423">
        <f t="shared" si="529"/>
        <v>0.16609083705674446</v>
      </c>
      <c r="AS72" s="426">
        <f t="shared" si="529"/>
        <v>6.0430061390306711E-2</v>
      </c>
      <c r="AT72" s="425">
        <f t="shared" ref="AT72:BA76" si="530">IF(OR(AP20&lt;=0,AT20&lt;=0),"NM",(AT20-AP20)/AP20)</f>
        <v>0.12270324988672718</v>
      </c>
      <c r="AU72" s="423">
        <f t="shared" si="530"/>
        <v>0.12278606895219836</v>
      </c>
      <c r="AV72" s="423">
        <f t="shared" si="530"/>
        <v>6.9149465806916971E-2</v>
      </c>
      <c r="AW72" s="426">
        <f t="shared" si="530"/>
        <v>0.12077026402282734</v>
      </c>
      <c r="AX72" s="425">
        <f t="shared" si="530"/>
        <v>0.11745301499609512</v>
      </c>
      <c r="AY72" s="423">
        <f t="shared" si="530"/>
        <v>0.12752835692396763</v>
      </c>
      <c r="AZ72" s="423">
        <f t="shared" si="530"/>
        <v>9.046538560313741E-2</v>
      </c>
      <c r="BA72" s="426">
        <f t="shared" si="530"/>
        <v>0.10364126390482425</v>
      </c>
      <c r="BB72" s="641"/>
      <c r="BC72" s="638"/>
      <c r="BD72" s="426" t="str">
        <f t="shared" ref="BD72:BP72" si="531">IFERROR(BD20/BC20-1,"NA")</f>
        <v>NA</v>
      </c>
      <c r="BE72" s="426">
        <f t="shared" si="531"/>
        <v>9.9009900990099098E-2</v>
      </c>
      <c r="BF72" s="426">
        <f t="shared" si="531"/>
        <v>0.14864864864864868</v>
      </c>
      <c r="BG72" s="426">
        <f t="shared" si="531"/>
        <v>0.19215686274509802</v>
      </c>
      <c r="BH72" s="426">
        <f t="shared" si="531"/>
        <v>5.921052631578938E-2</v>
      </c>
      <c r="BI72" s="426">
        <f t="shared" si="531"/>
        <v>0.27380952380952372</v>
      </c>
      <c r="BJ72" s="426">
        <f t="shared" si="531"/>
        <v>0.30719219829337674</v>
      </c>
      <c r="BK72" s="426">
        <f t="shared" si="531"/>
        <v>3.6058439539944143E-2</v>
      </c>
      <c r="BL72" s="426">
        <f t="shared" si="531"/>
        <v>0.14191419141914197</v>
      </c>
      <c r="BM72" s="426">
        <f t="shared" si="531"/>
        <v>0.18076720966894366</v>
      </c>
      <c r="BN72" s="426">
        <f t="shared" si="531"/>
        <v>0.13179709904142878</v>
      </c>
      <c r="BO72" s="426">
        <f t="shared" si="531"/>
        <v>0.10401747261922245</v>
      </c>
      <c r="BP72" s="426">
        <f t="shared" si="531"/>
        <v>0.10779478750610094</v>
      </c>
      <c r="BQ72" s="427"/>
    </row>
    <row r="73" spans="1:72" ht="12" customHeight="1">
      <c r="A73" s="422" t="s">
        <v>40</v>
      </c>
      <c r="B73" s="423" t="str">
        <f>IFERROR(B21/#REF!-1,"NA")</f>
        <v>NA</v>
      </c>
      <c r="C73" s="423" t="str">
        <f>IFERROR(C21/#REF!-1,"NA")</f>
        <v>NA</v>
      </c>
      <c r="D73" s="423" t="str">
        <f>IFERROR(D21/#REF!-1,"NA")</f>
        <v>NA</v>
      </c>
      <c r="E73" s="424" t="str">
        <f>IFERROR(E21/A21-1,"NA")</f>
        <v>NA</v>
      </c>
      <c r="F73" s="425">
        <f t="shared" si="526"/>
        <v>9.375E-2</v>
      </c>
      <c r="G73" s="423">
        <f t="shared" si="526"/>
        <v>0.16304347826086957</v>
      </c>
      <c r="H73" s="423">
        <f t="shared" si="526"/>
        <v>7.2463768115942032E-2</v>
      </c>
      <c r="I73" s="424">
        <f t="shared" si="526"/>
        <v>0.10576923076923077</v>
      </c>
      <c r="J73" s="425">
        <f t="shared" si="526"/>
        <v>0.20952380952380953</v>
      </c>
      <c r="K73" s="423">
        <f t="shared" si="526"/>
        <v>0.19626168224299065</v>
      </c>
      <c r="L73" s="423">
        <f t="shared" si="526"/>
        <v>0.1981981981981982</v>
      </c>
      <c r="M73" s="424">
        <f t="shared" si="526"/>
        <v>0.20434782608695654</v>
      </c>
      <c r="N73" s="425">
        <f t="shared" si="526"/>
        <v>1.968503937007874E-2</v>
      </c>
      <c r="O73" s="423">
        <f t="shared" si="526"/>
        <v>1.953125E-2</v>
      </c>
      <c r="P73" s="423">
        <f t="shared" si="527"/>
        <v>4.8872180451127817E-2</v>
      </c>
      <c r="Q73" s="424">
        <f t="shared" si="527"/>
        <v>7.5812274368231042E-2</v>
      </c>
      <c r="R73" s="425">
        <f t="shared" si="527"/>
        <v>0.14285714285714285</v>
      </c>
      <c r="S73" s="423">
        <f t="shared" si="527"/>
        <v>0.13409961685823754</v>
      </c>
      <c r="T73" s="423">
        <f t="shared" si="527"/>
        <v>6.093189964157706E-2</v>
      </c>
      <c r="U73" s="424">
        <f t="shared" si="527"/>
        <v>0.18456375838926176</v>
      </c>
      <c r="V73" s="425">
        <f t="shared" si="527"/>
        <v>-3.0405405405405407E-2</v>
      </c>
      <c r="W73" s="423">
        <f t="shared" si="527"/>
        <v>1.6891891891891893E-2</v>
      </c>
      <c r="X73" s="423">
        <f t="shared" si="527"/>
        <v>0.29054054054054052</v>
      </c>
      <c r="Y73" s="424">
        <f t="shared" si="527"/>
        <v>0.20963172804532579</v>
      </c>
      <c r="Z73" s="425">
        <f t="shared" si="528"/>
        <v>0.46689895470383275</v>
      </c>
      <c r="AA73" s="423">
        <f t="shared" si="528"/>
        <v>0.52159468438538203</v>
      </c>
      <c r="AB73" s="423">
        <f t="shared" si="528"/>
        <v>0.20942408376963351</v>
      </c>
      <c r="AC73" s="424">
        <f t="shared" si="528"/>
        <v>0.13583138173302109</v>
      </c>
      <c r="AD73" s="425">
        <f t="shared" si="528"/>
        <v>0.16152019002375298</v>
      </c>
      <c r="AE73" s="423">
        <f t="shared" si="528"/>
        <v>8.7336244541484712E-2</v>
      </c>
      <c r="AF73" s="423">
        <f t="shared" si="528"/>
        <v>5.627705627705628E-2</v>
      </c>
      <c r="AG73" s="426">
        <f t="shared" si="528"/>
        <v>9.6907216494845363E-2</v>
      </c>
      <c r="AH73" s="425">
        <f t="shared" si="528"/>
        <v>6.1349693251533742E-2</v>
      </c>
      <c r="AI73" s="423">
        <f t="shared" si="528"/>
        <v>3.614457831325301E-2</v>
      </c>
      <c r="AJ73" s="423">
        <f t="shared" si="529"/>
        <v>5.737704918032787E-2</v>
      </c>
      <c r="AK73" s="426">
        <f t="shared" si="529"/>
        <v>6.0150375939849621E-2</v>
      </c>
      <c r="AL73" s="425">
        <f t="shared" si="529"/>
        <v>4.6242774566473986E-2</v>
      </c>
      <c r="AM73" s="423">
        <f t="shared" si="529"/>
        <v>7.5581395348837205E-2</v>
      </c>
      <c r="AN73" s="423">
        <f t="shared" si="529"/>
        <v>8.3333333333333329E-2</v>
      </c>
      <c r="AO73" s="426">
        <f t="shared" si="529"/>
        <v>0.13829787234042554</v>
      </c>
      <c r="AP73" s="425">
        <f t="shared" si="529"/>
        <v>0.21178637200736647</v>
      </c>
      <c r="AQ73" s="423">
        <f t="shared" si="529"/>
        <v>0.18558558558558558</v>
      </c>
      <c r="AR73" s="423">
        <f t="shared" si="529"/>
        <v>0.10991960794890092</v>
      </c>
      <c r="AS73" s="426">
        <f t="shared" si="529"/>
        <v>4.3816469950014141E-2</v>
      </c>
      <c r="AT73" s="425">
        <f t="shared" si="530"/>
        <v>0.12358771324516001</v>
      </c>
      <c r="AU73" s="423">
        <f t="shared" si="530"/>
        <v>0.12370498340110758</v>
      </c>
      <c r="AV73" s="423">
        <f t="shared" si="530"/>
        <v>6.5986838245003884E-2</v>
      </c>
      <c r="AW73" s="426">
        <f t="shared" si="530"/>
        <v>0.1017294417577246</v>
      </c>
      <c r="AX73" s="425">
        <f t="shared" si="530"/>
        <v>0.11356280884809385</v>
      </c>
      <c r="AY73" s="423">
        <f t="shared" si="530"/>
        <v>0.1198540707180495</v>
      </c>
      <c r="AZ73" s="423">
        <f t="shared" si="530"/>
        <v>6.944792084680837E-2</v>
      </c>
      <c r="BA73" s="426">
        <f t="shared" si="530"/>
        <v>0.10933438884966309</v>
      </c>
      <c r="BB73" s="641"/>
      <c r="BC73" s="638"/>
      <c r="BD73" s="426" t="str">
        <f t="shared" ref="BD73:BP73" si="532">IFERROR(BD21/BC21-1,"NA")</f>
        <v>NA</v>
      </c>
      <c r="BE73" s="426">
        <f t="shared" si="532"/>
        <v>0.10745891276864739</v>
      </c>
      <c r="BF73" s="426">
        <f t="shared" si="532"/>
        <v>0.20205479452054798</v>
      </c>
      <c r="BG73" s="426">
        <f t="shared" si="532"/>
        <v>4.1785375118708501E-2</v>
      </c>
      <c r="BH73" s="426">
        <f t="shared" si="532"/>
        <v>0.13126709206927978</v>
      </c>
      <c r="BI73" s="426">
        <f t="shared" si="532"/>
        <v>0.12570507655116847</v>
      </c>
      <c r="BJ73" s="426">
        <f t="shared" si="532"/>
        <v>0.30708661417322825</v>
      </c>
      <c r="BK73" s="426">
        <f t="shared" si="532"/>
        <v>9.9123767798466655E-2</v>
      </c>
      <c r="BL73" s="426">
        <f t="shared" si="532"/>
        <v>5.3811659192825045E-2</v>
      </c>
      <c r="BM73" s="426">
        <f t="shared" si="532"/>
        <v>8.699763593380605E-2</v>
      </c>
      <c r="BN73" s="426">
        <f t="shared" si="532"/>
        <v>0.13378653090532611</v>
      </c>
      <c r="BO73" s="426">
        <f t="shared" si="532"/>
        <v>0.10428694600335708</v>
      </c>
      <c r="BP73" s="426">
        <f t="shared" si="532"/>
        <v>0.10395781310614982</v>
      </c>
      <c r="BQ73" s="427"/>
    </row>
    <row r="74" spans="1:72" ht="12" customHeight="1">
      <c r="A74" s="422" t="s">
        <v>288</v>
      </c>
      <c r="B74" s="423" t="str">
        <f>IFERROR(B22/#REF!-1,"NA")</f>
        <v>NA</v>
      </c>
      <c r="C74" s="423" t="str">
        <f>IFERROR(C22/#REF!-1,"NA")</f>
        <v>NA</v>
      </c>
      <c r="D74" s="423" t="str">
        <f>IFERROR(D22/#REF!-1,"NA")</f>
        <v>NA</v>
      </c>
      <c r="E74" s="424" t="str">
        <f>IFERROR(E22/A22-1,"NA")</f>
        <v>NA</v>
      </c>
      <c r="F74" s="425">
        <f t="shared" si="526"/>
        <v>8.6956521739130432E-2</v>
      </c>
      <c r="G74" s="423">
        <f t="shared" si="526"/>
        <v>0.16666666666666666</v>
      </c>
      <c r="H74" s="423">
        <f t="shared" si="526"/>
        <v>-3.2258064516129031E-2</v>
      </c>
      <c r="I74" s="424">
        <f t="shared" si="526"/>
        <v>0.10784313725490197</v>
      </c>
      <c r="J74" s="425">
        <f t="shared" si="526"/>
        <v>0.15</v>
      </c>
      <c r="K74" s="423">
        <f t="shared" si="526"/>
        <v>2.6785714285714284E-2</v>
      </c>
      <c r="L74" s="423">
        <f t="shared" si="526"/>
        <v>0.13333333333333333</v>
      </c>
      <c r="M74" s="424">
        <f t="shared" si="526"/>
        <v>-8.8495575221238937E-3</v>
      </c>
      <c r="N74" s="425">
        <f t="shared" si="526"/>
        <v>-3.4782608695652174E-2</v>
      </c>
      <c r="O74" s="423">
        <f t="shared" si="526"/>
        <v>-8.6956521739130436E-3</v>
      </c>
      <c r="P74" s="423">
        <f t="shared" si="527"/>
        <v>4.4117647058823532E-2</v>
      </c>
      <c r="Q74" s="424">
        <f t="shared" si="527"/>
        <v>0.11607142857142858</v>
      </c>
      <c r="R74" s="425">
        <f t="shared" si="527"/>
        <v>6.3063063063063057E-2</v>
      </c>
      <c r="S74" s="423">
        <f t="shared" si="527"/>
        <v>0.15789473684210525</v>
      </c>
      <c r="T74" s="423">
        <f t="shared" si="527"/>
        <v>-1.4084507042253521E-2</v>
      </c>
      <c r="U74" s="424">
        <f t="shared" si="527"/>
        <v>0.216</v>
      </c>
      <c r="V74" s="425">
        <f t="shared" si="527"/>
        <v>0.16949152542372881</v>
      </c>
      <c r="W74" s="423">
        <f t="shared" si="527"/>
        <v>0.26515151515151514</v>
      </c>
      <c r="X74" s="423">
        <f t="shared" si="527"/>
        <v>0.56428571428571428</v>
      </c>
      <c r="Y74" s="424">
        <f t="shared" si="527"/>
        <v>0.32894736842105265</v>
      </c>
      <c r="Z74" s="425">
        <f t="shared" si="528"/>
        <v>0.2318840579710145</v>
      </c>
      <c r="AA74" s="423">
        <f t="shared" si="528"/>
        <v>0.55089820359281438</v>
      </c>
      <c r="AB74" s="423">
        <f t="shared" si="528"/>
        <v>0.74429223744292239</v>
      </c>
      <c r="AC74" s="424">
        <f t="shared" si="528"/>
        <v>0.22772277227722773</v>
      </c>
      <c r="AD74" s="425">
        <f t="shared" si="528"/>
        <v>0.22352941176470589</v>
      </c>
      <c r="AE74" s="423">
        <f t="shared" si="528"/>
        <v>-0.11196911196911197</v>
      </c>
      <c r="AF74" s="423">
        <f t="shared" si="528"/>
        <v>-0.37696335078534032</v>
      </c>
      <c r="AG74" s="426">
        <f t="shared" si="528"/>
        <v>-2.0161290322580645E-2</v>
      </c>
      <c r="AH74" s="425">
        <f t="shared" si="528"/>
        <v>0.11538461538461539</v>
      </c>
      <c r="AI74" s="423">
        <f t="shared" si="528"/>
        <v>0.11739130434782609</v>
      </c>
      <c r="AJ74" s="423">
        <f t="shared" si="529"/>
        <v>0.16806722689075632</v>
      </c>
      <c r="AK74" s="426">
        <f t="shared" si="529"/>
        <v>0.1440329218106996</v>
      </c>
      <c r="AL74" s="425">
        <f t="shared" si="529"/>
        <v>0.23706896551724138</v>
      </c>
      <c r="AM74" s="423">
        <f t="shared" si="529"/>
        <v>0.12840466926070038</v>
      </c>
      <c r="AN74" s="423">
        <f t="shared" si="529"/>
        <v>0.11510791366906475</v>
      </c>
      <c r="AO74" s="426">
        <f t="shared" si="529"/>
        <v>0.11510791366906475</v>
      </c>
      <c r="AP74" s="425">
        <f t="shared" si="529"/>
        <v>4.878048780487805E-2</v>
      </c>
      <c r="AQ74" s="423">
        <f t="shared" si="529"/>
        <v>1.3793103448275862E-2</v>
      </c>
      <c r="AR74" s="423">
        <f t="shared" si="529"/>
        <v>0.12211681453901006</v>
      </c>
      <c r="AS74" s="426">
        <f t="shared" si="529"/>
        <v>8.2620467236719078E-2</v>
      </c>
      <c r="AT74" s="425">
        <f t="shared" si="530"/>
        <v>0.10766332644937297</v>
      </c>
      <c r="AU74" s="423">
        <f t="shared" si="530"/>
        <v>0.10375511035536843</v>
      </c>
      <c r="AV74" s="423">
        <f t="shared" si="530"/>
        <v>4.2486695272718457E-2</v>
      </c>
      <c r="AW74" s="426">
        <f t="shared" si="530"/>
        <v>8.7612787346831422E-2</v>
      </c>
      <c r="AX74" s="425">
        <f t="shared" si="530"/>
        <v>9.7166372818936655E-2</v>
      </c>
      <c r="AY74" s="423">
        <f t="shared" si="530"/>
        <v>9.9024284122346012E-2</v>
      </c>
      <c r="AZ74" s="423">
        <f t="shared" si="530"/>
        <v>4.3944304546083758E-2</v>
      </c>
      <c r="BA74" s="426">
        <f t="shared" si="530"/>
        <v>9.4560787775867808E-2</v>
      </c>
      <c r="BB74" s="641"/>
      <c r="BC74" s="638"/>
      <c r="BD74" s="426" t="str">
        <f t="shared" ref="BD74:BP74" si="533">IFERROR(BD22/BC22-1,"NA")</f>
        <v>NA</v>
      </c>
      <c r="BE74" s="426">
        <f t="shared" si="533"/>
        <v>7.4879227053140207E-2</v>
      </c>
      <c r="BF74" s="426">
        <f t="shared" si="533"/>
        <v>7.415730337078652E-2</v>
      </c>
      <c r="BG74" s="426">
        <f t="shared" si="533"/>
        <v>2.9288702928870203E-2</v>
      </c>
      <c r="BH74" s="426">
        <f t="shared" si="533"/>
        <v>0.10162601626016254</v>
      </c>
      <c r="BI74" s="426">
        <f t="shared" si="533"/>
        <v>0.3394833948339484</v>
      </c>
      <c r="BJ74" s="426">
        <f t="shared" si="533"/>
        <v>0.45867768595041314</v>
      </c>
      <c r="BK74" s="426">
        <f t="shared" si="533"/>
        <v>-0.13220018885741269</v>
      </c>
      <c r="BL74" s="426">
        <f t="shared" si="533"/>
        <v>0.13710554951033727</v>
      </c>
      <c r="BM74" s="426">
        <f t="shared" si="533"/>
        <v>0.1454545454545455</v>
      </c>
      <c r="BN74" s="426">
        <f t="shared" si="533"/>
        <v>6.8060615998726703E-2</v>
      </c>
      <c r="BO74" s="426">
        <f t="shared" si="533"/>
        <v>8.3767298764803932E-2</v>
      </c>
      <c r="BP74" s="426">
        <f t="shared" si="533"/>
        <v>8.2985567240201563E-2</v>
      </c>
      <c r="BQ74" s="427"/>
    </row>
    <row r="75" spans="1:72" ht="12" customHeight="1">
      <c r="A75" s="422" t="s">
        <v>289</v>
      </c>
      <c r="B75" s="423" t="str">
        <f>IFERROR(B23/#REF!-1,"NA")</f>
        <v>NA</v>
      </c>
      <c r="C75" s="423" t="str">
        <f>IFERROR(C23/#REF!-1,"NA")</f>
        <v>NA</v>
      </c>
      <c r="D75" s="423" t="str">
        <f>IFERROR(D23/#REF!-1,"NA")</f>
        <v>NA</v>
      </c>
      <c r="E75" s="424" t="str">
        <f>IFERROR(E23/#REF!-1,"NA")</f>
        <v>NA</v>
      </c>
      <c r="F75" s="425">
        <f t="shared" si="526"/>
        <v>0.11591355599214145</v>
      </c>
      <c r="G75" s="423">
        <f t="shared" si="526"/>
        <v>0.14724919093851133</v>
      </c>
      <c r="H75" s="423">
        <f t="shared" si="526"/>
        <v>7.3369565217391311E-2</v>
      </c>
      <c r="I75" s="424">
        <f t="shared" si="526"/>
        <v>5.7761732851985562E-2</v>
      </c>
      <c r="J75" s="425">
        <f t="shared" si="526"/>
        <v>0.14788732394366197</v>
      </c>
      <c r="K75" s="423">
        <f t="shared" si="526"/>
        <v>0.14950634696755993</v>
      </c>
      <c r="L75" s="423">
        <f t="shared" si="526"/>
        <v>0.17215189873417722</v>
      </c>
      <c r="M75" s="424">
        <f t="shared" si="526"/>
        <v>0.13993174061433447</v>
      </c>
      <c r="N75" s="425">
        <f t="shared" si="526"/>
        <v>5.2147239263803678E-2</v>
      </c>
      <c r="O75" s="423">
        <f t="shared" si="526"/>
        <v>0.10184049079754601</v>
      </c>
      <c r="P75" s="423">
        <f t="shared" si="527"/>
        <v>0.13390928725701945</v>
      </c>
      <c r="Q75" s="424">
        <f t="shared" si="527"/>
        <v>0.16616766467065869</v>
      </c>
      <c r="R75" s="425">
        <f t="shared" si="527"/>
        <v>0.11807580174927114</v>
      </c>
      <c r="S75" s="423">
        <f t="shared" si="527"/>
        <v>0.10467706013363029</v>
      </c>
      <c r="T75" s="423">
        <f t="shared" si="527"/>
        <v>6.6666666666666671E-3</v>
      </c>
      <c r="U75" s="424">
        <f t="shared" si="527"/>
        <v>0.1540436456996149</v>
      </c>
      <c r="V75" s="425">
        <f t="shared" si="527"/>
        <v>-1.5645371577574969E-2</v>
      </c>
      <c r="W75" s="423">
        <f t="shared" si="527"/>
        <v>1.2096774193548387E-2</v>
      </c>
      <c r="X75" s="423">
        <f t="shared" si="527"/>
        <v>0.33112582781456956</v>
      </c>
      <c r="Y75" s="424">
        <f t="shared" si="527"/>
        <v>0.57730812013348165</v>
      </c>
      <c r="Z75" s="425">
        <f t="shared" si="528"/>
        <v>0.42649006622516555</v>
      </c>
      <c r="AA75" s="423">
        <f t="shared" si="528"/>
        <v>0.56972111553784865</v>
      </c>
      <c r="AB75" s="423">
        <f t="shared" si="528"/>
        <v>0.4115138592750533</v>
      </c>
      <c r="AC75" s="424">
        <f t="shared" si="528"/>
        <v>3.1734837799717912E-2</v>
      </c>
      <c r="AD75" s="425">
        <f t="shared" si="528"/>
        <v>0.28690807799442897</v>
      </c>
      <c r="AE75" s="423">
        <f t="shared" si="528"/>
        <v>-2.030456852791878E-2</v>
      </c>
      <c r="AF75" s="423">
        <f t="shared" si="528"/>
        <v>-7.7039274924471296E-2</v>
      </c>
      <c r="AG75" s="426">
        <f t="shared" si="528"/>
        <v>2.2556390977443608E-2</v>
      </c>
      <c r="AH75" s="425">
        <f t="shared" si="528"/>
        <v>7.9365079365079361E-3</v>
      </c>
      <c r="AI75" s="423">
        <f t="shared" si="528"/>
        <v>8.0310880829015538E-2</v>
      </c>
      <c r="AJ75" s="423">
        <f t="shared" si="529"/>
        <v>0.14129841789416259</v>
      </c>
      <c r="AK75" s="426">
        <f t="shared" si="529"/>
        <v>0.20922459893048129</v>
      </c>
      <c r="AL75" s="425">
        <f t="shared" si="529"/>
        <v>0.18468146027201146</v>
      </c>
      <c r="AM75" s="423">
        <f t="shared" si="529"/>
        <v>0.14688249400479617</v>
      </c>
      <c r="AN75" s="423">
        <f t="shared" si="529"/>
        <v>0.12619502868068833</v>
      </c>
      <c r="AO75" s="426">
        <f t="shared" si="529"/>
        <v>0.14206744057490325</v>
      </c>
      <c r="AP75" s="425">
        <f t="shared" si="529"/>
        <v>0.13897280966767372</v>
      </c>
      <c r="AQ75" s="423">
        <f t="shared" si="529"/>
        <v>0.14845791949817042</v>
      </c>
      <c r="AR75" s="423">
        <f t="shared" si="529"/>
        <v>0.14697722752712539</v>
      </c>
      <c r="AS75" s="426">
        <f t="shared" si="529"/>
        <v>5.8597099196560261E-2</v>
      </c>
      <c r="AT75" s="425">
        <f t="shared" si="530"/>
        <v>0.12061039043590774</v>
      </c>
      <c r="AU75" s="423">
        <f t="shared" si="530"/>
        <v>0.12051458232494043</v>
      </c>
      <c r="AV75" s="423">
        <f t="shared" si="530"/>
        <v>6.4991105499163801E-2</v>
      </c>
      <c r="AW75" s="426">
        <f t="shared" si="530"/>
        <v>0.10984789770604268</v>
      </c>
      <c r="AX75" s="425">
        <f t="shared" si="530"/>
        <v>0.11288946778353877</v>
      </c>
      <c r="AY75" s="423">
        <f t="shared" si="530"/>
        <v>0.12146603859346047</v>
      </c>
      <c r="AZ75" s="423">
        <f t="shared" si="530"/>
        <v>7.9773272907005963E-2</v>
      </c>
      <c r="BA75" s="426">
        <f t="shared" si="530"/>
        <v>0.1040074002077699</v>
      </c>
      <c r="BB75" s="641"/>
      <c r="BC75" s="638"/>
      <c r="BD75" s="426" t="str">
        <f t="shared" ref="BD75:BP75" si="534">IFERROR(BD23/BC23-1,"NA")</f>
        <v>NA</v>
      </c>
      <c r="BE75" s="426">
        <f t="shared" si="534"/>
        <v>9.7641704592470013E-2</v>
      </c>
      <c r="BF75" s="426">
        <f t="shared" si="534"/>
        <v>0.15378816434225406</v>
      </c>
      <c r="BG75" s="426">
        <f t="shared" si="534"/>
        <v>0.11499509964064036</v>
      </c>
      <c r="BH75" s="426">
        <f t="shared" si="534"/>
        <v>8.8485203633167364E-2</v>
      </c>
      <c r="BI75" s="426">
        <f t="shared" si="534"/>
        <v>0.23391655450874826</v>
      </c>
      <c r="BJ75" s="426">
        <f t="shared" si="534"/>
        <v>0.33115183246073299</v>
      </c>
      <c r="BK75" s="426">
        <f t="shared" si="534"/>
        <v>2.5729269092100937E-2</v>
      </c>
      <c r="BL75" s="426">
        <f t="shared" si="534"/>
        <v>0.11295734142834313</v>
      </c>
      <c r="BM75" s="426">
        <f t="shared" si="534"/>
        <v>0.14699971289118574</v>
      </c>
      <c r="BN75" s="426">
        <f t="shared" si="534"/>
        <v>0.12282102065006262</v>
      </c>
      <c r="BO75" s="426">
        <f t="shared" si="534"/>
        <v>0.10120999814710885</v>
      </c>
      <c r="BP75" s="426">
        <f t="shared" si="534"/>
        <v>0.10319740078445272</v>
      </c>
      <c r="BQ75" s="427"/>
    </row>
    <row r="76" spans="1:72" s="288" customFormat="1" ht="12" customHeight="1">
      <c r="A76" s="416" t="s">
        <v>290</v>
      </c>
      <c r="B76" s="417" t="str">
        <f>IFERROR(B24/#REF!-1,"NA")</f>
        <v>NA</v>
      </c>
      <c r="C76" s="417" t="str">
        <f>IFERROR(C24/#REF!-1,"NA")</f>
        <v>NA</v>
      </c>
      <c r="D76" s="417" t="str">
        <f>IFERROR(D24/#REF!-1,"NA")</f>
        <v>NA</v>
      </c>
      <c r="E76" s="418" t="str">
        <f>IFERROR(E24/#REF!-1,"NA")</f>
        <v>NA</v>
      </c>
      <c r="F76" s="419">
        <f t="shared" si="526"/>
        <v>-0.30434782608695654</v>
      </c>
      <c r="G76" s="417">
        <f t="shared" si="526"/>
        <v>-7.0175438596491224E-2</v>
      </c>
      <c r="H76" s="417">
        <f t="shared" si="526"/>
        <v>0.1177336276674025</v>
      </c>
      <c r="I76" s="418">
        <f t="shared" si="526"/>
        <v>1.1666666666666667</v>
      </c>
      <c r="J76" s="419">
        <f t="shared" si="526"/>
        <v>1.03125</v>
      </c>
      <c r="K76" s="417">
        <f t="shared" si="526"/>
        <v>1.7735849056603774</v>
      </c>
      <c r="L76" s="417">
        <f t="shared" si="526"/>
        <v>0.11915734035549704</v>
      </c>
      <c r="M76" s="418" t="str">
        <f t="shared" si="526"/>
        <v>NM</v>
      </c>
      <c r="N76" s="419">
        <f t="shared" si="526"/>
        <v>0.56923076923076921</v>
      </c>
      <c r="O76" s="417">
        <f t="shared" si="526"/>
        <v>0.15306122448979592</v>
      </c>
      <c r="P76" s="417">
        <f t="shared" si="527"/>
        <v>0.11058823529411765</v>
      </c>
      <c r="Q76" s="418" t="str">
        <f t="shared" si="527"/>
        <v>NM</v>
      </c>
      <c r="R76" s="419">
        <f t="shared" si="527"/>
        <v>0.26470588235294118</v>
      </c>
      <c r="S76" s="417">
        <f t="shared" si="527"/>
        <v>0.13274336283185842</v>
      </c>
      <c r="T76" s="417">
        <f t="shared" si="527"/>
        <v>-0.18485169491525424</v>
      </c>
      <c r="U76" s="418" t="str">
        <f t="shared" si="527"/>
        <v>NM</v>
      </c>
      <c r="V76" s="419">
        <f t="shared" si="527"/>
        <v>1.5891472868217054</v>
      </c>
      <c r="W76" s="417">
        <f t="shared" si="527"/>
        <v>-0.38802083333333331</v>
      </c>
      <c r="X76" s="417">
        <f t="shared" si="527"/>
        <v>0.43014944769330732</v>
      </c>
      <c r="Y76" s="418">
        <f t="shared" si="527"/>
        <v>0.16071428571428573</v>
      </c>
      <c r="Z76" s="419">
        <f t="shared" si="528"/>
        <v>0.66167664670658688</v>
      </c>
      <c r="AA76" s="417">
        <f t="shared" si="528"/>
        <v>1.6042553191489362</v>
      </c>
      <c r="AB76" s="417">
        <f t="shared" si="528"/>
        <v>0.31940027260336168</v>
      </c>
      <c r="AC76" s="418">
        <f t="shared" si="528"/>
        <v>-0.39440559440559442</v>
      </c>
      <c r="AD76" s="419">
        <f t="shared" si="528"/>
        <v>0.19279279279279279</v>
      </c>
      <c r="AE76" s="417">
        <f t="shared" si="528"/>
        <v>0.39869281045751637</v>
      </c>
      <c r="AF76" s="417">
        <f t="shared" si="528"/>
        <v>0.15633608815427033</v>
      </c>
      <c r="AG76" s="420">
        <f t="shared" si="528"/>
        <v>0.44803695150115475</v>
      </c>
      <c r="AH76" s="419">
        <f t="shared" si="528"/>
        <v>0.45015105740181272</v>
      </c>
      <c r="AI76" s="417">
        <f t="shared" si="528"/>
        <v>0.16822429906542055</v>
      </c>
      <c r="AJ76" s="417">
        <f t="shared" si="529"/>
        <v>0.1054198927933291</v>
      </c>
      <c r="AK76" s="420">
        <f t="shared" si="529"/>
        <v>0.16427432216905974</v>
      </c>
      <c r="AL76" s="419">
        <f t="shared" si="529"/>
        <v>-7.2916666666666668E-3</v>
      </c>
      <c r="AM76" s="417">
        <f t="shared" si="529"/>
        <v>0.26</v>
      </c>
      <c r="AN76" s="417">
        <f t="shared" si="529"/>
        <v>0.16998922413793133</v>
      </c>
      <c r="AO76" s="420">
        <f t="shared" si="529"/>
        <v>0.39178082191780733</v>
      </c>
      <c r="AP76" s="419">
        <f t="shared" si="529"/>
        <v>0.32004197271773349</v>
      </c>
      <c r="AQ76" s="417">
        <f t="shared" si="529"/>
        <v>0.22936507936507936</v>
      </c>
      <c r="AR76" s="417">
        <f t="shared" si="529"/>
        <v>6.5609683917605577E-2</v>
      </c>
      <c r="AS76" s="420">
        <f t="shared" si="529"/>
        <v>0.20919920537845943</v>
      </c>
      <c r="AT76" s="419">
        <f t="shared" si="530"/>
        <v>0.15803780349746765</v>
      </c>
      <c r="AU76" s="417">
        <f t="shared" si="530"/>
        <v>0.15984218789794147</v>
      </c>
      <c r="AV76" s="417">
        <f t="shared" si="530"/>
        <v>0.11322756275071999</v>
      </c>
      <c r="AW76" s="420">
        <f t="shared" si="530"/>
        <v>0.12165326903059931</v>
      </c>
      <c r="AX76" s="419">
        <f t="shared" si="530"/>
        <v>0.14368177715125743</v>
      </c>
      <c r="AY76" s="417">
        <f t="shared" si="530"/>
        <v>0.14907424770376332</v>
      </c>
      <c r="AZ76" s="417">
        <f t="shared" si="530"/>
        <v>0.11104113120278013</v>
      </c>
      <c r="BA76" s="420">
        <f t="shared" si="530"/>
        <v>0.15371383644264544</v>
      </c>
      <c r="BB76" s="640"/>
      <c r="BC76" s="637"/>
      <c r="BD76" s="420" t="str">
        <f t="shared" ref="BD76:BP76" si="535">IFERROR(BD24/BC24-1,"NA")</f>
        <v>NA</v>
      </c>
      <c r="BE76" s="420">
        <f t="shared" si="535"/>
        <v>0.11575562700964626</v>
      </c>
      <c r="BF76" s="420">
        <f t="shared" si="535"/>
        <v>0.17809798270893373</v>
      </c>
      <c r="BG76" s="420">
        <f t="shared" si="535"/>
        <v>0.11643835616438358</v>
      </c>
      <c r="BH76" s="420">
        <f t="shared" si="535"/>
        <v>0.16914986853637171</v>
      </c>
      <c r="BI76" s="420">
        <f t="shared" si="535"/>
        <v>0.30622188905547221</v>
      </c>
      <c r="BJ76" s="420">
        <f t="shared" si="535"/>
        <v>0.29239598278335688</v>
      </c>
      <c r="BK76" s="420">
        <f t="shared" si="535"/>
        <v>0.22180284191829513</v>
      </c>
      <c r="BL76" s="420">
        <f t="shared" si="535"/>
        <v>0.16336543703434492</v>
      </c>
      <c r="BM76" s="420">
        <f t="shared" si="535"/>
        <v>0.18275538894095589</v>
      </c>
      <c r="BN76" s="420">
        <f t="shared" si="535"/>
        <v>0.1441480784361695</v>
      </c>
      <c r="BO76" s="420">
        <f t="shared" si="535"/>
        <v>0.1292636775608762</v>
      </c>
      <c r="BP76" s="420">
        <f t="shared" si="535"/>
        <v>0.12889639264578512</v>
      </c>
      <c r="BQ76" s="421"/>
      <c r="BR76" s="1378"/>
      <c r="BS76" s="1378"/>
      <c r="BT76" s="1378"/>
    </row>
    <row r="77" spans="1:72" ht="12" customHeight="1">
      <c r="A77" s="422" t="s">
        <v>41</v>
      </c>
      <c r="B77" s="423" t="str">
        <f>IFERROR(B33/#REF!-1,"NA")</f>
        <v>NA</v>
      </c>
      <c r="C77" s="423" t="str">
        <f>IFERROR(C33/#REF!-1,"NA")</f>
        <v>NA</v>
      </c>
      <c r="D77" s="423" t="str">
        <f>IFERROR(D33/#REF!-1,"NA")</f>
        <v>NA</v>
      </c>
      <c r="E77" s="424" t="str">
        <f>IFERROR(E33/A33-1,"NA")</f>
        <v>NA</v>
      </c>
      <c r="F77" s="425">
        <f t="shared" ref="F77:AQ77" si="536">IF(OR(B33&lt;=0,F33&lt;=0),"NM",(F33-B33)/B33)</f>
        <v>-0.375</v>
      </c>
      <c r="G77" s="423">
        <f t="shared" si="536"/>
        <v>0</v>
      </c>
      <c r="H77" s="428">
        <f t="shared" si="536"/>
        <v>0.1366181410974244</v>
      </c>
      <c r="I77" s="424">
        <f t="shared" si="536"/>
        <v>1.65</v>
      </c>
      <c r="J77" s="425">
        <f t="shared" si="536"/>
        <v>1.9333333333333333</v>
      </c>
      <c r="K77" s="423">
        <f t="shared" si="536"/>
        <v>2.2686567164179103</v>
      </c>
      <c r="L77" s="423">
        <f t="shared" si="536"/>
        <v>0.23251231527093597</v>
      </c>
      <c r="M77" s="424" t="str">
        <f t="shared" si="536"/>
        <v>NM</v>
      </c>
      <c r="N77" s="425">
        <f t="shared" si="536"/>
        <v>0.72727272727272729</v>
      </c>
      <c r="O77" s="423">
        <f t="shared" si="536"/>
        <v>0.20547945205479451</v>
      </c>
      <c r="P77" s="423">
        <f t="shared" si="536"/>
        <v>0.17106314948041568</v>
      </c>
      <c r="Q77" s="424" t="str">
        <f t="shared" si="536"/>
        <v>NM</v>
      </c>
      <c r="R77" s="425">
        <f t="shared" si="536"/>
        <v>0.43421052631578949</v>
      </c>
      <c r="S77" s="423">
        <f t="shared" si="536"/>
        <v>0.15909090909090909</v>
      </c>
      <c r="T77" s="423">
        <f t="shared" si="536"/>
        <v>-0.19249146757679181</v>
      </c>
      <c r="U77" s="424" t="str">
        <f t="shared" si="536"/>
        <v>NM</v>
      </c>
      <c r="V77" s="425">
        <f t="shared" si="536"/>
        <v>1.2935779816513762</v>
      </c>
      <c r="W77" s="423">
        <f t="shared" si="536"/>
        <v>-0.39542483660130717</v>
      </c>
      <c r="X77" s="423">
        <f t="shared" si="536"/>
        <v>0.41842772612003382</v>
      </c>
      <c r="Y77" s="424">
        <f t="shared" si="536"/>
        <v>0.14046121593291405</v>
      </c>
      <c r="Z77" s="425">
        <f t="shared" si="536"/>
        <v>0.69199999999999995</v>
      </c>
      <c r="AA77" s="423">
        <f t="shared" si="536"/>
        <v>1.4108108108108108</v>
      </c>
      <c r="AB77" s="423">
        <f t="shared" si="536"/>
        <v>0.3021454112038135</v>
      </c>
      <c r="AC77" s="424">
        <f t="shared" si="536"/>
        <v>-0.42830882352941174</v>
      </c>
      <c r="AD77" s="425">
        <f t="shared" si="536"/>
        <v>0.1111111111111111</v>
      </c>
      <c r="AE77" s="423">
        <f t="shared" si="536"/>
        <v>0.39013452914798208</v>
      </c>
      <c r="AF77" s="423">
        <f t="shared" si="536"/>
        <v>0.15469107551487463</v>
      </c>
      <c r="AG77" s="426">
        <f t="shared" si="536"/>
        <v>0.50160771704180063</v>
      </c>
      <c r="AH77" s="425">
        <f t="shared" si="536"/>
        <v>0.48510638297872338</v>
      </c>
      <c r="AI77" s="423">
        <f t="shared" si="536"/>
        <v>0.20322580645161289</v>
      </c>
      <c r="AJ77" s="423">
        <f t="shared" si="536"/>
        <v>0.11137534680935358</v>
      </c>
      <c r="AK77" s="426">
        <f t="shared" si="536"/>
        <v>0.20556745182012945</v>
      </c>
      <c r="AL77" s="425">
        <f t="shared" si="536"/>
        <v>1.5759312320916905E-2</v>
      </c>
      <c r="AM77" s="423">
        <f t="shared" si="536"/>
        <v>0.25737265415549598</v>
      </c>
      <c r="AN77" s="423">
        <f t="shared" si="536"/>
        <v>0.16975748930099896</v>
      </c>
      <c r="AO77" s="426">
        <f t="shared" si="536"/>
        <v>0.37833037300177508</v>
      </c>
      <c r="AP77" s="425">
        <f t="shared" si="536"/>
        <v>0.32440056417489421</v>
      </c>
      <c r="AQ77" s="423">
        <f t="shared" si="536"/>
        <v>0.23667377398720682</v>
      </c>
      <c r="AR77" s="423">
        <f t="shared" ref="AR77" si="537">IF(OR(AN33&lt;=0,AR33&lt;=0),"NM",(AR33-AN33)/AN33)</f>
        <v>6.5111093768200873E-2</v>
      </c>
      <c r="AS77" s="426">
        <f t="shared" ref="AS77" si="538">IF(OR(AO33&lt;=0,AS33&lt;=0),"NM",(AS33-AO33)/AO33)</f>
        <v>0.16092967088919424</v>
      </c>
      <c r="AT77" s="425">
        <f t="shared" ref="AT77" si="539">IF(OR(AP33&lt;=0,AT33&lt;=0),"NM",(AT33-AP33)/AP33)</f>
        <v>0.16535619861134424</v>
      </c>
      <c r="AU77" s="423">
        <f t="shared" ref="AU77" si="540">IF(OR(AQ33&lt;=0,AU33&lt;=0),"NM",(AU33-AQ33)/AQ33)</f>
        <v>0.16607374696195698</v>
      </c>
      <c r="AV77" s="423">
        <f t="shared" ref="AV77" si="541">IF(OR(AR33&lt;=0,AV33&lt;=0),"NM",(AV33-AR33)/AR33)</f>
        <v>0.10788003553228821</v>
      </c>
      <c r="AW77" s="426">
        <f t="shared" ref="AW77" si="542">IF(OR(AS33&lt;=0,AW33&lt;=0),"NM",(AW33-AS33)/AS33)</f>
        <v>0.12001190489616144</v>
      </c>
      <c r="AX77" s="425">
        <f t="shared" ref="AX77" si="543">IF(OR(AT33&lt;=0,AX33&lt;=0),"NM",(AX33-AT33)/AT33)</f>
        <v>0.14588485328508663</v>
      </c>
      <c r="AY77" s="423">
        <f t="shared" ref="AY77" si="544">IF(OR(AU33&lt;=0,AY33&lt;=0),"NM",(AY33-AU33)/AU33)</f>
        <v>0.1510074436339266</v>
      </c>
      <c r="AZ77" s="423">
        <f t="shared" ref="AZ77" si="545">IF(OR(AV33&lt;=0,AZ33&lt;=0),"NM",(AZ33-AV33)/AV33)</f>
        <v>0.11272590861454067</v>
      </c>
      <c r="BA77" s="426">
        <f t="shared" ref="BA77" si="546">IF(OR(AW33&lt;=0,BA33&lt;=0),"NM",(BA33-AW33)/AW33)</f>
        <v>0.16010404153604421</v>
      </c>
      <c r="BB77" s="641"/>
      <c r="BC77" s="638"/>
      <c r="BD77" s="426" t="str">
        <f t="shared" ref="BD77:BP77" si="547">IFERROR(BD33/BC33-1,"NA")</f>
        <v>NA</v>
      </c>
      <c r="BE77" s="426">
        <f t="shared" si="547"/>
        <v>0.14541832669322718</v>
      </c>
      <c r="BF77" s="426">
        <f t="shared" si="547"/>
        <v>0.31391304347826088</v>
      </c>
      <c r="BG77" s="426">
        <f t="shared" si="547"/>
        <v>0.17935142289874251</v>
      </c>
      <c r="BH77" s="426">
        <f t="shared" si="547"/>
        <v>0.16442199775533117</v>
      </c>
      <c r="BI77" s="426">
        <f t="shared" si="547"/>
        <v>0.28048192771084346</v>
      </c>
      <c r="BJ77" s="426">
        <f t="shared" si="547"/>
        <v>0.26646593902897964</v>
      </c>
      <c r="BK77" s="426">
        <f t="shared" si="547"/>
        <v>0.21248142644873735</v>
      </c>
      <c r="BL77" s="426">
        <f t="shared" si="547"/>
        <v>0.1791666666666667</v>
      </c>
      <c r="BM77" s="426">
        <f t="shared" si="547"/>
        <v>0.18540843899397208</v>
      </c>
      <c r="BN77" s="426">
        <f t="shared" si="547"/>
        <v>0.13860175559700383</v>
      </c>
      <c r="BO77" s="426">
        <f t="shared" si="547"/>
        <v>0.12827047259379598</v>
      </c>
      <c r="BP77" s="426">
        <f t="shared" si="547"/>
        <v>0.13127134555590492</v>
      </c>
      <c r="BQ77" s="427"/>
    </row>
    <row r="78" spans="1:72" ht="12" customHeight="1">
      <c r="A78" s="1219" t="s">
        <v>15</v>
      </c>
      <c r="B78" s="423" t="str">
        <f>IFERROR(B35/#REF!-1,"NA")</f>
        <v>NA</v>
      </c>
      <c r="C78" s="423" t="str">
        <f>IFERROR(C35/#REF!-1,"NA")</f>
        <v>NA</v>
      </c>
      <c r="D78" s="423" t="str">
        <f>IFERROR(D35/#REF!-1,"NA")</f>
        <v>NA</v>
      </c>
      <c r="E78" s="424" t="str">
        <f>IFERROR(E35/A35-1,"NA")</f>
        <v>NA</v>
      </c>
      <c r="F78" s="1220">
        <f t="shared" ref="F78:AQ78" si="548">IF(OR(B35&lt;=0,F35&lt;=0),"NM",(F35-B35)/B35)</f>
        <v>-0.34108527131782951</v>
      </c>
      <c r="G78" s="423">
        <f t="shared" si="548"/>
        <v>2.3076923076922912E-2</v>
      </c>
      <c r="H78" s="428">
        <f t="shared" si="548"/>
        <v>0.13661814109742446</v>
      </c>
      <c r="I78" s="424">
        <f t="shared" si="548"/>
        <v>1.65</v>
      </c>
      <c r="J78" s="1220">
        <f t="shared" si="548"/>
        <v>1.9220077220077221</v>
      </c>
      <c r="K78" s="423">
        <f t="shared" si="548"/>
        <v>2.2686567164179108</v>
      </c>
      <c r="L78" s="423">
        <f t="shared" si="548"/>
        <v>0.2231038243146693</v>
      </c>
      <c r="M78" s="424" t="str">
        <f t="shared" si="548"/>
        <v>NM</v>
      </c>
      <c r="N78" s="1220">
        <f t="shared" si="548"/>
        <v>0.69455922865013797</v>
      </c>
      <c r="O78" s="423">
        <f t="shared" si="548"/>
        <v>0.18721461187214611</v>
      </c>
      <c r="P78" s="423">
        <f t="shared" si="548"/>
        <v>0.16219145895404879</v>
      </c>
      <c r="Q78" s="424" t="str">
        <f t="shared" si="548"/>
        <v>NM</v>
      </c>
      <c r="R78" s="1220">
        <f t="shared" si="548"/>
        <v>0.43421052631578944</v>
      </c>
      <c r="S78" s="423">
        <f t="shared" si="548"/>
        <v>0.15909090909090917</v>
      </c>
      <c r="T78" s="423">
        <f t="shared" si="548"/>
        <v>-0.19095919332171929</v>
      </c>
      <c r="U78" s="424" t="str">
        <f t="shared" si="548"/>
        <v>NM</v>
      </c>
      <c r="V78" s="1220">
        <f t="shared" si="548"/>
        <v>1.2849229703998615</v>
      </c>
      <c r="W78" s="423">
        <f t="shared" si="548"/>
        <v>-0.41535588594412126</v>
      </c>
      <c r="X78" s="423">
        <f t="shared" si="548"/>
        <v>0.35418733997329321</v>
      </c>
      <c r="Y78" s="426">
        <f t="shared" si="548"/>
        <v>9.0314465408804986E-2</v>
      </c>
      <c r="Z78" s="1220">
        <f t="shared" si="548"/>
        <v>0.61870036101083026</v>
      </c>
      <c r="AA78" s="423">
        <f t="shared" si="548"/>
        <v>1.2932102834541856</v>
      </c>
      <c r="AB78" s="423">
        <f t="shared" si="548"/>
        <v>0.25661585137151233</v>
      </c>
      <c r="AC78" s="426">
        <f t="shared" si="548"/>
        <v>-0.44018432516110445</v>
      </c>
      <c r="AD78" s="1220">
        <f t="shared" si="548"/>
        <v>8.4488293790619381E-2</v>
      </c>
      <c r="AE78" s="423">
        <f t="shared" si="548"/>
        <v>0.412778363546285</v>
      </c>
      <c r="AF78" s="423">
        <f t="shared" si="548"/>
        <v>0.16528457162051591</v>
      </c>
      <c r="AG78" s="426">
        <f t="shared" si="548"/>
        <v>0.49556182879772459</v>
      </c>
      <c r="AH78" s="1220">
        <f t="shared" si="548"/>
        <v>0.48930456356664931</v>
      </c>
      <c r="AI78" s="423">
        <f t="shared" si="548"/>
        <v>0.19644706951385726</v>
      </c>
      <c r="AJ78" s="423">
        <f t="shared" si="548"/>
        <v>0.11020011732735546</v>
      </c>
      <c r="AK78" s="426">
        <f t="shared" si="548"/>
        <v>0.20616384561254938</v>
      </c>
      <c r="AL78" s="1220">
        <f t="shared" si="548"/>
        <v>1.5759312320916836E-2</v>
      </c>
      <c r="AM78" s="423">
        <f t="shared" si="548"/>
        <v>0.26181566706770631</v>
      </c>
      <c r="AN78" s="423">
        <f t="shared" si="548"/>
        <v>0.17889946612679719</v>
      </c>
      <c r="AO78" s="426">
        <f t="shared" si="548"/>
        <v>0.38321806935993735</v>
      </c>
      <c r="AP78" s="1220">
        <f t="shared" si="548"/>
        <v>0.33382690270994675</v>
      </c>
      <c r="AQ78" s="423">
        <f t="shared" si="548"/>
        <v>0.25126449066277989</v>
      </c>
      <c r="AR78" s="423">
        <f>IF(OR(AN35&lt;=0,AR35&lt;=0),"NM",(AR35-AN35)/AN35)</f>
        <v>7.1965580606895063E-2</v>
      </c>
      <c r="AS78" s="426">
        <f t="shared" ref="AS78" si="549">IF(OR(AO35&lt;=0,AS35&lt;=0),"NM",(AS35-AO35)/AO35)</f>
        <v>0.17047610722471507</v>
      </c>
      <c r="AT78" s="1220">
        <f t="shared" ref="AT78" si="550">IF(OR(AP35&lt;=0,AT35&lt;=0),"NM",(AT35-AP35)/AP35)</f>
        <v>0.16535619861134426</v>
      </c>
      <c r="AU78" s="423">
        <f t="shared" ref="AU78" si="551">IF(OR(AQ35&lt;=0,AU35&lt;=0),"NM",(AU35-AQ35)/AQ35)</f>
        <v>0.16067909973401914</v>
      </c>
      <c r="AV78" s="423">
        <f t="shared" ref="AV78" si="552">IF(OR(AR35&lt;=0,AV35&lt;=0),"NM",(AV35-AR35)/AR35)</f>
        <v>0.10275461188035946</v>
      </c>
      <c r="AW78" s="426">
        <f t="shared" ref="AW78" si="553">IF(OR(AS35&lt;=0,AW35&lt;=0),"NM",(AW35-AS35)/AS35)</f>
        <v>0.11483035515820754</v>
      </c>
      <c r="AX78" s="1220">
        <f t="shared" ref="AX78" si="554">IF(OR(AT35&lt;=0,AX35&lt;=0),"NM",(AX35-AT35)/AT35)</f>
        <v>0.14997729918967634</v>
      </c>
      <c r="AY78" s="423">
        <f t="shared" ref="AY78" si="555">IF(OR(AU35&lt;=0,AY35&lt;=0),"NM",(AY35-AU35)/AU35)</f>
        <v>0.15511818450404768</v>
      </c>
      <c r="AZ78" s="423">
        <f t="shared" ref="AZ78" si="556">IF(OR(AV35&lt;=0,AZ35&lt;=0),"NM",(AZ35-AV35)/AV35)</f>
        <v>0.11669992971673546</v>
      </c>
      <c r="BA78" s="426">
        <f t="shared" ref="BA78" si="557">IF(OR(AW35&lt;=0,BA35&lt;=0),"NM",(BA35-AW35)/AW35)</f>
        <v>0.16424727025581579</v>
      </c>
      <c r="BB78" s="641"/>
      <c r="BC78" s="638"/>
      <c r="BD78" s="426" t="str">
        <f t="shared" ref="BD78:BP78" si="558">IFERROR(BD35/BC35-1,"NA")</f>
        <v>NA</v>
      </c>
      <c r="BE78" s="426">
        <f t="shared" si="558"/>
        <v>0.1674880439705535</v>
      </c>
      <c r="BF78" s="426">
        <f t="shared" si="558"/>
        <v>0.31264844959618343</v>
      </c>
      <c r="BG78" s="426">
        <f t="shared" si="558"/>
        <v>0.16477768858535513</v>
      </c>
      <c r="BH78" s="426">
        <f t="shared" si="558"/>
        <v>0.16056081633217278</v>
      </c>
      <c r="BI78" s="426">
        <f t="shared" si="558"/>
        <v>0.22972108433734939</v>
      </c>
      <c r="BJ78" s="426">
        <f t="shared" si="558"/>
        <v>0.22272800415803973</v>
      </c>
      <c r="BK78" s="2037">
        <f>IFERROR(BK35/BJ35-1,"NA")</f>
        <v>0.21818364331957496</v>
      </c>
      <c r="BL78" s="426">
        <f t="shared" si="558"/>
        <v>0.17792407997772042</v>
      </c>
      <c r="BM78" s="426">
        <f t="shared" si="558"/>
        <v>0.18765049337602413</v>
      </c>
      <c r="BN78" s="426">
        <f t="shared" si="558"/>
        <v>0.15080930378995561</v>
      </c>
      <c r="BO78" s="426">
        <f t="shared" si="558"/>
        <v>0.12435565511771451</v>
      </c>
      <c r="BP78" s="426">
        <f t="shared" si="558"/>
        <v>0.13531160036146161</v>
      </c>
      <c r="BQ78" s="427"/>
    </row>
    <row r="79" spans="1:72" ht="12" customHeight="1">
      <c r="A79" s="429" t="s">
        <v>399</v>
      </c>
      <c r="B79" s="423" t="str">
        <f>IFERROR(B36/#REF!-1,"NA")</f>
        <v>NA</v>
      </c>
      <c r="C79" s="423" t="str">
        <f>IFERROR(C36/#REF!-1,"NA")</f>
        <v>NA</v>
      </c>
      <c r="D79" s="423" t="str">
        <f>IFERROR(D36/#REF!-1,"NA")</f>
        <v>NA</v>
      </c>
      <c r="E79" s="424" t="str">
        <f>IFERROR(E36/A36-1,"NA")</f>
        <v>NA</v>
      </c>
      <c r="F79" s="1220">
        <f>IF(OR(B39&lt;=0,F39&lt;=0),"NM",(F39-B39)/B39)</f>
        <v>0.13333333333333347</v>
      </c>
      <c r="G79" s="1218">
        <f t="shared" ref="G79" si="559">IF(OR(C39&lt;=0,G39&lt;=0),"NM",(G39-C39)/C39)</f>
        <v>0.13333333333333347</v>
      </c>
      <c r="H79" s="1218">
        <f t="shared" ref="H79" si="560">IF(OR(D39&lt;=0,H39&lt;=0),"NM",(H39-D39)/D39)</f>
        <v>0.13333333333333347</v>
      </c>
      <c r="I79" s="1221">
        <f t="shared" ref="I79" si="561">IF(OR(E39&lt;=0,I39&lt;=0),"NM",(I39-E39)/E39)</f>
        <v>0.13333333333333347</v>
      </c>
      <c r="J79" s="1220">
        <f>IF(OR(F39&lt;=0,J39&lt;=0),"NM",(J39-F39)/F39)</f>
        <v>0.14705882352941171</v>
      </c>
      <c r="K79" s="1218">
        <f t="shared" ref="K79" si="562">IF(OR(G39&lt;=0,K39&lt;=0),"NM",(K39-G39)/G39)</f>
        <v>0.14705882352941171</v>
      </c>
      <c r="L79" s="1218">
        <f t="shared" ref="L79" si="563">IF(OR(H39&lt;=0,L39&lt;=0),"NM",(L39-H39)/H39)</f>
        <v>0.14705882352941171</v>
      </c>
      <c r="M79" s="1221">
        <f t="shared" ref="M79" si="564">IF(OR(I39&lt;=0,M39&lt;=0),"NM",(M39-I39)/I39)</f>
        <v>0.14705882352941171</v>
      </c>
      <c r="N79" s="1220">
        <f>IF(OR(J39&lt;=0,N39&lt;=0),"NM",(N39-J39)/J39)</f>
        <v>0.20512820512820501</v>
      </c>
      <c r="O79" s="1218">
        <f t="shared" ref="O79" si="565">IF(OR(K39&lt;=0,O39&lt;=0),"NM",(O39-K39)/K39)</f>
        <v>0.20512820512820501</v>
      </c>
      <c r="P79" s="1218">
        <f t="shared" ref="P79" si="566">IF(OR(L39&lt;=0,P39&lt;=0),"NM",(P39-L39)/L39)</f>
        <v>0.20512820512820501</v>
      </c>
      <c r="Q79" s="1221">
        <f t="shared" ref="Q79" si="567">IF(OR(M39&lt;=0,Q39&lt;=0),"NM",(Q39-M39)/M39)</f>
        <v>0.20512820512820501</v>
      </c>
      <c r="R79" s="1220">
        <f>IF(OR(N39&lt;=0,R39&lt;=0),"NM",(R39-N39)/N39)</f>
        <v>0.12765957446808524</v>
      </c>
      <c r="S79" s="1218">
        <f t="shared" ref="S79" si="568">IF(OR(O39&lt;=0,S39&lt;=0),"NM",(S39-O39)/O39)</f>
        <v>0.12765957446808524</v>
      </c>
      <c r="T79" s="1218">
        <f t="shared" ref="T79" si="569">IF(OR(P39&lt;=0,T39&lt;=0),"NM",(T39-P39)/P39)</f>
        <v>0.12765957446808524</v>
      </c>
      <c r="U79" s="1221">
        <f t="shared" ref="U79" si="570">IF(OR(Q39&lt;=0,U39&lt;=0),"NM",(U39-Q39)/Q39)</f>
        <v>0.12765957446808524</v>
      </c>
      <c r="V79" s="1220">
        <f>IF(OR(R39&lt;=0,V39&lt;=0),"NM",(V39-R39)/R39)</f>
        <v>0.11320754716981121</v>
      </c>
      <c r="W79" s="1218">
        <f t="shared" ref="W79" si="571">IF(OR(S39&lt;=0,W39&lt;=0),"NM",(W39-S39)/S39)</f>
        <v>0.11320754716981121</v>
      </c>
      <c r="X79" s="1218">
        <f>+W79</f>
        <v>0.11320754716981121</v>
      </c>
      <c r="Y79" s="1221">
        <f>+X79</f>
        <v>0.11320754716981121</v>
      </c>
      <c r="Z79" s="1218">
        <v>0.15</v>
      </c>
      <c r="AA79" s="1218">
        <f t="shared" ref="AA79" si="572">IF(OR(W39&lt;=0,AA39&lt;=0),"NM",(AA39-W39)/W39)</f>
        <v>0.15254237288135608</v>
      </c>
      <c r="AB79" s="1218">
        <f>+AA79</f>
        <v>0.15254237288135608</v>
      </c>
      <c r="AC79" s="1221">
        <f>+AB79</f>
        <v>0.15254237288135608</v>
      </c>
      <c r="AD79" s="1218">
        <v>0.13500000000000001</v>
      </c>
      <c r="AE79" s="1218">
        <f t="shared" ref="AE79" si="573">IF(OR(AA39&lt;=0,AE39&lt;=0),"NM",(AE39-AA39)/AA39)</f>
        <v>0.14705882352941171</v>
      </c>
      <c r="AF79" s="1218">
        <f t="shared" ref="AF79:AQ79" si="574">+AE79</f>
        <v>0.14705882352941171</v>
      </c>
      <c r="AG79" s="1221">
        <f t="shared" si="574"/>
        <v>0.14705882352941171</v>
      </c>
      <c r="AH79" s="1218">
        <v>0.13500000000000001</v>
      </c>
      <c r="AI79" s="1218">
        <f t="shared" ref="AI79" si="575">IF(OR(AE39&lt;=0,AI39&lt;=0),"NM",(AI39-AE39)/AE39)</f>
        <v>0.15384615384615383</v>
      </c>
      <c r="AJ79" s="1218">
        <f t="shared" si="574"/>
        <v>0.15384615384615383</v>
      </c>
      <c r="AK79" s="1221">
        <f t="shared" si="574"/>
        <v>0.15384615384615383</v>
      </c>
      <c r="AL79" s="1218">
        <v>0.13500000000000001</v>
      </c>
      <c r="AM79" s="1218">
        <f t="shared" si="574"/>
        <v>0.13500000000000001</v>
      </c>
      <c r="AN79" s="1218">
        <f t="shared" si="574"/>
        <v>0.13500000000000001</v>
      </c>
      <c r="AO79" s="1221">
        <f t="shared" si="574"/>
        <v>0.13500000000000001</v>
      </c>
      <c r="AP79" s="2133">
        <v>0.15</v>
      </c>
      <c r="AQ79" s="1218">
        <f t="shared" si="574"/>
        <v>0.15</v>
      </c>
      <c r="AR79" s="1218">
        <f t="shared" ref="AR79" si="576">+AQ79</f>
        <v>0.15</v>
      </c>
      <c r="AS79" s="1221">
        <f t="shared" ref="AS79" si="577">+AR79</f>
        <v>0.15</v>
      </c>
      <c r="AT79" s="1218">
        <v>0.13500000000000001</v>
      </c>
      <c r="AU79" s="1218">
        <f t="shared" ref="AU79" si="578">+AT79</f>
        <v>0.13500000000000001</v>
      </c>
      <c r="AV79" s="1218">
        <f t="shared" ref="AV79" si="579">+AU79</f>
        <v>0.13500000000000001</v>
      </c>
      <c r="AW79" s="1221">
        <f t="shared" ref="AW79" si="580">+AV79</f>
        <v>0.13500000000000001</v>
      </c>
      <c r="AX79" s="1218">
        <v>0.13500000000000001</v>
      </c>
      <c r="AY79" s="1218">
        <f t="shared" ref="AY79" si="581">+AX79</f>
        <v>0.13500000000000001</v>
      </c>
      <c r="AZ79" s="1218">
        <f t="shared" ref="AZ79" si="582">+AY79</f>
        <v>0.13500000000000001</v>
      </c>
      <c r="BA79" s="1221">
        <f t="shared" ref="BA79" si="583">+AZ79</f>
        <v>0.13500000000000001</v>
      </c>
      <c r="BB79" s="641"/>
      <c r="BC79" s="638"/>
      <c r="BD79" s="426" t="s">
        <v>366</v>
      </c>
      <c r="BE79" s="426">
        <f>IFERROR(BE39/BD39-1,"NA")</f>
        <v>0.13333333333333353</v>
      </c>
      <c r="BF79" s="426">
        <f t="shared" ref="BF79:BP79" si="584">IFERROR(BF39/BE39-1,"NA")</f>
        <v>0.14705882352941169</v>
      </c>
      <c r="BG79" s="426">
        <f t="shared" si="584"/>
        <v>0.20512820512820507</v>
      </c>
      <c r="BH79" s="426">
        <f t="shared" si="584"/>
        <v>0.12765957446808529</v>
      </c>
      <c r="BI79" s="426">
        <f t="shared" si="584"/>
        <v>0.1132075471698113</v>
      </c>
      <c r="BJ79" s="426">
        <f t="shared" si="584"/>
        <v>0.15254237288135597</v>
      </c>
      <c r="BK79" s="2038">
        <f t="shared" si="584"/>
        <v>0.14705882352941191</v>
      </c>
      <c r="BL79" s="2039">
        <f t="shared" si="584"/>
        <v>0.15384615384615374</v>
      </c>
      <c r="BM79" s="2039">
        <f t="shared" si="584"/>
        <v>0.19999999999999996</v>
      </c>
      <c r="BN79" s="2039">
        <f t="shared" si="584"/>
        <v>0.15185185185185168</v>
      </c>
      <c r="BO79" s="2039">
        <f t="shared" si="584"/>
        <v>0.13500000000000001</v>
      </c>
      <c r="BP79" s="2039">
        <f t="shared" si="584"/>
        <v>0.13500000000000001</v>
      </c>
      <c r="BQ79" s="427"/>
    </row>
    <row r="80" spans="1:72" s="305" customFormat="1" ht="12" hidden="1" customHeight="1" outlineLevel="1">
      <c r="A80" s="434"/>
      <c r="B80" s="435"/>
      <c r="C80" s="435"/>
      <c r="D80" s="435"/>
      <c r="E80" s="435"/>
      <c r="F80" s="435"/>
      <c r="G80" s="435"/>
      <c r="H80" s="435"/>
      <c r="I80" s="435"/>
      <c r="J80" s="435"/>
      <c r="K80" s="435"/>
      <c r="L80" s="435"/>
      <c r="M80" s="435"/>
      <c r="N80" s="436"/>
      <c r="O80" s="436"/>
      <c r="P80" s="436"/>
      <c r="Q80" s="436"/>
      <c r="R80" s="436"/>
      <c r="S80" s="436"/>
      <c r="T80" s="435"/>
      <c r="U80" s="436"/>
      <c r="V80" s="436"/>
      <c r="W80" s="436"/>
      <c r="X80" s="436"/>
      <c r="Y80" s="436"/>
      <c r="Z80" s="436"/>
      <c r="AA80" s="436"/>
      <c r="AB80" s="436"/>
      <c r="AC80" s="436"/>
      <c r="AD80" s="436"/>
      <c r="AE80" s="436"/>
      <c r="AF80" s="436"/>
      <c r="AG80" s="436"/>
      <c r="AH80" s="436"/>
      <c r="AI80" s="436"/>
      <c r="AJ80" s="436"/>
      <c r="AK80" s="436"/>
      <c r="AL80" s="436"/>
      <c r="AM80" s="436"/>
      <c r="AN80" s="436"/>
      <c r="AO80" s="436"/>
      <c r="AP80" s="436"/>
      <c r="AQ80" s="436"/>
      <c r="AR80" s="436"/>
      <c r="AS80" s="436"/>
      <c r="AT80" s="436"/>
      <c r="AU80" s="436"/>
      <c r="AV80" s="436"/>
      <c r="AW80" s="436"/>
      <c r="AX80" s="436"/>
      <c r="AY80" s="436"/>
      <c r="AZ80" s="436"/>
      <c r="BA80" s="436"/>
      <c r="BB80" s="304"/>
      <c r="BC80" s="1222"/>
      <c r="BD80" s="1222"/>
      <c r="BE80" s="1222"/>
      <c r="BF80" s="1222"/>
      <c r="BG80" s="1222"/>
      <c r="BH80" s="1222"/>
      <c r="BI80" s="1222"/>
      <c r="BJ80" s="1222"/>
      <c r="BK80" s="1222"/>
      <c r="BL80" s="1222"/>
      <c r="BM80" s="1222"/>
      <c r="BN80" s="1222"/>
      <c r="BO80" s="1222"/>
      <c r="BP80" s="1222"/>
      <c r="BQ80" s="304"/>
      <c r="BR80" s="1379"/>
      <c r="BS80" s="1379"/>
      <c r="BT80" s="1379"/>
    </row>
    <row r="81" spans="1:72" ht="12" hidden="1" customHeight="1" outlineLevel="1">
      <c r="A81" s="437" t="s">
        <v>291</v>
      </c>
      <c r="B81" s="438"/>
      <c r="C81" s="439"/>
      <c r="D81" s="439"/>
      <c r="E81" s="440"/>
      <c r="F81" s="438"/>
      <c r="G81" s="439"/>
      <c r="H81" s="439"/>
      <c r="I81" s="440"/>
      <c r="J81" s="438"/>
      <c r="K81" s="439"/>
      <c r="L81" s="439"/>
      <c r="M81" s="440"/>
      <c r="N81" s="438"/>
      <c r="O81" s="439"/>
      <c r="P81" s="439"/>
      <c r="Q81" s="440"/>
      <c r="R81" s="438"/>
      <c r="S81" s="439"/>
      <c r="T81" s="439"/>
      <c r="U81" s="440"/>
      <c r="V81" s="438"/>
      <c r="W81" s="439"/>
      <c r="X81" s="439"/>
      <c r="Y81" s="441"/>
      <c r="Z81" s="438"/>
      <c r="AA81" s="439"/>
      <c r="AB81" s="439"/>
      <c r="AC81" s="441"/>
      <c r="AD81" s="438"/>
      <c r="AE81" s="439"/>
      <c r="AF81" s="439"/>
      <c r="AG81" s="441"/>
      <c r="AH81" s="438"/>
      <c r="AI81" s="439"/>
      <c r="AJ81" s="439"/>
      <c r="AK81" s="441"/>
      <c r="AL81" s="438"/>
      <c r="AM81" s="439"/>
      <c r="AN81" s="439"/>
      <c r="AO81" s="441"/>
      <c r="AP81" s="438"/>
      <c r="AQ81" s="439"/>
      <c r="AR81" s="439"/>
      <c r="AS81" s="441"/>
      <c r="AT81" s="438"/>
      <c r="AU81" s="439"/>
      <c r="AV81" s="439"/>
      <c r="AW81" s="441"/>
      <c r="AX81" s="438"/>
      <c r="AY81" s="439"/>
      <c r="AZ81" s="439"/>
      <c r="BA81" s="441"/>
      <c r="BB81" s="414"/>
      <c r="BQ81" s="414"/>
    </row>
    <row r="82" spans="1:72" s="288" customFormat="1" ht="12" hidden="1" customHeight="1" outlineLevel="1">
      <c r="A82" s="442" t="s">
        <v>31</v>
      </c>
      <c r="B82" s="419" t="str">
        <f t="shared" ref="B82:AQ82" si="585">IFERROR(B9/A9-1,"NA")</f>
        <v>NA</v>
      </c>
      <c r="C82" s="417">
        <f t="shared" si="585"/>
        <v>0.29453015427769991</v>
      </c>
      <c r="D82" s="417">
        <f t="shared" si="585"/>
        <v>1.4962080173347778</v>
      </c>
      <c r="E82" s="418">
        <f t="shared" si="585"/>
        <v>-0.67274305555555558</v>
      </c>
      <c r="F82" s="419">
        <f t="shared" si="585"/>
        <v>3.1830238726790361E-2</v>
      </c>
      <c r="G82" s="417">
        <f t="shared" si="585"/>
        <v>0.3059125964010283</v>
      </c>
      <c r="H82" s="417">
        <f t="shared" si="585"/>
        <v>1.5009842519685042</v>
      </c>
      <c r="I82" s="418">
        <f t="shared" si="585"/>
        <v>-0.66863439590712326</v>
      </c>
      <c r="J82" s="419">
        <f t="shared" si="585"/>
        <v>8.0760095011876532E-2</v>
      </c>
      <c r="K82" s="417">
        <f t="shared" si="585"/>
        <v>0.47142857142857153</v>
      </c>
      <c r="L82" s="417">
        <f t="shared" si="585"/>
        <v>1.174757281553398</v>
      </c>
      <c r="M82" s="418">
        <f t="shared" si="585"/>
        <v>-0.70329670329670324</v>
      </c>
      <c r="N82" s="419">
        <f t="shared" si="585"/>
        <v>0.17592592592592582</v>
      </c>
      <c r="O82" s="417">
        <f t="shared" si="585"/>
        <v>0.47834645669291342</v>
      </c>
      <c r="P82" s="417">
        <f t="shared" si="585"/>
        <v>1.1784287616511318</v>
      </c>
      <c r="Q82" s="418">
        <f t="shared" si="585"/>
        <v>-0.69621026894865523</v>
      </c>
      <c r="R82" s="419">
        <f t="shared" si="585"/>
        <v>0.17203219315895368</v>
      </c>
      <c r="S82" s="417">
        <f t="shared" si="585"/>
        <v>0.45579399141630894</v>
      </c>
      <c r="T82" s="417">
        <f t="shared" si="585"/>
        <v>0.77004716981132071</v>
      </c>
      <c r="U82" s="418">
        <f t="shared" si="585"/>
        <v>-0.39506995336442374</v>
      </c>
      <c r="V82" s="419">
        <f t="shared" si="585"/>
        <v>-0.2714757709251101</v>
      </c>
      <c r="W82" s="417">
        <f t="shared" si="585"/>
        <v>0.19123204837490548</v>
      </c>
      <c r="X82" s="417">
        <f t="shared" si="585"/>
        <v>1.6478426395939088</v>
      </c>
      <c r="Y82" s="420">
        <f t="shared" si="585"/>
        <v>-0.38629283489096577</v>
      </c>
      <c r="Z82" s="419">
        <f t="shared" si="585"/>
        <v>-0.21632174931667314</v>
      </c>
      <c r="AA82" s="417">
        <f t="shared" si="585"/>
        <v>0.33183856502242159</v>
      </c>
      <c r="AB82" s="417">
        <f t="shared" si="585"/>
        <v>1.1069958847736623</v>
      </c>
      <c r="AC82" s="420">
        <f t="shared" si="585"/>
        <v>-0.57137784090909083</v>
      </c>
      <c r="AD82" s="419">
        <f t="shared" si="585"/>
        <v>7.5807787903893864E-2</v>
      </c>
      <c r="AE82" s="417">
        <f t="shared" si="585"/>
        <v>0.17096649980747025</v>
      </c>
      <c r="AF82" s="417">
        <f t="shared" si="585"/>
        <v>0.978954291351529</v>
      </c>
      <c r="AG82" s="420">
        <f t="shared" si="585"/>
        <v>-0.54935194416749744</v>
      </c>
      <c r="AH82" s="419">
        <f t="shared" si="585"/>
        <v>9.8082595870206513E-2</v>
      </c>
      <c r="AI82" s="417">
        <f t="shared" si="585"/>
        <v>0.13700470114170593</v>
      </c>
      <c r="AJ82" s="417">
        <f t="shared" si="585"/>
        <v>0.98966331955109244</v>
      </c>
      <c r="AK82" s="420">
        <f t="shared" si="585"/>
        <v>-0.52738607688882277</v>
      </c>
      <c r="AL82" s="419">
        <f t="shared" si="585"/>
        <v>3.1092964824120495E-2</v>
      </c>
      <c r="AM82" s="417">
        <f t="shared" si="585"/>
        <v>0.20712762717027111</v>
      </c>
      <c r="AN82" s="417">
        <f t="shared" si="585"/>
        <v>0.95659853646227599</v>
      </c>
      <c r="AO82" s="420">
        <f t="shared" si="585"/>
        <v>-0.50593242197575439</v>
      </c>
      <c r="AP82" s="419">
        <f t="shared" si="585"/>
        <v>1.4095536413469167E-2</v>
      </c>
      <c r="AQ82" s="417">
        <f t="shared" si="585"/>
        <v>0.19716859716859725</v>
      </c>
      <c r="AR82" s="417">
        <f t="shared" ref="AR82" si="586">IFERROR(AR9/AQ9-1,"NA")</f>
        <v>0.82510642872500539</v>
      </c>
      <c r="AS82" s="420">
        <f t="shared" ref="AS82" si="587">IFERROR(AS9/AR9-1,"NA")</f>
        <v>-0.49901720784537329</v>
      </c>
      <c r="AT82" s="419">
        <f t="shared" ref="AT82" si="588">IFERROR(AT9/AS9-1,"NA")</f>
        <v>3.8722530952922884E-2</v>
      </c>
      <c r="AU82" s="417">
        <f t="shared" ref="AU82" si="589">IFERROR(AU9/AT9-1,"NA")</f>
        <v>0.20012113972347145</v>
      </c>
      <c r="AV82" s="417">
        <f t="shared" ref="AV82" si="590">IFERROR(AV9/AU9-1,"NA")</f>
        <v>0.75490470616424821</v>
      </c>
      <c r="AW82" s="420">
        <f t="shared" ref="AW82" si="591">IFERROR(AW9/AV9-1,"NA")</f>
        <v>-0.48991318419362229</v>
      </c>
      <c r="AX82" s="419">
        <f t="shared" ref="AX82" si="592">IFERROR(AX9/AW9-1,"NA")</f>
        <v>4.9090379524469485E-2</v>
      </c>
      <c r="AY82" s="417">
        <f t="shared" ref="AY82" si="593">IFERROR(AY9/AX9-1,"NA")</f>
        <v>0.20982773223851559</v>
      </c>
      <c r="AZ82" s="417">
        <f t="shared" ref="AZ82" si="594">IFERROR(AZ9/AY9-1,"NA")</f>
        <v>0.69969932225784692</v>
      </c>
      <c r="BA82" s="420">
        <f t="shared" ref="BA82" si="595">IFERROR(BA9/AZ9-1,"NA")</f>
        <v>-0.47907760419279055</v>
      </c>
      <c r="BB82" s="421"/>
      <c r="BQ82" s="421"/>
      <c r="BR82" s="1378"/>
      <c r="BS82" s="1378"/>
      <c r="BT82" s="1378"/>
    </row>
    <row r="83" spans="1:72" ht="12" hidden="1" customHeight="1" outlineLevel="1">
      <c r="A83" s="443" t="s">
        <v>39</v>
      </c>
      <c r="B83" s="425" t="str">
        <f t="shared" ref="B83:AQ83" si="596">IFERROR(B15/A15-1,"NA")</f>
        <v>NA</v>
      </c>
      <c r="C83" s="423">
        <f t="shared" si="596"/>
        <v>0.20886075949367089</v>
      </c>
      <c r="D83" s="423">
        <f t="shared" si="596"/>
        <v>9.4240837696335067E-2</v>
      </c>
      <c r="E83" s="424">
        <f t="shared" si="596"/>
        <v>-0.21531100478468901</v>
      </c>
      <c r="F83" s="425">
        <f t="shared" si="596"/>
        <v>8.5365853658536661E-2</v>
      </c>
      <c r="G83" s="423">
        <f t="shared" si="596"/>
        <v>0.1292134831460674</v>
      </c>
      <c r="H83" s="423">
        <f t="shared" si="596"/>
        <v>0.15422885572139311</v>
      </c>
      <c r="I83" s="424">
        <f t="shared" si="596"/>
        <v>-0.23275862068965514</v>
      </c>
      <c r="J83" s="425">
        <f t="shared" si="596"/>
        <v>8.4269662921348409E-2</v>
      </c>
      <c r="K83" s="423">
        <f t="shared" si="596"/>
        <v>0.19170984455958551</v>
      </c>
      <c r="L83" s="423">
        <f t="shared" si="596"/>
        <v>0.24347826086956514</v>
      </c>
      <c r="M83" s="424">
        <f t="shared" si="596"/>
        <v>-0.26223776223776218</v>
      </c>
      <c r="N83" s="425">
        <f t="shared" si="596"/>
        <v>8.0568720379146974E-2</v>
      </c>
      <c r="O83" s="423">
        <f t="shared" si="596"/>
        <v>0.16228070175438591</v>
      </c>
      <c r="P83" s="423">
        <f t="shared" si="596"/>
        <v>0.26037735849056598</v>
      </c>
      <c r="Q83" s="424">
        <f t="shared" si="596"/>
        <v>-0.21556886227544914</v>
      </c>
      <c r="R83" s="425">
        <f t="shared" si="596"/>
        <v>2.6717557251908497E-2</v>
      </c>
      <c r="S83" s="423">
        <f t="shared" si="596"/>
        <v>0.18959107806691455</v>
      </c>
      <c r="T83" s="423">
        <f t="shared" si="596"/>
        <v>0.26875000000000004</v>
      </c>
      <c r="U83" s="424">
        <f t="shared" si="596"/>
        <v>-0.25862068965517238</v>
      </c>
      <c r="V83" s="425">
        <f t="shared" si="596"/>
        <v>-0.22259136212624586</v>
      </c>
      <c r="W83" s="423">
        <f t="shared" si="596"/>
        <v>0.44017094017094016</v>
      </c>
      <c r="X83" s="423">
        <f t="shared" si="596"/>
        <v>0.67655786350148372</v>
      </c>
      <c r="Y83" s="426">
        <f t="shared" si="596"/>
        <v>-0.24247787610619465</v>
      </c>
      <c r="Z83" s="425">
        <f t="shared" si="596"/>
        <v>-0.12383177570093462</v>
      </c>
      <c r="AA83" s="423">
        <f t="shared" si="596"/>
        <v>0.29333333333333322</v>
      </c>
      <c r="AB83" s="423">
        <f t="shared" si="596"/>
        <v>0.52989690721649474</v>
      </c>
      <c r="AC83" s="426">
        <f t="shared" si="596"/>
        <v>-0.30188679245283023</v>
      </c>
      <c r="AD83" s="425">
        <f t="shared" si="596"/>
        <v>5.9845559845559837E-2</v>
      </c>
      <c r="AE83" s="423">
        <f t="shared" si="596"/>
        <v>0.16757741347905286</v>
      </c>
      <c r="AF83" s="423">
        <f t="shared" si="596"/>
        <v>0.29017160686427457</v>
      </c>
      <c r="AG83" s="426">
        <f t="shared" si="596"/>
        <v>-0.28778718258766622</v>
      </c>
      <c r="AH83" s="425">
        <f t="shared" si="596"/>
        <v>5.4329371816638439E-2</v>
      </c>
      <c r="AI83" s="423">
        <f t="shared" si="596"/>
        <v>0.1561996779388084</v>
      </c>
      <c r="AJ83" s="423">
        <f t="shared" si="596"/>
        <v>0.29944289693593307</v>
      </c>
      <c r="AK83" s="426">
        <f t="shared" si="596"/>
        <v>-0.3086816720257235</v>
      </c>
      <c r="AL83" s="425">
        <f t="shared" si="596"/>
        <v>4.6511627906976827E-2</v>
      </c>
      <c r="AM83" s="423">
        <f t="shared" si="596"/>
        <v>0.17037037037037028</v>
      </c>
      <c r="AN83" s="423">
        <f t="shared" si="596"/>
        <v>0.33544303797468356</v>
      </c>
      <c r="AO83" s="426">
        <f t="shared" si="596"/>
        <v>-0.29004739336492891</v>
      </c>
      <c r="AP83" s="425">
        <f t="shared" si="596"/>
        <v>-9.3457943925233655E-3</v>
      </c>
      <c r="AQ83" s="423">
        <f t="shared" si="596"/>
        <v>0.21967654986522911</v>
      </c>
      <c r="AR83" s="423">
        <f t="shared" ref="AR83:BA83" si="597">IFERROR(AR15/AQ15-1,"NA")</f>
        <v>0.2799434195490953</v>
      </c>
      <c r="AS83" s="426">
        <f t="shared" si="597"/>
        <v>-0.27740288224843268</v>
      </c>
      <c r="AT83" s="425">
        <f t="shared" si="597"/>
        <v>1.3283270972606953E-2</v>
      </c>
      <c r="AU83" s="423">
        <f t="shared" si="597"/>
        <v>0.22966922793272482</v>
      </c>
      <c r="AV83" s="423">
        <f t="shared" si="597"/>
        <v>0.22099563440255499</v>
      </c>
      <c r="AW83" s="426">
        <f t="shared" si="597"/>
        <v>-0.26169568725119463</v>
      </c>
      <c r="AX83" s="425">
        <f t="shared" si="597"/>
        <v>2.2681524444878143E-2</v>
      </c>
      <c r="AY83" s="423">
        <f t="shared" si="597"/>
        <v>0.2458068494367931</v>
      </c>
      <c r="AZ83" s="423">
        <f t="shared" si="597"/>
        <v>0.17366342014751823</v>
      </c>
      <c r="BA83" s="426">
        <f t="shared" si="597"/>
        <v>-0.24366916619921197</v>
      </c>
      <c r="BB83" s="427"/>
      <c r="BQ83" s="427"/>
    </row>
    <row r="84" spans="1:72" ht="12" hidden="1" customHeight="1" outlineLevel="1">
      <c r="A84" s="443" t="s">
        <v>287</v>
      </c>
      <c r="B84" s="425" t="str">
        <f t="shared" ref="B84:AQ84" si="598">IFERROR(B16/A16-1,"NA")</f>
        <v>NA</v>
      </c>
      <c r="C84" s="423">
        <f t="shared" si="598"/>
        <v>0.31891891891891899</v>
      </c>
      <c r="D84" s="423">
        <f t="shared" si="598"/>
        <v>1.8620218579234971</v>
      </c>
      <c r="E84" s="424">
        <f t="shared" si="598"/>
        <v>-0.71837708830548919</v>
      </c>
      <c r="F84" s="425">
        <f t="shared" si="598"/>
        <v>1.6949152542372836E-2</v>
      </c>
      <c r="G84" s="423">
        <f t="shared" si="598"/>
        <v>0.35833333333333339</v>
      </c>
      <c r="H84" s="423">
        <f t="shared" si="598"/>
        <v>1.8331288343558283</v>
      </c>
      <c r="I84" s="424">
        <f t="shared" si="598"/>
        <v>-0.71242962321351233</v>
      </c>
      <c r="J84" s="425">
        <f t="shared" si="598"/>
        <v>7.9819277108433839E-2</v>
      </c>
      <c r="K84" s="423">
        <f t="shared" si="598"/>
        <v>0.54672245467224556</v>
      </c>
      <c r="L84" s="423">
        <f t="shared" si="598"/>
        <v>1.3678990081154194</v>
      </c>
      <c r="M84" s="424">
        <f t="shared" si="598"/>
        <v>-0.75133282559025139</v>
      </c>
      <c r="N84" s="425">
        <f t="shared" si="598"/>
        <v>0.20673813169984689</v>
      </c>
      <c r="O84" s="423">
        <f t="shared" si="598"/>
        <v>0.56979695431472077</v>
      </c>
      <c r="P84" s="423">
        <f t="shared" si="598"/>
        <v>1.3751010509296684</v>
      </c>
      <c r="Q84" s="424">
        <f t="shared" si="598"/>
        <v>-0.75085091899251188</v>
      </c>
      <c r="R84" s="425">
        <f t="shared" si="598"/>
        <v>0.22404371584699456</v>
      </c>
      <c r="S84" s="423">
        <f t="shared" si="598"/>
        <v>0.53571428571428581</v>
      </c>
      <c r="T84" s="423">
        <f t="shared" si="598"/>
        <v>0.88662790697674421</v>
      </c>
      <c r="U84" s="424">
        <f t="shared" si="598"/>
        <v>-0.41640986132511559</v>
      </c>
      <c r="V84" s="425">
        <f t="shared" si="598"/>
        <v>-0.28118811881188122</v>
      </c>
      <c r="W84" s="423">
        <f t="shared" si="598"/>
        <v>0.13774104683195598</v>
      </c>
      <c r="X84" s="423">
        <f t="shared" si="598"/>
        <v>1.9120258272800648</v>
      </c>
      <c r="Y84" s="426">
        <f t="shared" si="598"/>
        <v>-0.40881374722838137</v>
      </c>
      <c r="Z84" s="425">
        <f t="shared" si="598"/>
        <v>-0.23488045007032354</v>
      </c>
      <c r="AA84" s="423">
        <f t="shared" si="598"/>
        <v>0.34068627450980382</v>
      </c>
      <c r="AB84" s="423">
        <f t="shared" si="598"/>
        <v>1.2349177330895791</v>
      </c>
      <c r="AC84" s="426">
        <f t="shared" si="598"/>
        <v>-0.61226993865030666</v>
      </c>
      <c r="AD84" s="425">
        <f t="shared" si="598"/>
        <v>8.0168776371307926E-2</v>
      </c>
      <c r="AE84" s="423">
        <f t="shared" si="598"/>
        <v>0.171875</v>
      </c>
      <c r="AF84" s="423">
        <f t="shared" si="598"/>
        <v>1.1629166666666668</v>
      </c>
      <c r="AG84" s="426">
        <f t="shared" si="598"/>
        <v>-0.59102292429204395</v>
      </c>
      <c r="AH84" s="425">
        <f t="shared" si="598"/>
        <v>0.11022138483278376</v>
      </c>
      <c r="AI84" s="423">
        <f t="shared" si="598"/>
        <v>0.13194739075095452</v>
      </c>
      <c r="AJ84" s="423">
        <f t="shared" si="598"/>
        <v>1.1754122938530731</v>
      </c>
      <c r="AK84" s="426">
        <f t="shared" si="598"/>
        <v>-0.56254307374224655</v>
      </c>
      <c r="AL84" s="425">
        <f t="shared" si="598"/>
        <v>2.7176053564395231E-2</v>
      </c>
      <c r="AM84" s="423">
        <f t="shared" si="598"/>
        <v>0.21664110429447847</v>
      </c>
      <c r="AN84" s="423">
        <f t="shared" si="598"/>
        <v>1.1112511818468325</v>
      </c>
      <c r="AO84" s="426">
        <f t="shared" si="598"/>
        <v>-0.53993133303478125</v>
      </c>
      <c r="AP84" s="425">
        <f t="shared" si="598"/>
        <v>1.9792342634652904E-2</v>
      </c>
      <c r="AQ84" s="423">
        <f t="shared" si="598"/>
        <v>0.19185491568565061</v>
      </c>
      <c r="AR84" s="423">
        <f t="shared" ref="AR84:BA84" si="599">IFERROR(AR16/AQ16-1,"NA")</f>
        <v>0.95681292186547484</v>
      </c>
      <c r="AS84" s="426">
        <f t="shared" si="599"/>
        <v>-0.53403752711701968</v>
      </c>
      <c r="AT84" s="425">
        <f t="shared" si="599"/>
        <v>4.4956606022900525E-2</v>
      </c>
      <c r="AU84" s="423">
        <f t="shared" si="599"/>
        <v>0.19309964526159895</v>
      </c>
      <c r="AV84" s="423">
        <f t="shared" si="599"/>
        <v>0.88566595492928069</v>
      </c>
      <c r="AW84" s="426">
        <f t="shared" si="599"/>
        <v>-0.52610497293151237</v>
      </c>
      <c r="AX84" s="425">
        <f t="shared" si="599"/>
        <v>5.5615130450745509E-2</v>
      </c>
      <c r="AY84" s="423">
        <f t="shared" si="599"/>
        <v>0.20121581849904002</v>
      </c>
      <c r="AZ84" s="423">
        <f t="shared" si="599"/>
        <v>0.83028460253908976</v>
      </c>
      <c r="BA84" s="426">
        <f t="shared" si="599"/>
        <v>-0.51655123796674096</v>
      </c>
      <c r="BB84" s="427"/>
      <c r="BQ84" s="427"/>
    </row>
    <row r="85" spans="1:72" ht="12" hidden="1" customHeight="1" outlineLevel="1">
      <c r="A85" s="443" t="s">
        <v>321</v>
      </c>
      <c r="B85" s="425" t="str">
        <f t="shared" ref="B85:AQ85" si="600">IFERROR(B20/A20-1,"NA")</f>
        <v>NA</v>
      </c>
      <c r="C85" s="423">
        <f t="shared" si="600"/>
        <v>0.50222222222222213</v>
      </c>
      <c r="D85" s="423">
        <f t="shared" si="600"/>
        <v>0.19822485207100593</v>
      </c>
      <c r="E85" s="424">
        <f t="shared" si="600"/>
        <v>-0.39753086419753081</v>
      </c>
      <c r="F85" s="425">
        <f t="shared" si="600"/>
        <v>5.7377049180327822E-2</v>
      </c>
      <c r="G85" s="423">
        <f t="shared" si="600"/>
        <v>0.48449612403100772</v>
      </c>
      <c r="H85" s="423">
        <f t="shared" si="600"/>
        <v>0.16971279373368153</v>
      </c>
      <c r="I85" s="424">
        <f t="shared" si="600"/>
        <v>-0.4575892857142857</v>
      </c>
      <c r="J85" s="425">
        <f t="shared" si="600"/>
        <v>0.1646090534979423</v>
      </c>
      <c r="K85" s="423">
        <f t="shared" si="600"/>
        <v>0.56890459363957602</v>
      </c>
      <c r="L85" s="423">
        <f t="shared" si="600"/>
        <v>0.18018018018018012</v>
      </c>
      <c r="M85" s="424">
        <f t="shared" si="600"/>
        <v>-0.46755725190839692</v>
      </c>
      <c r="N85" s="425">
        <f t="shared" si="600"/>
        <v>0.13261648745519716</v>
      </c>
      <c r="O85" s="423">
        <f t="shared" si="600"/>
        <v>0.65506329113924044</v>
      </c>
      <c r="P85" s="423">
        <f t="shared" si="600"/>
        <v>0.20267686424474185</v>
      </c>
      <c r="Q85" s="424">
        <f t="shared" si="600"/>
        <v>-0.43402225755166934</v>
      </c>
      <c r="R85" s="425">
        <f t="shared" si="600"/>
        <v>-8.4269662921347965E-3</v>
      </c>
      <c r="S85" s="423">
        <f t="shared" si="600"/>
        <v>0.59773371104815864</v>
      </c>
      <c r="T85" s="423">
        <f t="shared" si="600"/>
        <v>0.10106382978723394</v>
      </c>
      <c r="U85" s="424">
        <f t="shared" si="600"/>
        <v>-0.36553945249597419</v>
      </c>
      <c r="V85" s="425">
        <f t="shared" si="600"/>
        <v>-0.1624365482233503</v>
      </c>
      <c r="W85" s="423">
        <f t="shared" si="600"/>
        <v>0.62424242424242427</v>
      </c>
      <c r="X85" s="423">
        <f t="shared" si="600"/>
        <v>0.50373134328358216</v>
      </c>
      <c r="Y85" s="426">
        <f t="shared" si="600"/>
        <v>-2.1091811414392092E-2</v>
      </c>
      <c r="Z85" s="425">
        <f t="shared" si="600"/>
        <v>-0.38403041825095052</v>
      </c>
      <c r="AA85" s="423">
        <f t="shared" si="600"/>
        <v>0.76748971193415638</v>
      </c>
      <c r="AB85" s="423">
        <f t="shared" si="600"/>
        <v>0.32945285215366704</v>
      </c>
      <c r="AC85" s="426">
        <f t="shared" si="600"/>
        <v>-0.36077057793345013</v>
      </c>
      <c r="AD85" s="425">
        <f t="shared" si="600"/>
        <v>-5.6164383561643882E-2</v>
      </c>
      <c r="AE85" s="423">
        <f t="shared" si="600"/>
        <v>0.1843251088534108</v>
      </c>
      <c r="AF85" s="423">
        <f t="shared" si="600"/>
        <v>0.35661764705882359</v>
      </c>
      <c r="AG85" s="426">
        <f t="shared" si="600"/>
        <v>-0.34869015356820232</v>
      </c>
      <c r="AH85" s="425">
        <f t="shared" si="600"/>
        <v>-0.10402219140083213</v>
      </c>
      <c r="AI85" s="423">
        <f t="shared" si="600"/>
        <v>0.38544891640866874</v>
      </c>
      <c r="AJ85" s="423">
        <f t="shared" si="600"/>
        <v>0.45027932960893846</v>
      </c>
      <c r="AK85" s="426">
        <f t="shared" si="600"/>
        <v>-0.25500770416024654</v>
      </c>
      <c r="AL85" s="425">
        <f t="shared" si="600"/>
        <v>-0.14684591520165458</v>
      </c>
      <c r="AM85" s="423">
        <f t="shared" si="600"/>
        <v>0.29454545454545444</v>
      </c>
      <c r="AN85" s="423">
        <f t="shared" si="600"/>
        <v>0.39232209737827706</v>
      </c>
      <c r="AO85" s="426">
        <f t="shared" si="600"/>
        <v>-0.25084061869535978</v>
      </c>
      <c r="AP85" s="425">
        <f t="shared" si="600"/>
        <v>-0.16876122082585276</v>
      </c>
      <c r="AQ85" s="423">
        <f t="shared" si="600"/>
        <v>0.34449244060475159</v>
      </c>
      <c r="AR85" s="423">
        <f t="shared" ref="AR85:BA85" si="601">IFERROR(AR20/AQ20-1,"NA")</f>
        <v>0.39275267044448103</v>
      </c>
      <c r="AS85" s="426">
        <f t="shared" si="601"/>
        <v>-0.31872277573745733</v>
      </c>
      <c r="AT85" s="425">
        <f t="shared" si="601"/>
        <v>-0.11994716786211501</v>
      </c>
      <c r="AU85" s="423">
        <f t="shared" si="601"/>
        <v>0.3445916205149151</v>
      </c>
      <c r="AV85" s="423">
        <f t="shared" si="601"/>
        <v>0.32621949522092764</v>
      </c>
      <c r="AW85" s="426">
        <f t="shared" si="601"/>
        <v>-0.28582926996723279</v>
      </c>
      <c r="AX85" s="425">
        <f t="shared" si="601"/>
        <v>-0.12255194289460369</v>
      </c>
      <c r="AY85" s="423">
        <f t="shared" si="601"/>
        <v>0.35671492247771597</v>
      </c>
      <c r="AZ85" s="423">
        <f t="shared" si="601"/>
        <v>0.28262534983677412</v>
      </c>
      <c r="BA85" s="426">
        <f t="shared" si="601"/>
        <v>-0.27720008581359368</v>
      </c>
      <c r="BB85" s="427"/>
      <c r="BQ85" s="427"/>
    </row>
    <row r="86" spans="1:72" ht="12" hidden="1" customHeight="1" outlineLevel="1">
      <c r="A86" s="443" t="s">
        <v>40</v>
      </c>
      <c r="B86" s="425" t="str">
        <f t="shared" ref="B86:AQ86" si="602">IFERROR(B21/A21-1,"NA")</f>
        <v>NA</v>
      </c>
      <c r="C86" s="423">
        <f t="shared" si="602"/>
        <v>-4.166666666666663E-2</v>
      </c>
      <c r="D86" s="423">
        <f t="shared" si="602"/>
        <v>0.125</v>
      </c>
      <c r="E86" s="424">
        <f t="shared" si="602"/>
        <v>4.8309178743961567E-3</v>
      </c>
      <c r="F86" s="425">
        <f t="shared" si="602"/>
        <v>9.6153846153845812E-3</v>
      </c>
      <c r="G86" s="423">
        <f t="shared" si="602"/>
        <v>1.904761904761898E-2</v>
      </c>
      <c r="H86" s="423">
        <f t="shared" si="602"/>
        <v>3.7383177570093462E-2</v>
      </c>
      <c r="I86" s="424">
        <f t="shared" si="602"/>
        <v>3.6036036036036112E-2</v>
      </c>
      <c r="J86" s="425">
        <f t="shared" si="602"/>
        <v>0.10434782608695659</v>
      </c>
      <c r="K86" s="423">
        <f t="shared" si="602"/>
        <v>7.8740157480314821E-3</v>
      </c>
      <c r="L86" s="423">
        <f t="shared" si="602"/>
        <v>3.90625E-2</v>
      </c>
      <c r="M86" s="424">
        <f t="shared" si="602"/>
        <v>4.1353383458646586E-2</v>
      </c>
      <c r="N86" s="425">
        <f t="shared" si="602"/>
        <v>-6.498194945848379E-2</v>
      </c>
      <c r="O86" s="423">
        <f t="shared" si="602"/>
        <v>7.7220077220077066E-3</v>
      </c>
      <c r="P86" s="423">
        <f t="shared" si="602"/>
        <v>6.8965517241379226E-2</v>
      </c>
      <c r="Q86" s="424">
        <f t="shared" si="602"/>
        <v>6.8100358422939156E-2</v>
      </c>
      <c r="R86" s="425">
        <f t="shared" si="602"/>
        <v>-6.7114093959731447E-3</v>
      </c>
      <c r="S86" s="423">
        <f t="shared" si="602"/>
        <v>0</v>
      </c>
      <c r="T86" s="423">
        <f t="shared" si="602"/>
        <v>0</v>
      </c>
      <c r="U86" s="424">
        <f t="shared" si="602"/>
        <v>0.19256756756756754</v>
      </c>
      <c r="V86" s="425">
        <f t="shared" si="602"/>
        <v>-0.18696883852691215</v>
      </c>
      <c r="W86" s="423">
        <f t="shared" si="602"/>
        <v>4.8780487804878092E-2</v>
      </c>
      <c r="X86" s="423">
        <f t="shared" si="602"/>
        <v>0.26910299003322269</v>
      </c>
      <c r="Y86" s="426">
        <f t="shared" si="602"/>
        <v>0.11780104712041894</v>
      </c>
      <c r="Z86" s="425">
        <f t="shared" si="602"/>
        <v>-1.4051522248243575E-2</v>
      </c>
      <c r="AA86" s="423">
        <f t="shared" si="602"/>
        <v>8.7885985748218598E-2</v>
      </c>
      <c r="AB86" s="423">
        <f t="shared" si="602"/>
        <v>8.733624454148492E-3</v>
      </c>
      <c r="AC86" s="426">
        <f t="shared" si="602"/>
        <v>4.9783549783549708E-2</v>
      </c>
      <c r="AD86" s="425">
        <f t="shared" si="602"/>
        <v>8.2474226804123418E-3</v>
      </c>
      <c r="AE86" s="423">
        <f t="shared" si="602"/>
        <v>1.8404907975460016E-2</v>
      </c>
      <c r="AF86" s="423">
        <f t="shared" si="602"/>
        <v>-2.008032128514059E-2</v>
      </c>
      <c r="AG86" s="426">
        <f t="shared" si="602"/>
        <v>9.0163934426229497E-2</v>
      </c>
      <c r="AH86" s="425">
        <f t="shared" si="602"/>
        <v>-2.4436090225563922E-2</v>
      </c>
      <c r="AI86" s="423">
        <f t="shared" si="602"/>
        <v>-5.7803468208093012E-3</v>
      </c>
      <c r="AJ86" s="423">
        <f t="shared" si="602"/>
        <v>0</v>
      </c>
      <c r="AK86" s="426">
        <f t="shared" si="602"/>
        <v>9.3023255813953432E-2</v>
      </c>
      <c r="AL86" s="425">
        <f t="shared" si="602"/>
        <v>-3.7234042553191515E-2</v>
      </c>
      <c r="AM86" s="423">
        <f t="shared" si="602"/>
        <v>2.2099447513812098E-2</v>
      </c>
      <c r="AN86" s="423">
        <f t="shared" si="602"/>
        <v>7.2072072072071336E-3</v>
      </c>
      <c r="AO86" s="426">
        <f t="shared" si="602"/>
        <v>0.14847942754919496</v>
      </c>
      <c r="AP86" s="425">
        <f t="shared" si="602"/>
        <v>2.4922118380062308E-2</v>
      </c>
      <c r="AQ86" s="423">
        <f t="shared" si="602"/>
        <v>0</v>
      </c>
      <c r="AR86" s="423">
        <f t="shared" ref="AR86:BA86" si="603">IFERROR(AR21/AQ21-1,"NA")</f>
        <v>-5.7074375617878981E-2</v>
      </c>
      <c r="AS86" s="426">
        <f t="shared" si="603"/>
        <v>8.0079794328495879E-2</v>
      </c>
      <c r="AT86" s="425">
        <f t="shared" si="603"/>
        <v>0.10324940485005585</v>
      </c>
      <c r="AU86" s="423">
        <f t="shared" si="603"/>
        <v>1.0437116262940194E-4</v>
      </c>
      <c r="AV86" s="423">
        <f t="shared" si="603"/>
        <v>-0.10550694365257141</v>
      </c>
      <c r="AW86" s="426">
        <f t="shared" si="603"/>
        <v>0.11629493551573789</v>
      </c>
      <c r="AX86" s="425">
        <f t="shared" si="603"/>
        <v>0.11509909743791447</v>
      </c>
      <c r="AY86" s="423">
        <f t="shared" si="603"/>
        <v>5.7546303543674071E-3</v>
      </c>
      <c r="AZ86" s="423">
        <f t="shared" si="603"/>
        <v>-0.14576928875269912</v>
      </c>
      <c r="BA86" s="426">
        <f t="shared" si="603"/>
        <v>0.15792862459892532</v>
      </c>
      <c r="BB86" s="427"/>
      <c r="BQ86" s="427"/>
    </row>
    <row r="87" spans="1:72" ht="12" hidden="1" customHeight="1" outlineLevel="1">
      <c r="A87" s="443" t="s">
        <v>288</v>
      </c>
      <c r="B87" s="425" t="str">
        <f t="shared" ref="B87:AQ87" si="604">IFERROR(B22/A22-1,"NA")</f>
        <v>NA</v>
      </c>
      <c r="C87" s="423">
        <f t="shared" si="604"/>
        <v>4.3478260869565188E-2</v>
      </c>
      <c r="D87" s="423">
        <f t="shared" si="604"/>
        <v>0.29166666666666674</v>
      </c>
      <c r="E87" s="424">
        <f t="shared" si="604"/>
        <v>-0.17741935483870963</v>
      </c>
      <c r="F87" s="425">
        <f t="shared" si="604"/>
        <v>-1.9607843137254943E-2</v>
      </c>
      <c r="G87" s="423">
        <f t="shared" si="604"/>
        <v>0.12000000000000011</v>
      </c>
      <c r="H87" s="423">
        <f t="shared" si="604"/>
        <v>7.1428571428571397E-2</v>
      </c>
      <c r="I87" s="424">
        <f t="shared" si="604"/>
        <v>-5.8333333333333348E-2</v>
      </c>
      <c r="J87" s="425">
        <f t="shared" si="604"/>
        <v>1.7699115044247815E-2</v>
      </c>
      <c r="K87" s="423">
        <f t="shared" si="604"/>
        <v>0</v>
      </c>
      <c r="L87" s="423">
        <f t="shared" si="604"/>
        <v>0.18260869565217397</v>
      </c>
      <c r="M87" s="424">
        <f t="shared" si="604"/>
        <v>-0.17647058823529416</v>
      </c>
      <c r="N87" s="425">
        <f t="shared" si="604"/>
        <v>-8.9285714285713969E-3</v>
      </c>
      <c r="O87" s="423">
        <f t="shared" si="604"/>
        <v>2.7027027027026973E-2</v>
      </c>
      <c r="P87" s="423">
        <f t="shared" si="604"/>
        <v>0.2456140350877194</v>
      </c>
      <c r="Q87" s="424">
        <f t="shared" si="604"/>
        <v>-0.11971830985915488</v>
      </c>
      <c r="R87" s="425">
        <f t="shared" si="604"/>
        <v>-5.600000000000005E-2</v>
      </c>
      <c r="S87" s="423">
        <f t="shared" si="604"/>
        <v>0.11864406779661008</v>
      </c>
      <c r="T87" s="423">
        <f t="shared" si="604"/>
        <v>6.0606060606060552E-2</v>
      </c>
      <c r="U87" s="424">
        <f t="shared" si="604"/>
        <v>8.5714285714285632E-2</v>
      </c>
      <c r="V87" s="425">
        <f t="shared" si="604"/>
        <v>-9.210526315789469E-2</v>
      </c>
      <c r="W87" s="423">
        <f t="shared" si="604"/>
        <v>0.21014492753623193</v>
      </c>
      <c r="X87" s="423">
        <f t="shared" si="604"/>
        <v>0.31137724550898205</v>
      </c>
      <c r="Y87" s="426">
        <f t="shared" si="604"/>
        <v>-7.7625570776255759E-2</v>
      </c>
      <c r="Z87" s="425">
        <f t="shared" si="604"/>
        <v>-0.15841584158415845</v>
      </c>
      <c r="AA87" s="423">
        <f t="shared" si="604"/>
        <v>0.5235294117647058</v>
      </c>
      <c r="AB87" s="423">
        <f t="shared" si="604"/>
        <v>0.47490347490347484</v>
      </c>
      <c r="AC87" s="426">
        <f t="shared" si="604"/>
        <v>-0.35078534031413611</v>
      </c>
      <c r="AD87" s="425">
        <f t="shared" si="604"/>
        <v>-0.16129032258064513</v>
      </c>
      <c r="AE87" s="423">
        <f t="shared" si="604"/>
        <v>0.10576923076923084</v>
      </c>
      <c r="AF87" s="423">
        <f t="shared" si="604"/>
        <v>3.4782608695652195E-2</v>
      </c>
      <c r="AG87" s="426">
        <f t="shared" si="604"/>
        <v>2.1008403361344463E-2</v>
      </c>
      <c r="AH87" s="425">
        <f t="shared" si="604"/>
        <v>-4.5267489711934172E-2</v>
      </c>
      <c r="AI87" s="423">
        <f t="shared" si="604"/>
        <v>0.10775862068965525</v>
      </c>
      <c r="AJ87" s="423">
        <f t="shared" si="604"/>
        <v>8.171206225680927E-2</v>
      </c>
      <c r="AK87" s="426">
        <f t="shared" si="604"/>
        <v>0</v>
      </c>
      <c r="AL87" s="425">
        <f t="shared" si="604"/>
        <v>3.2374100719424481E-2</v>
      </c>
      <c r="AM87" s="423">
        <f t="shared" si="604"/>
        <v>1.0452961672473782E-2</v>
      </c>
      <c r="AN87" s="423">
        <f t="shared" si="604"/>
        <v>6.8965517241379226E-2</v>
      </c>
      <c r="AO87" s="426">
        <f t="shared" si="604"/>
        <v>0</v>
      </c>
      <c r="AP87" s="425">
        <f t="shared" si="604"/>
        <v>-2.9032258064516148E-2</v>
      </c>
      <c r="AQ87" s="423">
        <f t="shared" si="604"/>
        <v>-2.3255813953488413E-2</v>
      </c>
      <c r="AR87" s="423">
        <f t="shared" ref="AR87:BA87" si="605">IFERROR(AR22/AQ22-1,"NA")</f>
        <v>0.18318439628262961</v>
      </c>
      <c r="AS87" s="426">
        <f t="shared" si="605"/>
        <v>-3.5198070994521991E-2</v>
      </c>
      <c r="AT87" s="425">
        <f t="shared" si="605"/>
        <v>-6.5721169558019543E-3</v>
      </c>
      <c r="AU87" s="423">
        <f t="shared" si="605"/>
        <v>-2.670210242082327E-2</v>
      </c>
      <c r="AV87" s="423">
        <f t="shared" si="605"/>
        <v>0.11750693573848858</v>
      </c>
      <c r="AW87" s="426">
        <f t="shared" si="605"/>
        <v>6.5652828007927155E-3</v>
      </c>
      <c r="AX87" s="425">
        <f t="shared" si="605"/>
        <v>2.1541487717162688E-3</v>
      </c>
      <c r="AY87" s="423">
        <f t="shared" si="605"/>
        <v>-2.5053946580200104E-2</v>
      </c>
      <c r="AZ87" s="423">
        <f t="shared" si="605"/>
        <v>6.1500658091983684E-2</v>
      </c>
      <c r="BA87" s="426">
        <f t="shared" si="605"/>
        <v>5.53694139548222E-2</v>
      </c>
      <c r="BB87" s="427"/>
      <c r="BQ87" s="427"/>
    </row>
    <row r="88" spans="1:72" ht="12" hidden="1" customHeight="1" outlineLevel="1">
      <c r="A88" s="443" t="s">
        <v>289</v>
      </c>
      <c r="B88" s="425" t="str">
        <f t="shared" ref="B88:AQ88" si="606">IFERROR(B23/A23-1,"NA")</f>
        <v>NA</v>
      </c>
      <c r="C88" s="423">
        <f t="shared" si="606"/>
        <v>0.21414538310412579</v>
      </c>
      <c r="D88" s="423">
        <f t="shared" si="606"/>
        <v>0.1909385113268609</v>
      </c>
      <c r="E88" s="424">
        <f t="shared" si="606"/>
        <v>-0.24728260869565222</v>
      </c>
      <c r="F88" s="425">
        <f t="shared" si="606"/>
        <v>2.5270758122743597E-2</v>
      </c>
      <c r="G88" s="423">
        <f t="shared" si="606"/>
        <v>0.24823943661971826</v>
      </c>
      <c r="H88" s="423">
        <f t="shared" si="606"/>
        <v>0.11424541607898453</v>
      </c>
      <c r="I88" s="424">
        <f t="shared" si="606"/>
        <v>-0.25822784810126587</v>
      </c>
      <c r="J88" s="425">
        <f t="shared" si="606"/>
        <v>0.11262798634812277</v>
      </c>
      <c r="K88" s="423">
        <f t="shared" si="606"/>
        <v>0.25</v>
      </c>
      <c r="L88" s="423">
        <f t="shared" si="606"/>
        <v>0.13619631901840501</v>
      </c>
      <c r="M88" s="424">
        <f t="shared" si="606"/>
        <v>-0.27861771058315332</v>
      </c>
      <c r="N88" s="425">
        <f t="shared" si="606"/>
        <v>2.6946107784431073E-2</v>
      </c>
      <c r="O88" s="423">
        <f t="shared" si="606"/>
        <v>0.30903790087463556</v>
      </c>
      <c r="P88" s="423">
        <f t="shared" si="606"/>
        <v>0.16926503340757248</v>
      </c>
      <c r="Q88" s="424">
        <f t="shared" si="606"/>
        <v>-0.25809523809523804</v>
      </c>
      <c r="R88" s="425">
        <f t="shared" si="606"/>
        <v>-1.5404364569961526E-2</v>
      </c>
      <c r="S88" s="423">
        <f t="shared" si="606"/>
        <v>0.29335071707953064</v>
      </c>
      <c r="T88" s="423">
        <f t="shared" si="606"/>
        <v>6.5524193548387011E-2</v>
      </c>
      <c r="U88" s="424">
        <f t="shared" si="606"/>
        <v>-0.14947965941343422</v>
      </c>
      <c r="V88" s="425">
        <f t="shared" si="606"/>
        <v>-0.16017797552836488</v>
      </c>
      <c r="W88" s="423">
        <f t="shared" si="606"/>
        <v>0.32980132450331134</v>
      </c>
      <c r="X88" s="423">
        <f t="shared" si="606"/>
        <v>0.40139442231075706</v>
      </c>
      <c r="Y88" s="426">
        <f t="shared" si="606"/>
        <v>7.8180525941720092E-3</v>
      </c>
      <c r="Z88" s="425">
        <f t="shared" si="606"/>
        <v>-0.24047954866008459</v>
      </c>
      <c r="AA88" s="423">
        <f t="shared" si="606"/>
        <v>0.46332404828226559</v>
      </c>
      <c r="AB88" s="423">
        <f t="shared" si="606"/>
        <v>0.26015228426395942</v>
      </c>
      <c r="AC88" s="426">
        <f t="shared" si="606"/>
        <v>-0.26334340382678756</v>
      </c>
      <c r="AD88" s="425">
        <f t="shared" si="606"/>
        <v>-5.2631578947368474E-2</v>
      </c>
      <c r="AE88" s="423">
        <f t="shared" si="606"/>
        <v>0.1139971139971141</v>
      </c>
      <c r="AF88" s="423">
        <f t="shared" si="606"/>
        <v>0.18717616580310881</v>
      </c>
      <c r="AG88" s="426">
        <f t="shared" si="606"/>
        <v>-0.18385160938352429</v>
      </c>
      <c r="AH88" s="425">
        <f t="shared" si="606"/>
        <v>-6.6176470588235281E-2</v>
      </c>
      <c r="AI88" s="423">
        <f t="shared" si="606"/>
        <v>0.19398711524695766</v>
      </c>
      <c r="AJ88" s="423">
        <f t="shared" si="606"/>
        <v>0.25419664268585129</v>
      </c>
      <c r="AK88" s="426">
        <f t="shared" si="606"/>
        <v>-0.13527724665391971</v>
      </c>
      <c r="AL88" s="425">
        <f t="shared" si="606"/>
        <v>-8.5129906025428359E-2</v>
      </c>
      <c r="AM88" s="423">
        <f t="shared" si="606"/>
        <v>0.15589123867069477</v>
      </c>
      <c r="AN88" s="423">
        <f t="shared" si="606"/>
        <v>0.23157344485101938</v>
      </c>
      <c r="AO88" s="426">
        <f t="shared" si="606"/>
        <v>-0.1230899830220713</v>
      </c>
      <c r="AP88" s="425">
        <f t="shared" si="606"/>
        <v>-8.7608906098741501E-2</v>
      </c>
      <c r="AQ88" s="423">
        <f t="shared" si="606"/>
        <v>0.16551724137931045</v>
      </c>
      <c r="AR88" s="423">
        <f t="shared" ref="AR88:BA88" si="607">IFERROR(AR23/AQ23-1,"NA")</f>
        <v>0.22998559310601152</v>
      </c>
      <c r="AS88" s="426">
        <f t="shared" si="607"/>
        <v>-0.19066012999173687</v>
      </c>
      <c r="AT88" s="425">
        <f t="shared" si="607"/>
        <v>-3.4160455622891717E-2</v>
      </c>
      <c r="AU88" s="423">
        <f t="shared" si="607"/>
        <v>0.16541759389598387</v>
      </c>
      <c r="AV88" s="423">
        <f t="shared" si="607"/>
        <v>0.16903763432696528</v>
      </c>
      <c r="AW88" s="426">
        <f t="shared" si="607"/>
        <v>-0.15657121583438616</v>
      </c>
      <c r="AX88" s="425">
        <f t="shared" si="607"/>
        <v>-3.1513544578674058E-2</v>
      </c>
      <c r="AY88" s="423">
        <f t="shared" si="607"/>
        <v>0.17439897686933925</v>
      </c>
      <c r="AZ88" s="423">
        <f t="shared" si="607"/>
        <v>0.12557629846005725</v>
      </c>
      <c r="BA88" s="426">
        <f t="shared" si="607"/>
        <v>-0.13764153769040932</v>
      </c>
      <c r="BB88" s="427"/>
      <c r="BQ88" s="427"/>
    </row>
    <row r="89" spans="1:72" s="288" customFormat="1" ht="12" hidden="1" customHeight="1" outlineLevel="1">
      <c r="A89" s="442" t="s">
        <v>290</v>
      </c>
      <c r="B89" s="419" t="str">
        <f t="shared" ref="B89:AQ89" si="608">IFERROR(B24/A24-1,"NA")</f>
        <v>NA</v>
      </c>
      <c r="C89" s="417">
        <f t="shared" si="608"/>
        <v>1.4782608695652173</v>
      </c>
      <c r="D89" s="417">
        <f t="shared" si="608"/>
        <v>10.921052631578947</v>
      </c>
      <c r="E89" s="418">
        <f t="shared" si="608"/>
        <v>-0.97350993377483441</v>
      </c>
      <c r="F89" s="419">
        <f t="shared" si="608"/>
        <v>-0.11111111111111116</v>
      </c>
      <c r="G89" s="417">
        <f t="shared" si="608"/>
        <v>2.3125</v>
      </c>
      <c r="H89" s="417">
        <f t="shared" si="608"/>
        <v>13.330188679245284</v>
      </c>
      <c r="I89" s="418">
        <f t="shared" si="608"/>
        <v>-0.94865042791310072</v>
      </c>
      <c r="J89" s="419">
        <f t="shared" si="608"/>
        <v>-0.16666666666666663</v>
      </c>
      <c r="K89" s="417">
        <f t="shared" si="608"/>
        <v>3.523076923076923</v>
      </c>
      <c r="L89" s="417">
        <f t="shared" si="608"/>
        <v>4.7823129251700678</v>
      </c>
      <c r="M89" s="418">
        <f t="shared" si="608"/>
        <v>-1.0088235294117647</v>
      </c>
      <c r="N89" s="419">
        <f t="shared" si="608"/>
        <v>-7.8</v>
      </c>
      <c r="O89" s="417">
        <f t="shared" si="608"/>
        <v>2.3235294117647061</v>
      </c>
      <c r="P89" s="417">
        <f t="shared" si="608"/>
        <v>4.5693215339233042</v>
      </c>
      <c r="Q89" s="418">
        <f t="shared" si="608"/>
        <v>-1.0248940677966101</v>
      </c>
      <c r="R89" s="419">
        <f t="shared" si="608"/>
        <v>-3.7446808510638299</v>
      </c>
      <c r="S89" s="444">
        <f t="shared" si="608"/>
        <v>1.9767441860465116</v>
      </c>
      <c r="T89" s="417">
        <f t="shared" si="608"/>
        <v>3.0078125</v>
      </c>
      <c r="U89" s="418">
        <f t="shared" si="608"/>
        <v>-0.59974009096816117</v>
      </c>
      <c r="V89" s="419">
        <f t="shared" si="608"/>
        <v>-0.45779220779220775</v>
      </c>
      <c r="W89" s="417">
        <f t="shared" si="608"/>
        <v>-0.29640718562874246</v>
      </c>
      <c r="X89" s="417">
        <f t="shared" si="608"/>
        <v>8.3659574468085101</v>
      </c>
      <c r="Y89" s="420">
        <f t="shared" si="608"/>
        <v>-0.67514766015447525</v>
      </c>
      <c r="Z89" s="445">
        <f t="shared" si="608"/>
        <v>-0.22377622377622375</v>
      </c>
      <c r="AA89" s="417">
        <f t="shared" si="608"/>
        <v>0.10270270270270276</v>
      </c>
      <c r="AB89" s="417">
        <f t="shared" si="608"/>
        <v>3.7450980392156845</v>
      </c>
      <c r="AC89" s="420">
        <f t="shared" si="608"/>
        <v>-0.85089531680440766</v>
      </c>
      <c r="AD89" s="419">
        <f t="shared" si="608"/>
        <v>0.52886836027713624</v>
      </c>
      <c r="AE89" s="417">
        <f t="shared" si="608"/>
        <v>0.29305135951661621</v>
      </c>
      <c r="AF89" s="417">
        <f t="shared" si="608"/>
        <v>2.9228971962616823</v>
      </c>
      <c r="AG89" s="420">
        <f t="shared" si="608"/>
        <v>-0.81328171530673021</v>
      </c>
      <c r="AH89" s="419">
        <f t="shared" si="608"/>
        <v>0.53110047846889952</v>
      </c>
      <c r="AI89" s="417">
        <f t="shared" si="608"/>
        <v>4.1666666666666741E-2</v>
      </c>
      <c r="AJ89" s="417">
        <f t="shared" si="608"/>
        <v>2.7119999999999993</v>
      </c>
      <c r="AK89" s="420">
        <f t="shared" si="608"/>
        <v>-0.80334051724137912</v>
      </c>
      <c r="AL89" s="419">
        <f t="shared" si="608"/>
        <v>0.30547945205479365</v>
      </c>
      <c r="AM89" s="417">
        <f t="shared" si="608"/>
        <v>0.32214060860440719</v>
      </c>
      <c r="AN89" s="417">
        <f t="shared" si="608"/>
        <v>2.446825396825397</v>
      </c>
      <c r="AO89" s="420">
        <f t="shared" si="608"/>
        <v>-0.76606032696292892</v>
      </c>
      <c r="AP89" s="419">
        <f t="shared" si="608"/>
        <v>0.23818897637795278</v>
      </c>
      <c r="AQ89" s="417">
        <f t="shared" si="608"/>
        <v>0.2313195548489666</v>
      </c>
      <c r="AR89" s="417">
        <f t="shared" ref="AR89:BA89" si="609">IFERROR(AR24/AQ24-1,"NA")</f>
        <v>1.9876971318619505</v>
      </c>
      <c r="AS89" s="420">
        <f t="shared" si="609"/>
        <v>-0.73453725973759476</v>
      </c>
      <c r="AT89" s="419">
        <f t="shared" si="609"/>
        <v>0.18580101288664408</v>
      </c>
      <c r="AU89" s="417">
        <f t="shared" si="609"/>
        <v>0.23323812243808817</v>
      </c>
      <c r="AV89" s="417">
        <f t="shared" si="609"/>
        <v>1.8676201219821991</v>
      </c>
      <c r="AW89" s="420">
        <f t="shared" si="609"/>
        <v>-0.73252804692923057</v>
      </c>
      <c r="AX89" s="419">
        <f t="shared" si="609"/>
        <v>0.209089339112835</v>
      </c>
      <c r="AY89" s="417">
        <f t="shared" si="609"/>
        <v>0.23905285201788429</v>
      </c>
      <c r="AZ89" s="417">
        <f t="shared" si="609"/>
        <v>1.7727049932184484</v>
      </c>
      <c r="BA89" s="420">
        <f t="shared" si="609"/>
        <v>-0.72225502328251467</v>
      </c>
      <c r="BB89" s="421"/>
      <c r="BQ89" s="421"/>
      <c r="BR89" s="1378"/>
      <c r="BS89" s="1378"/>
      <c r="BT89" s="1378"/>
    </row>
    <row r="90" spans="1:72" ht="12" hidden="1" customHeight="1" outlineLevel="1">
      <c r="A90" s="443" t="s">
        <v>41</v>
      </c>
      <c r="B90" s="425" t="str">
        <f t="shared" ref="B90:AQ90" si="610">IFERROR(B33/A33-1,"NA")</f>
        <v>NA</v>
      </c>
      <c r="C90" s="423">
        <f t="shared" si="610"/>
        <v>1.7916666666666665</v>
      </c>
      <c r="D90" s="423">
        <f t="shared" si="610"/>
        <v>12.328358208955224</v>
      </c>
      <c r="E90" s="446">
        <f t="shared" si="610"/>
        <v>-0.97760358342665177</v>
      </c>
      <c r="F90" s="425">
        <f t="shared" si="610"/>
        <v>-0.25</v>
      </c>
      <c r="G90" s="423">
        <f t="shared" si="610"/>
        <v>3.4666666666666668</v>
      </c>
      <c r="H90" s="423">
        <f t="shared" si="610"/>
        <v>14.149253731343284</v>
      </c>
      <c r="I90" s="424">
        <f t="shared" si="610"/>
        <v>-0.94778325123152707</v>
      </c>
      <c r="J90" s="425">
        <f t="shared" si="610"/>
        <v>-0.16981132075471694</v>
      </c>
      <c r="K90" s="423">
        <f t="shared" si="610"/>
        <v>3.9772727272727275</v>
      </c>
      <c r="L90" s="423">
        <f t="shared" si="610"/>
        <v>4.7123287671232879</v>
      </c>
      <c r="M90" s="424">
        <f t="shared" si="610"/>
        <v>-1.0023980815347722</v>
      </c>
      <c r="N90" s="425">
        <f t="shared" si="610"/>
        <v>-26.333333333333332</v>
      </c>
      <c r="O90" s="423">
        <f t="shared" si="610"/>
        <v>2.4736842105263159</v>
      </c>
      <c r="P90" s="423">
        <f t="shared" si="610"/>
        <v>4.5492424242424239</v>
      </c>
      <c r="Q90" s="424">
        <f t="shared" si="610"/>
        <v>-1.0156996587030718</v>
      </c>
      <c r="R90" s="425">
        <f t="shared" si="610"/>
        <v>-5.7391304347826084</v>
      </c>
      <c r="S90" s="423">
        <f t="shared" si="610"/>
        <v>1.8073394495412844</v>
      </c>
      <c r="T90" s="423">
        <f t="shared" si="610"/>
        <v>2.8660130718954249</v>
      </c>
      <c r="U90" s="424">
        <f t="shared" si="610"/>
        <v>-0.59678782755705839</v>
      </c>
      <c r="V90" s="425">
        <f t="shared" si="610"/>
        <v>-0.47589098532494756</v>
      </c>
      <c r="W90" s="423">
        <f t="shared" si="610"/>
        <v>-0.26</v>
      </c>
      <c r="X90" s="423">
        <f t="shared" si="610"/>
        <v>8.0702702702702709</v>
      </c>
      <c r="Y90" s="426">
        <f t="shared" si="610"/>
        <v>-0.6758045292014303</v>
      </c>
      <c r="Z90" s="425">
        <f t="shared" si="610"/>
        <v>-0.22242647058823528</v>
      </c>
      <c r="AA90" s="423">
        <f t="shared" si="610"/>
        <v>5.4373522458628809E-2</v>
      </c>
      <c r="AB90" s="423">
        <f t="shared" si="610"/>
        <v>3.8991031390134507</v>
      </c>
      <c r="AC90" s="426">
        <f t="shared" si="610"/>
        <v>-0.85766590389016018</v>
      </c>
      <c r="AD90" s="425">
        <f t="shared" si="610"/>
        <v>0.5112540192926045</v>
      </c>
      <c r="AE90" s="423">
        <f t="shared" si="610"/>
        <v>0.31914893617021267</v>
      </c>
      <c r="AF90" s="423">
        <f t="shared" si="610"/>
        <v>3.0693548387096774</v>
      </c>
      <c r="AG90" s="426">
        <f t="shared" si="610"/>
        <v>-0.81490289338089572</v>
      </c>
      <c r="AH90" s="425">
        <f t="shared" si="610"/>
        <v>0.49464668094218411</v>
      </c>
      <c r="AI90" s="423">
        <f t="shared" si="610"/>
        <v>6.8767908309455672E-2</v>
      </c>
      <c r="AJ90" s="423">
        <f t="shared" si="610"/>
        <v>2.7587131367292215</v>
      </c>
      <c r="AK90" s="426">
        <f t="shared" si="610"/>
        <v>-0.79921540656205403</v>
      </c>
      <c r="AL90" s="425">
        <f t="shared" si="610"/>
        <v>0.25932504440497239</v>
      </c>
      <c r="AM90" s="423">
        <f t="shared" si="610"/>
        <v>0.32299012693935114</v>
      </c>
      <c r="AN90" s="423">
        <f t="shared" si="610"/>
        <v>2.4968017057569298</v>
      </c>
      <c r="AO90" s="426">
        <f t="shared" si="610"/>
        <v>-0.76341463414634148</v>
      </c>
      <c r="AP90" s="425">
        <f t="shared" si="610"/>
        <v>0.2100515463917525</v>
      </c>
      <c r="AQ90" s="423">
        <f t="shared" si="610"/>
        <v>0.23535676251331195</v>
      </c>
      <c r="AR90" s="423">
        <f t="shared" ref="AR90" si="611">IFERROR(AR33/AQ33-1,"NA")</f>
        <v>2.0116934375514646</v>
      </c>
      <c r="AS90" s="426">
        <f t="shared" ref="AS90" si="612">IFERROR(AS33/AR33-1,"NA")</f>
        <v>-0.74213115183507683</v>
      </c>
      <c r="AT90" s="425">
        <f t="shared" ref="AT90" si="613">IFERROR(AT33/AS33-1,"NA")</f>
        <v>0.2146653717160989</v>
      </c>
      <c r="AU90" s="423">
        <f t="shared" ref="AU90" si="614">IFERROR(AU33/AT33-1,"NA")</f>
        <v>0.23611741252608587</v>
      </c>
      <c r="AV90" s="423">
        <f t="shared" ref="AV90" si="615">IFERROR(AV33/AU33-1,"NA")</f>
        <v>1.8613928075303212</v>
      </c>
      <c r="AW90" s="426">
        <f t="shared" ref="AW90" si="616">IFERROR(AW33/AV33-1,"NA")</f>
        <v>-0.73930735225514654</v>
      </c>
      <c r="AX90" s="425">
        <f t="shared" ref="AX90" si="617">IFERROR(AX33/AW33-1,"NA")</f>
        <v>0.24272487209715865</v>
      </c>
      <c r="AY90" s="423">
        <f t="shared" ref="AY90" si="618">IFERROR(AY33/AX33-1,"NA")</f>
        <v>0.24164338061030111</v>
      </c>
      <c r="AZ90" s="423">
        <f t="shared" ref="AZ90" si="619">IFERROR(AZ33/AY33-1,"NA")</f>
        <v>1.766225300515893</v>
      </c>
      <c r="BA90" s="426">
        <f t="shared" ref="BA90" si="620">IFERROR(BA33/AZ33-1,"NA")</f>
        <v>-0.72820746609190179</v>
      </c>
      <c r="BB90" s="427"/>
      <c r="BQ90" s="427"/>
    </row>
    <row r="91" spans="1:72" ht="12" hidden="1" customHeight="1" outlineLevel="1">
      <c r="A91" s="447" t="s">
        <v>15</v>
      </c>
      <c r="B91" s="432" t="str">
        <f t="shared" ref="B91:AQ91" si="621">IFERROR(B35/A35-1,"NA")</f>
        <v>NA</v>
      </c>
      <c r="C91" s="430">
        <f t="shared" si="621"/>
        <v>1.8546365914786969</v>
      </c>
      <c r="D91" s="430">
        <f t="shared" si="621"/>
        <v>12.635935706084958</v>
      </c>
      <c r="E91" s="448">
        <f t="shared" si="621"/>
        <v>-0.97760358342665177</v>
      </c>
      <c r="F91" s="432">
        <f t="shared" si="621"/>
        <v>-0.24418604651162801</v>
      </c>
      <c r="G91" s="430">
        <f t="shared" si="621"/>
        <v>3.4323076923076918</v>
      </c>
      <c r="H91" s="430">
        <f t="shared" si="621"/>
        <v>14.149253731343284</v>
      </c>
      <c r="I91" s="431">
        <f t="shared" si="621"/>
        <v>-0.94778325123152707</v>
      </c>
      <c r="J91" s="432">
        <f t="shared" si="621"/>
        <v>-0.16660595905878928</v>
      </c>
      <c r="K91" s="430">
        <f t="shared" si="621"/>
        <v>3.9581293706293712</v>
      </c>
      <c r="L91" s="430">
        <f t="shared" si="621"/>
        <v>4.6687232040154765</v>
      </c>
      <c r="M91" s="431">
        <f t="shared" si="621"/>
        <v>-1.0024352610934508</v>
      </c>
      <c r="N91" s="432">
        <f t="shared" si="621"/>
        <v>-25.757575757575761</v>
      </c>
      <c r="O91" s="430">
        <f t="shared" si="621"/>
        <v>2.4736842105263155</v>
      </c>
      <c r="P91" s="430">
        <f t="shared" si="621"/>
        <v>4.5492424242424239</v>
      </c>
      <c r="Q91" s="431">
        <f t="shared" si="621"/>
        <v>-1.0159411919138881</v>
      </c>
      <c r="R91" s="432">
        <f t="shared" si="621"/>
        <v>-5.6673254281949932</v>
      </c>
      <c r="S91" s="430">
        <f t="shared" si="621"/>
        <v>1.8073394495412844</v>
      </c>
      <c r="T91" s="430">
        <f t="shared" si="621"/>
        <v>2.8733489600773892</v>
      </c>
      <c r="U91" s="431">
        <f t="shared" si="621"/>
        <v>-0.59755148697456384</v>
      </c>
      <c r="V91" s="568">
        <f t="shared" si="621"/>
        <v>-0.47786875519164596</v>
      </c>
      <c r="W91" s="430">
        <f t="shared" si="621"/>
        <v>-0.28168498168498168</v>
      </c>
      <c r="X91" s="430">
        <f t="shared" si="621"/>
        <v>7.9716803760282016</v>
      </c>
      <c r="Y91" s="433">
        <f t="shared" si="621"/>
        <v>-0.6759713945172825</v>
      </c>
      <c r="Z91" s="432">
        <f t="shared" si="621"/>
        <v>-0.22483461305869634</v>
      </c>
      <c r="AA91" s="430">
        <f t="shared" si="621"/>
        <v>1.7635769062857687E-2</v>
      </c>
      <c r="AB91" s="430">
        <f t="shared" si="621"/>
        <v>3.9162328702687432</v>
      </c>
      <c r="AC91" s="433">
        <f t="shared" si="621"/>
        <v>-0.85564698054108435</v>
      </c>
      <c r="AD91" s="432">
        <f t="shared" si="621"/>
        <v>0.50166889866284148</v>
      </c>
      <c r="AE91" s="430">
        <f t="shared" si="621"/>
        <v>0.32568862636369111</v>
      </c>
      <c r="AF91" s="430">
        <f t="shared" si="621"/>
        <v>3.0549957884672301</v>
      </c>
      <c r="AG91" s="433">
        <f t="shared" si="621"/>
        <v>-0.81473292358602056</v>
      </c>
      <c r="AH91" s="432">
        <f t="shared" si="621"/>
        <v>0.49538608212710278</v>
      </c>
      <c r="AI91" s="430">
        <f t="shared" si="621"/>
        <v>6.500464102667558E-2</v>
      </c>
      <c r="AJ91" s="430">
        <f t="shared" si="621"/>
        <v>2.7626878069478282</v>
      </c>
      <c r="AK91" s="433">
        <f t="shared" si="621"/>
        <v>-0.79871876622492832</v>
      </c>
      <c r="AL91" s="432">
        <f t="shared" si="621"/>
        <v>0.25932504440497239</v>
      </c>
      <c r="AM91" s="430">
        <f t="shared" si="621"/>
        <v>0.32299012693935114</v>
      </c>
      <c r="AN91" s="430">
        <f t="shared" si="621"/>
        <v>2.515434752146398</v>
      </c>
      <c r="AO91" s="433">
        <f t="shared" si="621"/>
        <v>-0.76383411174537275</v>
      </c>
      <c r="AP91" s="432">
        <f t="shared" si="621"/>
        <v>0.21435777965293323</v>
      </c>
      <c r="AQ91" s="430">
        <f t="shared" si="621"/>
        <v>0.24109849934301297</v>
      </c>
      <c r="AR91" s="430">
        <f t="shared" ref="AR91" si="622">IFERROR(AR35/AQ35-1,"NA")</f>
        <v>2.0116934375514646</v>
      </c>
      <c r="AS91" s="433">
        <f t="shared" ref="AS91" si="623">IFERROR(AS35/AR35-1,"NA")</f>
        <v>-0.74213115183507683</v>
      </c>
      <c r="AT91" s="432">
        <f t="shared" ref="AT91" si="624">IFERROR(AT35/AS35-1,"NA")</f>
        <v>0.20904592337719863</v>
      </c>
      <c r="AU91" s="430">
        <f t="shared" ref="AU91" si="625">IFERROR(AU35/AT35-1,"NA")</f>
        <v>0.23611741252608587</v>
      </c>
      <c r="AV91" s="430">
        <f t="shared" ref="AV91" si="626">IFERROR(AV35/AU35-1,"NA")</f>
        <v>1.8613928075303212</v>
      </c>
      <c r="AW91" s="433">
        <f t="shared" ref="AW91" si="627">IFERROR(AW35/AV35-1,"NA")</f>
        <v>-0.73930735225514654</v>
      </c>
      <c r="AX91" s="432">
        <f t="shared" ref="AX91" si="628">IFERROR(AX35/AW35-1,"NA")</f>
        <v>0.24716317521179132</v>
      </c>
      <c r="AY91" s="430">
        <f t="shared" ref="AY91" si="629">IFERROR(AY35/AX35-1,"NA")</f>
        <v>0.24164338061030111</v>
      </c>
      <c r="AZ91" s="430">
        <f t="shared" ref="AZ91" si="630">IFERROR(AZ35/AY35-1,"NA")</f>
        <v>1.766225300515893</v>
      </c>
      <c r="BA91" s="433">
        <f t="shared" ref="BA91" si="631">IFERROR(BA35/AZ35-1,"NA")</f>
        <v>-0.72820746609190179</v>
      </c>
      <c r="BB91" s="427"/>
      <c r="BQ91" s="427"/>
    </row>
    <row r="92" spans="1:72" ht="12" customHeight="1" collapsed="1">
      <c r="A92" s="1231"/>
      <c r="B92" s="1232"/>
      <c r="C92" s="1232"/>
      <c r="D92" s="1232"/>
      <c r="E92" s="1232"/>
      <c r="F92" s="1232"/>
      <c r="G92" s="1232"/>
      <c r="H92" s="1232"/>
      <c r="I92" s="1232"/>
      <c r="J92" s="1232"/>
      <c r="K92" s="1232"/>
      <c r="L92" s="1232"/>
      <c r="M92" s="1232"/>
      <c r="N92" s="1232"/>
      <c r="O92" s="1232"/>
      <c r="P92" s="1232"/>
      <c r="Q92" s="1232"/>
      <c r="R92" s="1232"/>
      <c r="S92" s="1232"/>
      <c r="T92" s="1232"/>
      <c r="U92" s="1232"/>
      <c r="V92" s="1232"/>
      <c r="W92" s="1232"/>
      <c r="X92" s="1232"/>
      <c r="Y92" s="1232"/>
      <c r="Z92" s="423"/>
      <c r="AA92" s="1232"/>
      <c r="AB92" s="1232"/>
      <c r="AC92" s="1232"/>
      <c r="AD92" s="423"/>
      <c r="AE92" s="1232"/>
      <c r="AF92" s="423"/>
      <c r="AG92" s="423"/>
      <c r="AH92" s="423"/>
      <c r="AI92" s="1232"/>
      <c r="AJ92" s="423"/>
      <c r="AK92" s="423"/>
      <c r="AL92" s="423"/>
      <c r="AM92" s="423"/>
      <c r="AN92" s="423"/>
      <c r="AO92" s="423"/>
      <c r="AP92" s="423"/>
      <c r="AQ92" s="423"/>
      <c r="AR92" s="423"/>
      <c r="AS92" s="423"/>
      <c r="AT92" s="423"/>
      <c r="AU92" s="423"/>
      <c r="AV92" s="423"/>
      <c r="AW92" s="423"/>
      <c r="AX92" s="423"/>
      <c r="AY92" s="423"/>
      <c r="AZ92" s="423"/>
      <c r="BA92" s="423"/>
      <c r="BB92" s="427"/>
      <c r="BC92" s="1233"/>
      <c r="BD92" s="1233"/>
      <c r="BE92" s="1233"/>
      <c r="BF92" s="1233"/>
      <c r="BG92" s="1233"/>
      <c r="BH92" s="1233"/>
      <c r="BI92" s="1233"/>
      <c r="BJ92" s="1233"/>
      <c r="BQ92" s="427"/>
    </row>
    <row r="93" spans="1:72" s="305" customFormat="1" ht="12" customHeight="1">
      <c r="A93" s="449" t="s">
        <v>292</v>
      </c>
      <c r="B93" s="450"/>
      <c r="C93" s="450"/>
      <c r="D93" s="450"/>
      <c r="E93" s="451"/>
      <c r="F93" s="452"/>
      <c r="G93" s="450"/>
      <c r="H93" s="450"/>
      <c r="I93" s="451"/>
      <c r="J93" s="452"/>
      <c r="K93" s="450"/>
      <c r="L93" s="450"/>
      <c r="M93" s="451"/>
      <c r="N93" s="453"/>
      <c r="O93" s="454"/>
      <c r="P93" s="454"/>
      <c r="Q93" s="455"/>
      <c r="R93" s="453"/>
      <c r="S93" s="454"/>
      <c r="T93" s="450"/>
      <c r="U93" s="456"/>
      <c r="V93" s="454"/>
      <c r="W93" s="454"/>
      <c r="X93" s="454"/>
      <c r="Y93" s="457"/>
      <c r="Z93" s="458"/>
      <c r="AA93" s="454"/>
      <c r="AB93" s="454"/>
      <c r="AC93" s="457"/>
      <c r="AD93" s="453"/>
      <c r="AE93" s="454"/>
      <c r="AF93" s="454"/>
      <c r="AG93" s="543"/>
      <c r="AH93" s="453"/>
      <c r="AI93" s="454"/>
      <c r="AJ93" s="454"/>
      <c r="AK93" s="543"/>
      <c r="AL93" s="453"/>
      <c r="AM93" s="454"/>
      <c r="AN93" s="454"/>
      <c r="AO93" s="543"/>
      <c r="AP93" s="453"/>
      <c r="AQ93" s="454"/>
      <c r="AR93" s="454"/>
      <c r="AS93" s="543"/>
      <c r="AT93" s="453"/>
      <c r="AU93" s="454"/>
      <c r="AV93" s="454"/>
      <c r="AW93" s="543"/>
      <c r="AX93" s="453"/>
      <c r="AY93" s="454"/>
      <c r="AZ93" s="454"/>
      <c r="BA93" s="543"/>
      <c r="BB93" s="304"/>
      <c r="BC93" s="459"/>
      <c r="BD93" s="459"/>
      <c r="BE93" s="459"/>
      <c r="BF93" s="460"/>
      <c r="BG93" s="460"/>
      <c r="BH93" s="460"/>
      <c r="BI93" s="460"/>
      <c r="BJ93" s="460"/>
      <c r="BK93" s="459"/>
      <c r="BL93" s="459"/>
      <c r="BM93" s="459"/>
      <c r="BN93" s="459"/>
      <c r="BO93" s="459"/>
      <c r="BP93" s="459"/>
      <c r="BQ93" s="304"/>
      <c r="BR93" s="1379"/>
      <c r="BS93" s="1379"/>
      <c r="BT93" s="1379"/>
    </row>
    <row r="94" spans="1:72" s="305" customFormat="1" ht="12" customHeight="1">
      <c r="A94" s="422" t="s">
        <v>294</v>
      </c>
      <c r="B94" s="423">
        <f t="shared" ref="B94:W94" si="632">+(B7-B13)/B7</f>
        <v>0.8929889298892989</v>
      </c>
      <c r="C94" s="423">
        <f t="shared" si="632"/>
        <v>0.84848484848484851</v>
      </c>
      <c r="D94" s="423">
        <f t="shared" si="632"/>
        <v>0.934640522875817</v>
      </c>
      <c r="E94" s="424">
        <f t="shared" si="632"/>
        <v>0.8915254237288136</v>
      </c>
      <c r="F94" s="425">
        <f t="shared" si="632"/>
        <v>0.90235690235690236</v>
      </c>
      <c r="G94" s="423">
        <f t="shared" si="632"/>
        <v>0.87625418060200666</v>
      </c>
      <c r="H94" s="423">
        <f t="shared" si="632"/>
        <v>0.93790149892933616</v>
      </c>
      <c r="I94" s="424">
        <f t="shared" si="632"/>
        <v>0.92012779552715651</v>
      </c>
      <c r="J94" s="425">
        <f t="shared" si="632"/>
        <v>0.9513513513513514</v>
      </c>
      <c r="K94" s="423">
        <f t="shared" si="632"/>
        <v>0.94896030245746688</v>
      </c>
      <c r="L94" s="423">
        <f t="shared" si="632"/>
        <v>0.95824634655532359</v>
      </c>
      <c r="M94" s="424">
        <f t="shared" si="632"/>
        <v>0.93089430894308944</v>
      </c>
      <c r="N94" s="425">
        <f t="shared" si="632"/>
        <v>0.95677233429394815</v>
      </c>
      <c r="O94" s="423">
        <f t="shared" si="632"/>
        <v>0.95121951219512191</v>
      </c>
      <c r="P94" s="423">
        <f t="shared" si="632"/>
        <v>0.9618473895582329</v>
      </c>
      <c r="Q94" s="424">
        <f t="shared" si="632"/>
        <v>0.93061224489795913</v>
      </c>
      <c r="R94" s="425">
        <f t="shared" si="632"/>
        <v>0.95184135977337114</v>
      </c>
      <c r="S94" s="423">
        <f t="shared" si="632"/>
        <v>0.95596330275229358</v>
      </c>
      <c r="T94" s="423">
        <f t="shared" si="632"/>
        <v>0.963882618510158</v>
      </c>
      <c r="U94" s="461">
        <f t="shared" si="632"/>
        <v>0.94897959183673475</v>
      </c>
      <c r="V94" s="425">
        <f t="shared" si="632"/>
        <v>0.95912806539509532</v>
      </c>
      <c r="W94" s="423">
        <f t="shared" si="632"/>
        <v>0.9555555555555556</v>
      </c>
      <c r="X94" s="423">
        <f t="shared" ref="X94:Y94" si="633">+(X7-X13)/X7</f>
        <v>0.96998123827392124</v>
      </c>
      <c r="Y94" s="461">
        <f t="shared" si="633"/>
        <v>0.94904458598726116</v>
      </c>
      <c r="Z94" s="1266">
        <f t="shared" ref="Z94:AC94" si="634">+(Z7-Z13)/Z7</f>
        <v>0.9634650005294928</v>
      </c>
      <c r="AA94" s="423">
        <f t="shared" si="634"/>
        <v>0.96963000188672321</v>
      </c>
      <c r="AB94" s="423">
        <f t="shared" si="634"/>
        <v>0.97331304208397817</v>
      </c>
      <c r="AC94" s="461">
        <f t="shared" si="634"/>
        <v>0.95591017790658284</v>
      </c>
      <c r="AD94" s="1266">
        <f t="shared" ref="AD94:AG94" si="635">+(AD7-AD13)/AD7</f>
        <v>0.97242545464587116</v>
      </c>
      <c r="AE94" s="423">
        <f t="shared" si="635"/>
        <v>0.96721199580745898</v>
      </c>
      <c r="AF94" s="423">
        <f t="shared" si="635"/>
        <v>0.97644541060092527</v>
      </c>
      <c r="AG94" s="461">
        <f t="shared" si="635"/>
        <v>0.9612732162698614</v>
      </c>
      <c r="AH94" s="1266">
        <f t="shared" ref="AH94:AK94" si="636">+(AH7-AH13)/AH7</f>
        <v>0.97206043368685657</v>
      </c>
      <c r="AI94" s="423">
        <f t="shared" si="636"/>
        <v>0.96681384007156668</v>
      </c>
      <c r="AJ94" s="423">
        <f t="shared" si="636"/>
        <v>0.97843573179413978</v>
      </c>
      <c r="AK94" s="461">
        <f t="shared" si="636"/>
        <v>0.96994099420967006</v>
      </c>
      <c r="AL94" s="1266">
        <f t="shared" ref="AL94:AO94" si="637">+(AL7-AL13)/AL7</f>
        <v>0.96448052771787396</v>
      </c>
      <c r="AM94" s="423">
        <f t="shared" si="637"/>
        <v>0.97198948205050995</v>
      </c>
      <c r="AN94" s="423">
        <f t="shared" si="637"/>
        <v>0.9770056090984206</v>
      </c>
      <c r="AO94" s="461">
        <f t="shared" si="637"/>
        <v>0.97037251013352743</v>
      </c>
      <c r="AP94" s="1266">
        <f t="shared" ref="AP94:AQ94" si="638">+(AP7-AP13)/AP7</f>
        <v>0.96131727570467029</v>
      </c>
      <c r="AQ94" s="423">
        <f t="shared" si="638"/>
        <v>0.97688484801787567</v>
      </c>
      <c r="AR94" s="1653">
        <f t="shared" ref="AR94:BA94" si="639">+AN94</f>
        <v>0.9770056090984206</v>
      </c>
      <c r="AS94" s="1654">
        <f t="shared" si="639"/>
        <v>0.97037251013352743</v>
      </c>
      <c r="AT94" s="1653">
        <f t="shared" si="639"/>
        <v>0.96131727570467029</v>
      </c>
      <c r="AU94" s="1653">
        <f t="shared" si="639"/>
        <v>0.97688484801787567</v>
      </c>
      <c r="AV94" s="1653">
        <f t="shared" si="639"/>
        <v>0.9770056090984206</v>
      </c>
      <c r="AW94" s="1654">
        <f t="shared" si="639"/>
        <v>0.97037251013352743</v>
      </c>
      <c r="AX94" s="1653">
        <f t="shared" si="639"/>
        <v>0.96131727570467029</v>
      </c>
      <c r="AY94" s="1653">
        <f t="shared" si="639"/>
        <v>0.97688484801787567</v>
      </c>
      <c r="AZ94" s="1653">
        <f t="shared" si="639"/>
        <v>0.9770056090984206</v>
      </c>
      <c r="BA94" s="1654">
        <f t="shared" si="639"/>
        <v>0.97037251013352743</v>
      </c>
      <c r="BB94" s="304"/>
      <c r="BC94" s="462"/>
      <c r="BD94" s="462">
        <f t="shared" ref="BD94:BM94" si="640">+(BD7-BD13)/BD7</f>
        <v>0.89837083010085339</v>
      </c>
      <c r="BE94" s="462">
        <f t="shared" si="640"/>
        <v>0.91279069767441856</v>
      </c>
      <c r="BF94" s="462">
        <f t="shared" si="640"/>
        <v>0.94950738916256161</v>
      </c>
      <c r="BG94" s="462">
        <f t="shared" si="640"/>
        <v>0.95255699322242759</v>
      </c>
      <c r="BH94" s="462">
        <f t="shared" si="640"/>
        <v>0.95596330275229358</v>
      </c>
      <c r="BI94" s="462">
        <f t="shared" si="640"/>
        <v>0.95962551199531887</v>
      </c>
      <c r="BJ94" s="462">
        <f t="shared" si="640"/>
        <v>0.96724412252429259</v>
      </c>
      <c r="BK94" s="462">
        <f t="shared" si="640"/>
        <v>0.97017225927192219</v>
      </c>
      <c r="BL94" s="462">
        <f t="shared" si="640"/>
        <v>0.97222249948550865</v>
      </c>
      <c r="BM94" s="462">
        <f t="shared" si="640"/>
        <v>0.97202804221675954</v>
      </c>
      <c r="BN94" s="462">
        <f t="shared" ref="BN94:BO94" si="641">+(BN7-BN13)/BN7</f>
        <v>0.97312469529312529</v>
      </c>
      <c r="BO94" s="462">
        <f t="shared" si="641"/>
        <v>0.97311768774079566</v>
      </c>
      <c r="BP94" s="462">
        <f t="shared" ref="BP94" si="642">+(BP7-BP13)/BP7</f>
        <v>0.97313588036084353</v>
      </c>
      <c r="BQ94" s="304"/>
      <c r="BR94" s="1379"/>
      <c r="BS94" s="1379"/>
      <c r="BT94" s="1379"/>
    </row>
    <row r="95" spans="1:72" s="305" customFormat="1" ht="12" customHeight="1">
      <c r="A95" s="422" t="s">
        <v>295</v>
      </c>
      <c r="B95" s="423">
        <f t="shared" ref="B95:W95" si="643">+(B8-B14)/B8</f>
        <v>0.70814479638009054</v>
      </c>
      <c r="C95" s="423">
        <f t="shared" si="643"/>
        <v>0.77086494688922613</v>
      </c>
      <c r="D95" s="423">
        <f t="shared" si="643"/>
        <v>0.90298102981029815</v>
      </c>
      <c r="E95" s="424">
        <f t="shared" si="643"/>
        <v>0.71241830065359479</v>
      </c>
      <c r="F95" s="425">
        <f t="shared" si="643"/>
        <v>0.69022869022869027</v>
      </c>
      <c r="G95" s="423">
        <f t="shared" si="643"/>
        <v>0.77126917712691767</v>
      </c>
      <c r="H95" s="423">
        <f t="shared" si="643"/>
        <v>0.90212150433944072</v>
      </c>
      <c r="I95" s="424">
        <f t="shared" si="643"/>
        <v>0.71077504725897922</v>
      </c>
      <c r="J95" s="425">
        <f t="shared" si="643"/>
        <v>0.67592592592592593</v>
      </c>
      <c r="K95" s="423">
        <f t="shared" si="643"/>
        <v>0.74938271604938267</v>
      </c>
      <c r="L95" s="423">
        <f t="shared" si="643"/>
        <v>0.89066995478832722</v>
      </c>
      <c r="M95" s="424">
        <f t="shared" si="643"/>
        <v>0.68608414239482196</v>
      </c>
      <c r="N95" s="425">
        <f t="shared" si="643"/>
        <v>0.68161434977578472</v>
      </c>
      <c r="O95" s="423">
        <f t="shared" si="643"/>
        <v>0.75335397316821462</v>
      </c>
      <c r="P95" s="423">
        <f t="shared" si="643"/>
        <v>0.8864455659697188</v>
      </c>
      <c r="Q95" s="424">
        <f t="shared" si="643"/>
        <v>0.67289719626168221</v>
      </c>
      <c r="R95" s="425">
        <f t="shared" si="643"/>
        <v>0.68965517241379315</v>
      </c>
      <c r="S95" s="423">
        <f t="shared" si="643"/>
        <v>0.74283231972198094</v>
      </c>
      <c r="T95" s="423">
        <f t="shared" si="643"/>
        <v>0.84759671746776089</v>
      </c>
      <c r="U95" s="461">
        <f t="shared" si="643"/>
        <v>0.81208935611038102</v>
      </c>
      <c r="V95" s="425">
        <f t="shared" si="643"/>
        <v>0.77092050209205021</v>
      </c>
      <c r="W95" s="423">
        <f t="shared" si="643"/>
        <v>0.70860314523589274</v>
      </c>
      <c r="X95" s="423">
        <f t="shared" ref="X95:Y95" si="644">+(X8-X14)/X8</f>
        <v>0.84917582417582416</v>
      </c>
      <c r="Y95" s="461">
        <f t="shared" si="644"/>
        <v>0.81664441477525584</v>
      </c>
      <c r="Z95" s="1266">
        <f t="shared" ref="Z95:AC95" si="645">+(Z8-Z14)/Z8</f>
        <v>0.77449752165150609</v>
      </c>
      <c r="AA95" s="423">
        <f t="shared" si="645"/>
        <v>0.76916837512071012</v>
      </c>
      <c r="AB95" s="423">
        <f t="shared" si="645"/>
        <v>0.85395903830017639</v>
      </c>
      <c r="AC95" s="461">
        <f t="shared" si="645"/>
        <v>0.75525381036597972</v>
      </c>
      <c r="AD95" s="1266">
        <f t="shared" ref="AD95:AG95" si="646">+(AD8-AD14)/AD8</f>
        <v>0.73989537907428282</v>
      </c>
      <c r="AE95" s="423">
        <f t="shared" si="646"/>
        <v>0.73584369475174738</v>
      </c>
      <c r="AF95" s="423">
        <f t="shared" si="646"/>
        <v>0.84706224368542471</v>
      </c>
      <c r="AG95" s="461">
        <f t="shared" si="646"/>
        <v>0.75074485564772753</v>
      </c>
      <c r="AH95" s="1266">
        <f t="shared" ref="AH95:AK95" si="647">+(AH8-AH14)/AH8</f>
        <v>0.75175400100310052</v>
      </c>
      <c r="AI95" s="423">
        <f t="shared" si="647"/>
        <v>0.74191775531575155</v>
      </c>
      <c r="AJ95" s="423">
        <f t="shared" si="647"/>
        <v>0.84601571158744382</v>
      </c>
      <c r="AK95" s="461">
        <f t="shared" si="647"/>
        <v>0.76786530325838398</v>
      </c>
      <c r="AL95" s="1266">
        <f t="shared" ref="AL95:AO95" si="648">+(AL8-AL14)/AL8</f>
        <v>0.77118922754729391</v>
      </c>
      <c r="AM95" s="423">
        <f t="shared" si="648"/>
        <v>0.76300272469919428</v>
      </c>
      <c r="AN95" s="423">
        <f t="shared" si="648"/>
        <v>0.85124513132630641</v>
      </c>
      <c r="AO95" s="461">
        <f t="shared" si="648"/>
        <v>0.77726870661791492</v>
      </c>
      <c r="AP95" s="1266">
        <f t="shared" ref="AP95:AQ95" si="649">+(AP8-AP14)/AP8</f>
        <v>0.79212119305850626</v>
      </c>
      <c r="AQ95" s="423">
        <f t="shared" si="649"/>
        <v>0.7709365775807081</v>
      </c>
      <c r="AR95" s="1653">
        <f t="shared" ref="AR95" si="650">+AN95</f>
        <v>0.85124513132630641</v>
      </c>
      <c r="AS95" s="1654">
        <f t="shared" ref="AS95" si="651">+AO95</f>
        <v>0.77726870661791492</v>
      </c>
      <c r="AT95" s="1653">
        <f t="shared" ref="AT95" si="652">+AP95</f>
        <v>0.79212119305850626</v>
      </c>
      <c r="AU95" s="1653">
        <f t="shared" ref="AU95" si="653">+AQ95</f>
        <v>0.7709365775807081</v>
      </c>
      <c r="AV95" s="1653">
        <f t="shared" ref="AV95" si="654">+AR95</f>
        <v>0.85124513132630641</v>
      </c>
      <c r="AW95" s="1654">
        <f t="shared" ref="AW95" si="655">+AS95</f>
        <v>0.77726870661791492</v>
      </c>
      <c r="AX95" s="1653">
        <f t="shared" ref="AX95" si="656">+AT95</f>
        <v>0.79212119305850626</v>
      </c>
      <c r="AY95" s="1653">
        <f t="shared" ref="AY95" si="657">+AU95</f>
        <v>0.7709365775807081</v>
      </c>
      <c r="AZ95" s="1653">
        <f t="shared" ref="AZ95" si="658">+AV95</f>
        <v>0.85124513132630641</v>
      </c>
      <c r="BA95" s="1654">
        <f t="shared" ref="BA95" si="659">+AW95</f>
        <v>0.77726870661791492</v>
      </c>
      <c r="BB95" s="304"/>
      <c r="BC95" s="462"/>
      <c r="BD95" s="462">
        <f t="shared" ref="BD95:BM95" si="660">+(BD8-BD14)/BD8</f>
        <v>0.82643171806167404</v>
      </c>
      <c r="BE95" s="462">
        <f t="shared" si="660"/>
        <v>0.82399368587213895</v>
      </c>
      <c r="BF95" s="462">
        <f t="shared" si="660"/>
        <v>0.80958872983412866</v>
      </c>
      <c r="BG95" s="462">
        <f t="shared" si="660"/>
        <v>0.80391397016082156</v>
      </c>
      <c r="BH95" s="462">
        <f t="shared" si="660"/>
        <v>0.79748510919920579</v>
      </c>
      <c r="BI95" s="462">
        <f t="shared" si="660"/>
        <v>0.81133266027258966</v>
      </c>
      <c r="BJ95" s="462">
        <f t="shared" si="660"/>
        <v>0.80686487206103663</v>
      </c>
      <c r="BK95" s="462">
        <f t="shared" si="660"/>
        <v>0.78853263816984731</v>
      </c>
      <c r="BL95" s="462">
        <f t="shared" si="660"/>
        <v>0.79363777142275627</v>
      </c>
      <c r="BM95" s="462">
        <f t="shared" si="660"/>
        <v>0.80481700057217709</v>
      </c>
      <c r="BN95" s="462">
        <f t="shared" ref="BN95:BO95" si="661">+(BN8-BN14)/BN8</f>
        <v>0.80901512128679554</v>
      </c>
      <c r="BO95" s="462">
        <f t="shared" si="661"/>
        <v>0.80837462488706247</v>
      </c>
      <c r="BP95" s="462">
        <f t="shared" ref="BP95" si="662">+(BP8-BP14)/BP8</f>
        <v>0.80781995857090183</v>
      </c>
      <c r="BQ95" s="304"/>
      <c r="BR95" s="1379"/>
      <c r="BS95" s="1379"/>
      <c r="BT95" s="1379"/>
    </row>
    <row r="96" spans="1:72" s="305" customFormat="1" ht="12" customHeight="1">
      <c r="A96" s="416" t="s">
        <v>23</v>
      </c>
      <c r="B96" s="417">
        <f t="shared" ref="B96:W96" si="663">+B16/B$9</f>
        <v>0.77840112201963529</v>
      </c>
      <c r="C96" s="417">
        <f t="shared" si="663"/>
        <v>0.7930660888407367</v>
      </c>
      <c r="D96" s="417">
        <f t="shared" si="663"/>
        <v>0.90928819444444442</v>
      </c>
      <c r="E96" s="418">
        <f t="shared" si="663"/>
        <v>0.7824933687002652</v>
      </c>
      <c r="F96" s="419">
        <f t="shared" si="663"/>
        <v>0.77120822622107965</v>
      </c>
      <c r="G96" s="417">
        <f t="shared" si="663"/>
        <v>0.80216535433070868</v>
      </c>
      <c r="H96" s="417">
        <f t="shared" si="663"/>
        <v>0.9086973632428178</v>
      </c>
      <c r="I96" s="418">
        <f t="shared" si="663"/>
        <v>0.78859857482185269</v>
      </c>
      <c r="J96" s="419">
        <f t="shared" si="663"/>
        <v>0.78791208791208789</v>
      </c>
      <c r="K96" s="417">
        <f t="shared" si="663"/>
        <v>0.82823002240477972</v>
      </c>
      <c r="L96" s="417">
        <f t="shared" si="663"/>
        <v>0.9017857142857143</v>
      </c>
      <c r="M96" s="418">
        <f t="shared" si="663"/>
        <v>0.75578703703703709</v>
      </c>
      <c r="N96" s="419">
        <f t="shared" si="663"/>
        <v>0.77559055118110232</v>
      </c>
      <c r="O96" s="417">
        <f t="shared" si="663"/>
        <v>0.82356857523302263</v>
      </c>
      <c r="P96" s="417">
        <f t="shared" si="663"/>
        <v>0.89792176039119809</v>
      </c>
      <c r="Q96" s="418">
        <f t="shared" si="663"/>
        <v>0.73641851106639844</v>
      </c>
      <c r="R96" s="419">
        <f t="shared" si="663"/>
        <v>0.76909871244635197</v>
      </c>
      <c r="S96" s="417">
        <f t="shared" si="663"/>
        <v>0.81132075471698117</v>
      </c>
      <c r="T96" s="417">
        <f t="shared" si="663"/>
        <v>0.86475682878081284</v>
      </c>
      <c r="U96" s="463">
        <f t="shared" si="663"/>
        <v>0.83425110132158586</v>
      </c>
      <c r="V96" s="419">
        <f t="shared" si="663"/>
        <v>0.8231292517006803</v>
      </c>
      <c r="W96" s="417">
        <f t="shared" si="663"/>
        <v>0.78616751269035534</v>
      </c>
      <c r="X96" s="417">
        <f t="shared" ref="X96:Y96" si="664">+X16/X$9</f>
        <v>0.86460579918523839</v>
      </c>
      <c r="Y96" s="463">
        <f t="shared" si="664"/>
        <v>0.83287778211636077</v>
      </c>
      <c r="Z96" s="1267">
        <f t="shared" ref="Z96:AC96" si="665">+Z16/Z$9</f>
        <v>0.8131539611360239</v>
      </c>
      <c r="AA96" s="417">
        <f t="shared" si="665"/>
        <v>0.81855592966704083</v>
      </c>
      <c r="AB96" s="417">
        <f t="shared" si="665"/>
        <v>0.86825284090909094</v>
      </c>
      <c r="AC96" s="463">
        <f t="shared" si="665"/>
        <v>0.78541839270919633</v>
      </c>
      <c r="AD96" s="1267">
        <f t="shared" ref="AD96:AG96" si="666">+AD16/AD$9</f>
        <v>0.78860223334616864</v>
      </c>
      <c r="AE96" s="417">
        <f t="shared" si="666"/>
        <v>0.78921407431765866</v>
      </c>
      <c r="AF96" s="417">
        <f t="shared" si="666"/>
        <v>0.86257892987703555</v>
      </c>
      <c r="AG96" s="463">
        <f t="shared" si="666"/>
        <v>0.78281710914454272</v>
      </c>
      <c r="AH96" s="1267">
        <f t="shared" ref="AH96:AK96" si="667">+AH16/AH$9</f>
        <v>0.7914707857622566</v>
      </c>
      <c r="AI96" s="417">
        <f t="shared" si="667"/>
        <v>0.7879503839338452</v>
      </c>
      <c r="AJ96" s="417">
        <f t="shared" si="667"/>
        <v>0.86151105833457031</v>
      </c>
      <c r="AK96" s="463">
        <f t="shared" si="667"/>
        <v>0.79742462311557794</v>
      </c>
      <c r="AL96" s="1267">
        <f t="shared" ref="AL96:AO96" si="668">+AL16/AL$9</f>
        <v>0.79439537008833383</v>
      </c>
      <c r="AM96" s="417">
        <f t="shared" si="668"/>
        <v>0.8006560686348726</v>
      </c>
      <c r="AN96" s="417">
        <f t="shared" si="668"/>
        <v>0.86394119164302297</v>
      </c>
      <c r="AO96" s="463">
        <f t="shared" si="668"/>
        <v>0.80448968937614196</v>
      </c>
      <c r="AP96" s="1267">
        <f t="shared" ref="AP96:AQ96" si="669">+AP16/AP$9</f>
        <v>0.80900900900900896</v>
      </c>
      <c r="AQ96" s="417">
        <f t="shared" si="669"/>
        <v>0.80541818963663725</v>
      </c>
      <c r="AR96" s="1655">
        <f t="shared" ref="AR96:AS96" si="670">+AR16/AR$9</f>
        <v>0.86354017288048146</v>
      </c>
      <c r="AS96" s="1656">
        <f t="shared" si="670"/>
        <v>0.80317591879481764</v>
      </c>
      <c r="AT96" s="1655">
        <f t="shared" ref="AT96:AW96" si="671">+AT16/AT$9</f>
        <v>0.80799631964582441</v>
      </c>
      <c r="AU96" s="1655">
        <f t="shared" si="671"/>
        <v>0.80326901213009005</v>
      </c>
      <c r="AV96" s="1655">
        <f t="shared" si="671"/>
        <v>0.86312209631832848</v>
      </c>
      <c r="AW96" s="1656">
        <f t="shared" si="671"/>
        <v>0.80188167292966506</v>
      </c>
      <c r="AX96" s="1655">
        <f t="shared" ref="AX96:BA96" si="672">+AX16/AX$9</f>
        <v>0.80686892501997887</v>
      </c>
      <c r="AY96" s="1655">
        <f t="shared" si="672"/>
        <v>0.80112539195640908</v>
      </c>
      <c r="AZ96" s="1655">
        <f t="shared" si="672"/>
        <v>0.86267462156372554</v>
      </c>
      <c r="BA96" s="1656">
        <f t="shared" si="672"/>
        <v>0.80061633208575766</v>
      </c>
      <c r="BB96" s="304"/>
      <c r="BC96" s="464"/>
      <c r="BD96" s="464">
        <f t="shared" ref="BD96:BM96" si="673">+BD16/BD$9</f>
        <v>0.84618662121857691</v>
      </c>
      <c r="BE96" s="464">
        <f t="shared" si="673"/>
        <v>0.84759513231601313</v>
      </c>
      <c r="BF96" s="464">
        <f t="shared" si="673"/>
        <v>0.84730290456431534</v>
      </c>
      <c r="BG96" s="464">
        <f t="shared" si="673"/>
        <v>0.83947523584905659</v>
      </c>
      <c r="BH96" s="464">
        <f t="shared" si="673"/>
        <v>0.83122802448235444</v>
      </c>
      <c r="BI96" s="1245">
        <f t="shared" si="673"/>
        <v>0.83764144088030723</v>
      </c>
      <c r="BJ96" s="1245">
        <f t="shared" si="673"/>
        <v>0.83341191261983338</v>
      </c>
      <c r="BK96" s="464">
        <f t="shared" si="673"/>
        <v>0.81862472160356348</v>
      </c>
      <c r="BL96" s="1245">
        <f t="shared" si="673"/>
        <v>0.82087810868897759</v>
      </c>
      <c r="BM96" s="464">
        <f t="shared" si="673"/>
        <v>0.82640327120174184</v>
      </c>
      <c r="BN96" s="464">
        <f t="shared" ref="BN96:BO96" si="674">+BN16/BN$9</f>
        <v>0.82881353171218519</v>
      </c>
      <c r="BO96" s="464">
        <f t="shared" si="674"/>
        <v>0.82729894946215443</v>
      </c>
      <c r="BP96" s="464">
        <f t="shared" ref="BP96" si="675">+BP16/BP$9</f>
        <v>0.82581258234279098</v>
      </c>
      <c r="BQ96" s="304"/>
      <c r="BR96" s="1379"/>
      <c r="BS96" s="1379"/>
      <c r="BT96" s="1379"/>
    </row>
    <row r="97" spans="1:72" s="570" customFormat="1" ht="12" customHeight="1">
      <c r="A97" s="422" t="s">
        <v>321</v>
      </c>
      <c r="B97" s="423">
        <f t="shared" ref="B97:W97" si="676">+B20/B$9</f>
        <v>0.31556802244039273</v>
      </c>
      <c r="C97" s="423">
        <f t="shared" si="676"/>
        <v>0.36619718309859156</v>
      </c>
      <c r="D97" s="423">
        <f t="shared" si="676"/>
        <v>0.17578125</v>
      </c>
      <c r="E97" s="424">
        <f t="shared" si="676"/>
        <v>0.32360742705570295</v>
      </c>
      <c r="F97" s="425">
        <f t="shared" si="676"/>
        <v>0.33161953727506427</v>
      </c>
      <c r="G97" s="423">
        <f t="shared" si="676"/>
        <v>0.37696850393700787</v>
      </c>
      <c r="H97" s="423">
        <f t="shared" si="676"/>
        <v>0.17630853994490359</v>
      </c>
      <c r="I97" s="424">
        <f t="shared" si="676"/>
        <v>0.28859857482185275</v>
      </c>
      <c r="J97" s="425">
        <f t="shared" si="676"/>
        <v>0.31098901098901099</v>
      </c>
      <c r="K97" s="423">
        <f t="shared" si="676"/>
        <v>0.33159073935772965</v>
      </c>
      <c r="L97" s="423">
        <f t="shared" si="676"/>
        <v>0.17994505494505494</v>
      </c>
      <c r="M97" s="424">
        <f t="shared" si="676"/>
        <v>0.32291666666666669</v>
      </c>
      <c r="N97" s="425">
        <f t="shared" si="676"/>
        <v>0.3110236220472441</v>
      </c>
      <c r="O97" s="423">
        <f t="shared" si="676"/>
        <v>0.34820239680426096</v>
      </c>
      <c r="P97" s="423">
        <f t="shared" si="676"/>
        <v>0.19223716381418093</v>
      </c>
      <c r="Q97" s="424">
        <f t="shared" si="676"/>
        <v>0.35814889336016098</v>
      </c>
      <c r="R97" s="425">
        <f t="shared" si="676"/>
        <v>0.30300429184549355</v>
      </c>
      <c r="S97" s="423">
        <f t="shared" si="676"/>
        <v>0.33254716981132076</v>
      </c>
      <c r="T97" s="423">
        <f t="shared" si="676"/>
        <v>0.20686209193870753</v>
      </c>
      <c r="U97" s="461">
        <f t="shared" si="676"/>
        <v>0.21696035242290748</v>
      </c>
      <c r="V97" s="425">
        <f t="shared" si="676"/>
        <v>0.24943310657596371</v>
      </c>
      <c r="W97" s="423">
        <f t="shared" si="676"/>
        <v>0.34010152284263961</v>
      </c>
      <c r="X97" s="423">
        <f t="shared" ref="X97:Y97" si="677">+X20/X$9</f>
        <v>0.19314641744548286</v>
      </c>
      <c r="Y97" s="461">
        <f t="shared" si="677"/>
        <v>0.30808278016399843</v>
      </c>
      <c r="Z97" s="1266">
        <f t="shared" ref="Z97:AC97" si="678">+Z20/Z$9</f>
        <v>0.24215246636771301</v>
      </c>
      <c r="AA97" s="423">
        <f t="shared" si="678"/>
        <v>0.32136176580621023</v>
      </c>
      <c r="AB97" s="423">
        <f t="shared" si="678"/>
        <v>0.20276988636363641</v>
      </c>
      <c r="AC97" s="461">
        <f t="shared" si="678"/>
        <v>0.30240265120132559</v>
      </c>
      <c r="AD97" s="1266">
        <f t="shared" ref="AD97:AG97" si="679">+AD20/AD$9</f>
        <v>0.26530612244897961</v>
      </c>
      <c r="AE97" s="423">
        <f t="shared" si="679"/>
        <v>0.26833278526800397</v>
      </c>
      <c r="AF97" s="423">
        <f t="shared" si="679"/>
        <v>0.1839481555333998</v>
      </c>
      <c r="AG97" s="461">
        <f t="shared" si="679"/>
        <v>0.26585545722713866</v>
      </c>
      <c r="AH97" s="1266">
        <f t="shared" ref="AH97:AK97" si="680">+AH20/AH$9</f>
        <v>0.21692411014103424</v>
      </c>
      <c r="AI97" s="423">
        <f t="shared" si="680"/>
        <v>0.26432368576491433</v>
      </c>
      <c r="AJ97" s="423">
        <f t="shared" si="680"/>
        <v>0.19266735935876506</v>
      </c>
      <c r="AK97" s="461">
        <f t="shared" si="680"/>
        <v>0.3037060301507537</v>
      </c>
      <c r="AL97" s="1266">
        <f t="shared" ref="AL97:AO97" si="681">+AL20/AL$9</f>
        <v>0.25129454766981418</v>
      </c>
      <c r="AM97" s="423">
        <f t="shared" si="681"/>
        <v>0.26949280847842544</v>
      </c>
      <c r="AN97" s="423">
        <f t="shared" si="681"/>
        <v>0.19177198865101883</v>
      </c>
      <c r="AO97" s="461">
        <f t="shared" si="681"/>
        <v>0.29078569564082485</v>
      </c>
      <c r="AP97" s="1266">
        <f t="shared" ref="AP97:AQ97" si="682">+AP20/AP$9</f>
        <v>0.23835263835263834</v>
      </c>
      <c r="AQ97" s="423">
        <f t="shared" si="682"/>
        <v>0.26768436895291337</v>
      </c>
      <c r="AR97" s="1653">
        <f>+AN97+0.0125</f>
        <v>0.20427198865101884</v>
      </c>
      <c r="AS97" s="1654">
        <f>+AO97-0.013</f>
        <v>0.27778569564082484</v>
      </c>
      <c r="AT97" s="1653">
        <f>+AP97-0.003</f>
        <v>0.23535263835263834</v>
      </c>
      <c r="AU97" s="1653">
        <f>+AQ97-0.004</f>
        <v>0.26368436895291336</v>
      </c>
      <c r="AV97" s="1653">
        <f>+AR97-0.005</f>
        <v>0.19927198865101883</v>
      </c>
      <c r="AW97" s="1654">
        <v>0.27900000000000003</v>
      </c>
      <c r="AX97" s="1653">
        <f t="shared" ref="AX97:AX99" si="683">+AT97-0.002</f>
        <v>0.23335263835263834</v>
      </c>
      <c r="AY97" s="1653">
        <f t="shared" ref="AY97:AY99" si="684">+AU97-0.002</f>
        <v>0.26168436895291336</v>
      </c>
      <c r="AZ97" s="1653">
        <f>+AV97-0.0018</f>
        <v>0.19747198865101884</v>
      </c>
      <c r="BA97" s="1654">
        <v>0.27400000000000002</v>
      </c>
      <c r="BB97" s="569"/>
      <c r="BC97" s="462"/>
      <c r="BD97" s="462">
        <f t="shared" ref="BD97:BM97" si="685">+BD20/BD$9</f>
        <v>0.25820195994887091</v>
      </c>
      <c r="BE97" s="462">
        <f t="shared" si="685"/>
        <v>0.25729186787714892</v>
      </c>
      <c r="BF97" s="462">
        <f t="shared" si="685"/>
        <v>0.25394190871369293</v>
      </c>
      <c r="BG97" s="462">
        <f t="shared" si="685"/>
        <v>0.26886792452830188</v>
      </c>
      <c r="BH97" s="462">
        <f t="shared" si="685"/>
        <v>0.25159525979945307</v>
      </c>
      <c r="BI97" s="1246">
        <f t="shared" si="685"/>
        <v>0.2554759680265753</v>
      </c>
      <c r="BJ97" s="1246">
        <f t="shared" si="685"/>
        <v>0.25278956467075281</v>
      </c>
      <c r="BK97" s="462">
        <f t="shared" si="685"/>
        <v>0.23197383073496658</v>
      </c>
      <c r="BL97" s="462">
        <f t="shared" si="685"/>
        <v>0.23371200491249616</v>
      </c>
      <c r="BM97" s="462">
        <f t="shared" si="685"/>
        <v>0.2386490361637725</v>
      </c>
      <c r="BN97" s="462">
        <f t="shared" ref="BN97:BO97" si="686">+BN20/BN$9</f>
        <v>0.23904915875749996</v>
      </c>
      <c r="BO97" s="462">
        <f t="shared" si="686"/>
        <v>0.23626373536978806</v>
      </c>
      <c r="BP97" s="462">
        <f t="shared" ref="BP97" si="687">+BP20/BP$9</f>
        <v>0.23410859928883004</v>
      </c>
      <c r="BQ97" s="569"/>
      <c r="BR97" s="1440"/>
      <c r="BS97" s="1440"/>
      <c r="BT97" s="1440"/>
    </row>
    <row r="98" spans="1:72" s="570" customFormat="1" ht="12" customHeight="1">
      <c r="A98" s="422" t="s">
        <v>40</v>
      </c>
      <c r="B98" s="423">
        <f t="shared" ref="B98:W98" si="688">+B21/B$9</f>
        <v>0.26928471248246844</v>
      </c>
      <c r="C98" s="423">
        <f t="shared" si="688"/>
        <v>0.19934994582881907</v>
      </c>
      <c r="D98" s="423">
        <f t="shared" si="688"/>
        <v>8.984375E-2</v>
      </c>
      <c r="E98" s="424">
        <f t="shared" si="688"/>
        <v>0.27586206896551724</v>
      </c>
      <c r="F98" s="425">
        <f t="shared" si="688"/>
        <v>0.26992287917737789</v>
      </c>
      <c r="G98" s="423">
        <f t="shared" si="688"/>
        <v>0.21062992125984251</v>
      </c>
      <c r="H98" s="423">
        <f t="shared" si="688"/>
        <v>8.7367178276269192E-2</v>
      </c>
      <c r="I98" s="424">
        <f t="shared" si="688"/>
        <v>0.27315914489311166</v>
      </c>
      <c r="J98" s="425">
        <f t="shared" si="688"/>
        <v>0.27912087912087913</v>
      </c>
      <c r="K98" s="423">
        <f t="shared" si="688"/>
        <v>0.19118745332337567</v>
      </c>
      <c r="L98" s="423">
        <f t="shared" si="688"/>
        <v>9.1346153846153841E-2</v>
      </c>
      <c r="M98" s="424">
        <f t="shared" si="688"/>
        <v>0.32060185185185186</v>
      </c>
      <c r="N98" s="425">
        <f t="shared" si="688"/>
        <v>0.25492125984251968</v>
      </c>
      <c r="O98" s="423">
        <f t="shared" si="688"/>
        <v>0.17376830892143807</v>
      </c>
      <c r="P98" s="423">
        <f t="shared" si="688"/>
        <v>8.5268948655256721E-2</v>
      </c>
      <c r="Q98" s="424">
        <f t="shared" si="688"/>
        <v>0.29979879275653926</v>
      </c>
      <c r="R98" s="425">
        <f t="shared" si="688"/>
        <v>0.25407725321888414</v>
      </c>
      <c r="S98" s="423">
        <f t="shared" si="688"/>
        <v>0.17452830188679244</v>
      </c>
      <c r="T98" s="423">
        <f t="shared" si="688"/>
        <v>9.8600932711525646E-2</v>
      </c>
      <c r="U98" s="461">
        <f t="shared" si="688"/>
        <v>0.19438325991189428</v>
      </c>
      <c r="V98" s="425">
        <f t="shared" si="688"/>
        <v>0.21693121693121692</v>
      </c>
      <c r="W98" s="423">
        <f t="shared" si="688"/>
        <v>0.19098984771573604</v>
      </c>
      <c r="X98" s="423">
        <f t="shared" ref="X98:Y98" si="689">+X21/X$9</f>
        <v>9.1540857895998085E-2</v>
      </c>
      <c r="Y98" s="461">
        <f t="shared" si="689"/>
        <v>0.16673174541194846</v>
      </c>
      <c r="Z98" s="1266">
        <f t="shared" ref="Z98:AC98" si="690">+Z21/Z$9</f>
        <v>0.20976581963129048</v>
      </c>
      <c r="AA98" s="423">
        <f t="shared" si="690"/>
        <v>0.17134306023194912</v>
      </c>
      <c r="AB98" s="423">
        <f t="shared" si="690"/>
        <v>8.2031250000000014E-2</v>
      </c>
      <c r="AC98" s="461">
        <f t="shared" si="690"/>
        <v>0.20091135045567524</v>
      </c>
      <c r="AD98" s="1266">
        <f t="shared" ref="AD98:AG98" si="691">+AD21/AD$9</f>
        <v>0.18829418559876782</v>
      </c>
      <c r="AE98" s="423">
        <f t="shared" si="691"/>
        <v>0.16376192042091417</v>
      </c>
      <c r="AF98" s="423">
        <f t="shared" si="691"/>
        <v>8.1090063143901631E-2</v>
      </c>
      <c r="AG98" s="461">
        <f t="shared" si="691"/>
        <v>0.19616519174041297</v>
      </c>
      <c r="AH98" s="1266">
        <f t="shared" ref="AH98:AK98" si="692">+AH21/AH$9</f>
        <v>0.174278038952317</v>
      </c>
      <c r="AI98" s="423">
        <f t="shared" si="692"/>
        <v>0.15239220318960425</v>
      </c>
      <c r="AJ98" s="423">
        <f t="shared" si="692"/>
        <v>7.6591954876057605E-2</v>
      </c>
      <c r="AK98" s="461">
        <f t="shared" si="692"/>
        <v>0.17713567839195976</v>
      </c>
      <c r="AL98" s="1266">
        <f t="shared" ref="AL98:AO98" si="693">+AL21/AL$9</f>
        <v>0.1653975022844959</v>
      </c>
      <c r="AM98" s="423">
        <f t="shared" si="693"/>
        <v>0.1400454201362604</v>
      </c>
      <c r="AN98" s="423">
        <f t="shared" si="693"/>
        <v>7.2091823574929062E-2</v>
      </c>
      <c r="AO98" s="461">
        <f t="shared" si="693"/>
        <v>0.16758026624902114</v>
      </c>
      <c r="AP98" s="1266">
        <f t="shared" ref="AP98:AQ98" si="694">+AP21/AP$9</f>
        <v>0.16936936936936936</v>
      </c>
      <c r="AQ98" s="423">
        <f t="shared" si="694"/>
        <v>0.14147495162330681</v>
      </c>
      <c r="AR98" s="1653">
        <f>+AN98+0.001</f>
        <v>7.3091823574929063E-2</v>
      </c>
      <c r="AS98" s="1654">
        <f>+AO98-0.01</f>
        <v>0.15758026624902113</v>
      </c>
      <c r="AT98" s="1653">
        <f t="shared" ref="AT98:AT99" si="695">+AP98-0.002</f>
        <v>0.16736936936936936</v>
      </c>
      <c r="AU98" s="1653">
        <f t="shared" ref="AU98:AU99" si="696">+AQ98-0.002</f>
        <v>0.13947495162330681</v>
      </c>
      <c r="AV98" s="1653">
        <f t="shared" ref="AV98:AV99" si="697">+AR98-0.002</f>
        <v>7.1091823574929061E-2</v>
      </c>
      <c r="AW98" s="1654">
        <f t="shared" ref="AW98:AW99" si="698">+AS98-0.002</f>
        <v>0.15558026624902113</v>
      </c>
      <c r="AX98" s="1653">
        <f t="shared" si="683"/>
        <v>0.16536936936936936</v>
      </c>
      <c r="AY98" s="1653">
        <f t="shared" si="684"/>
        <v>0.13747495162330681</v>
      </c>
      <c r="AZ98" s="1653">
        <f t="shared" ref="AZ98:AZ99" si="699">+AV98-0.002</f>
        <v>6.9091823574929059E-2</v>
      </c>
      <c r="BA98" s="1654">
        <f t="shared" ref="BA98:BA99" si="700">+AW98-0.002</f>
        <v>0.15358026624902113</v>
      </c>
      <c r="BB98" s="569"/>
      <c r="BC98" s="462"/>
      <c r="BD98" s="462">
        <f t="shared" ref="BD98:BM98" si="701">+BD21/BD$9</f>
        <v>0.16851299531316574</v>
      </c>
      <c r="BE98" s="462">
        <f t="shared" si="701"/>
        <v>0.16920996716244929</v>
      </c>
      <c r="BF98" s="462">
        <f t="shared" si="701"/>
        <v>0.17477178423236514</v>
      </c>
      <c r="BG98" s="462">
        <f t="shared" si="701"/>
        <v>0.16170400943396226</v>
      </c>
      <c r="BH98" s="462">
        <f t="shared" si="701"/>
        <v>0.16160958458132568</v>
      </c>
      <c r="BI98" s="462">
        <f t="shared" si="701"/>
        <v>0.14502231911138794</v>
      </c>
      <c r="BJ98" s="462">
        <f t="shared" si="701"/>
        <v>0.14348577714914348</v>
      </c>
      <c r="BK98" s="462">
        <f t="shared" si="701"/>
        <v>0.13968541202672605</v>
      </c>
      <c r="BL98" s="462">
        <f t="shared" si="701"/>
        <v>0.12987411728584586</v>
      </c>
      <c r="BM98" s="462">
        <f t="shared" si="701"/>
        <v>0.12208592214964686</v>
      </c>
      <c r="BN98" s="462">
        <f t="shared" ref="BN98:BO98" si="702">+BN21/BN$9</f>
        <v>0.12250557126009405</v>
      </c>
      <c r="BO98" s="462">
        <f t="shared" si="702"/>
        <v>0.121107678042184</v>
      </c>
      <c r="BP98" s="462">
        <f t="shared" ref="BP98" si="703">+BP21/BP$9</f>
        <v>0.11958732139210893</v>
      </c>
      <c r="BQ98" s="569"/>
      <c r="BR98" s="1440"/>
      <c r="BS98" s="1440"/>
      <c r="BT98" s="1440"/>
    </row>
    <row r="99" spans="1:72" s="570" customFormat="1" ht="12" customHeight="1">
      <c r="A99" s="422" t="s">
        <v>288</v>
      </c>
      <c r="B99" s="423">
        <f t="shared" ref="B99:W99" si="704">+B22/B$9</f>
        <v>0.12903225806451613</v>
      </c>
      <c r="C99" s="423">
        <f t="shared" si="704"/>
        <v>0.10400866738894908</v>
      </c>
      <c r="D99" s="423">
        <f t="shared" si="704"/>
        <v>5.3819444444444448E-2</v>
      </c>
      <c r="E99" s="424">
        <f t="shared" si="704"/>
        <v>0.13527851458885942</v>
      </c>
      <c r="F99" s="425">
        <f t="shared" si="704"/>
        <v>0.12853470437017994</v>
      </c>
      <c r="G99" s="423">
        <f t="shared" si="704"/>
        <v>0.11023622047244094</v>
      </c>
      <c r="H99" s="423">
        <f t="shared" si="704"/>
        <v>4.7225501770956316E-2</v>
      </c>
      <c r="I99" s="424">
        <f t="shared" si="704"/>
        <v>0.13420427553444181</v>
      </c>
      <c r="J99" s="425">
        <f t="shared" si="704"/>
        <v>0.12637362637362637</v>
      </c>
      <c r="K99" s="423">
        <f t="shared" si="704"/>
        <v>8.5884988797610154E-2</v>
      </c>
      <c r="L99" s="423">
        <f t="shared" si="704"/>
        <v>4.6703296703296704E-2</v>
      </c>
      <c r="M99" s="424">
        <f t="shared" si="704"/>
        <v>0.12962962962962962</v>
      </c>
      <c r="N99" s="425">
        <f t="shared" si="704"/>
        <v>0.10925196850393701</v>
      </c>
      <c r="O99" s="423">
        <f t="shared" si="704"/>
        <v>7.5898801597869506E-2</v>
      </c>
      <c r="P99" s="423">
        <f t="shared" si="704"/>
        <v>4.3398533007334962E-2</v>
      </c>
      <c r="Q99" s="424">
        <f t="shared" si="704"/>
        <v>0.12575452716297786</v>
      </c>
      <c r="R99" s="425">
        <f t="shared" si="704"/>
        <v>0.10128755364806867</v>
      </c>
      <c r="S99" s="423">
        <f t="shared" si="704"/>
        <v>7.783018867924528E-2</v>
      </c>
      <c r="T99" s="423">
        <f t="shared" si="704"/>
        <v>4.6635576282478344E-2</v>
      </c>
      <c r="U99" s="461">
        <f t="shared" si="704"/>
        <v>8.3700440528634359E-2</v>
      </c>
      <c r="V99" s="425">
        <f t="shared" si="704"/>
        <v>0.10430839002267574</v>
      </c>
      <c r="W99" s="423">
        <f t="shared" si="704"/>
        <v>0.10596446700507614</v>
      </c>
      <c r="X99" s="423">
        <f t="shared" ref="X99:Y99" si="705">+X22/X$9</f>
        <v>5.2480230050323505E-2</v>
      </c>
      <c r="Y99" s="461">
        <f t="shared" si="705"/>
        <v>7.8875439281530652E-2</v>
      </c>
      <c r="Z99" s="1266">
        <f t="shared" ref="Z99:AC99" si="706">+Z22/Z$9</f>
        <v>8.4703537618335822E-2</v>
      </c>
      <c r="AA99" s="423">
        <f t="shared" si="706"/>
        <v>9.6894874672652453E-2</v>
      </c>
      <c r="AB99" s="423">
        <f t="shared" si="706"/>
        <v>6.7826704545454558E-2</v>
      </c>
      <c r="AC99" s="461">
        <f t="shared" si="706"/>
        <v>0.10273405136702568</v>
      </c>
      <c r="AD99" s="1266">
        <f t="shared" ref="AD99:AG99" si="707">+AD22/AD$9</f>
        <v>8.0092414324220249E-2</v>
      </c>
      <c r="AE99" s="423">
        <f t="shared" si="707"/>
        <v>7.5633015455442293E-2</v>
      </c>
      <c r="AF99" s="423">
        <f t="shared" si="707"/>
        <v>3.954802259887006E-2</v>
      </c>
      <c r="AG99" s="461">
        <f t="shared" si="707"/>
        <v>8.9601769911504425E-2</v>
      </c>
      <c r="AH99" s="1266">
        <f t="shared" ref="AH99:AK99" si="708">+AH22/AH$9</f>
        <v>7.7904633982538621E-2</v>
      </c>
      <c r="AI99" s="423">
        <f t="shared" si="708"/>
        <v>7.5900767867690497E-2</v>
      </c>
      <c r="AJ99" s="423">
        <f t="shared" si="708"/>
        <v>4.1264657859581423E-2</v>
      </c>
      <c r="AK99" s="461">
        <f t="shared" si="708"/>
        <v>8.7311557788944713E-2</v>
      </c>
      <c r="AL99" s="1266">
        <f t="shared" ref="AL99:AO99" si="709">+AL22/AL$9</f>
        <v>8.7420042643923238E-2</v>
      </c>
      <c r="AM99" s="423">
        <f t="shared" si="709"/>
        <v>7.3176886197325264E-2</v>
      </c>
      <c r="AN99" s="423">
        <f t="shared" si="709"/>
        <v>3.9979365488779985E-2</v>
      </c>
      <c r="AO99" s="461">
        <f t="shared" si="709"/>
        <v>8.0918820151396509E-2</v>
      </c>
      <c r="AP99" s="1266">
        <f t="shared" ref="AP99:AQ99" si="710">+AP22/AP$9</f>
        <v>7.7477477477477477E-2</v>
      </c>
      <c r="AQ99" s="423">
        <f t="shared" si="710"/>
        <v>6.3212212427434966E-2</v>
      </c>
      <c r="AR99" s="1653">
        <f>+AN99+0.001</f>
        <v>4.0979365488779985E-2</v>
      </c>
      <c r="AS99" s="1654">
        <f t="shared" ref="AS99" si="711">+AO99-0.002</f>
        <v>7.8918820151396507E-2</v>
      </c>
      <c r="AT99" s="1653">
        <f t="shared" si="695"/>
        <v>7.5477477477477475E-2</v>
      </c>
      <c r="AU99" s="1653">
        <f t="shared" si="696"/>
        <v>6.1212212427434964E-2</v>
      </c>
      <c r="AV99" s="1653">
        <f t="shared" si="697"/>
        <v>3.8979365488779984E-2</v>
      </c>
      <c r="AW99" s="1654">
        <f t="shared" si="698"/>
        <v>7.6918820151396505E-2</v>
      </c>
      <c r="AX99" s="1653">
        <f t="shared" si="683"/>
        <v>7.3477477477477474E-2</v>
      </c>
      <c r="AY99" s="1653">
        <f t="shared" si="684"/>
        <v>5.9212212427434963E-2</v>
      </c>
      <c r="AZ99" s="1653">
        <f t="shared" si="699"/>
        <v>3.6979365488779982E-2</v>
      </c>
      <c r="BA99" s="1654">
        <f t="shared" si="700"/>
        <v>7.4918820151396504E-2</v>
      </c>
      <c r="BB99" s="569"/>
      <c r="BC99" s="462"/>
      <c r="BD99" s="462">
        <f t="shared" ref="BD99:BM99" si="712">+BD22/BD$9</f>
        <v>8.8197699190455905E-2</v>
      </c>
      <c r="BE99" s="462">
        <f t="shared" si="712"/>
        <v>8.5957118022020482E-2</v>
      </c>
      <c r="BF99" s="462">
        <f t="shared" si="712"/>
        <v>7.9336099585062242E-2</v>
      </c>
      <c r="BG99" s="462">
        <f t="shared" si="712"/>
        <v>7.2523584905660382E-2</v>
      </c>
      <c r="BH99" s="462">
        <f t="shared" si="712"/>
        <v>7.0582107045188178E-2</v>
      </c>
      <c r="BI99" s="1246">
        <f t="shared" si="712"/>
        <v>7.536592961694176E-2</v>
      </c>
      <c r="BJ99" s="1246">
        <f t="shared" si="712"/>
        <v>8.3215464403583211E-2</v>
      </c>
      <c r="BK99" s="462">
        <f t="shared" si="712"/>
        <v>6.3961581291759467E-2</v>
      </c>
      <c r="BL99" s="462">
        <f t="shared" si="712"/>
        <v>6.416948111759288E-2</v>
      </c>
      <c r="BM99" s="462">
        <f t="shared" si="712"/>
        <v>6.3565397482873987E-2</v>
      </c>
      <c r="BN99" s="462">
        <f t="shared" ref="BN99:BO99" si="713">+BN22/BN$9</f>
        <v>6.0086322804047673E-2</v>
      </c>
      <c r="BO99" s="462">
        <f t="shared" si="713"/>
        <v>5.8296914421534597E-2</v>
      </c>
      <c r="BP99" s="462">
        <f t="shared" ref="BP99" si="714">+BP22/BP$9</f>
        <v>5.6471486634436734E-2</v>
      </c>
      <c r="BQ99" s="569"/>
      <c r="BR99" s="1440"/>
      <c r="BS99" s="1440"/>
      <c r="BT99" s="1440"/>
    </row>
    <row r="100" spans="1:72" s="570" customFormat="1" ht="12" customHeight="1">
      <c r="A100" s="422" t="s">
        <v>289</v>
      </c>
      <c r="B100" s="423">
        <f t="shared" ref="B100:W100" si="715">+B23/B$9</f>
        <v>0.71388499298737729</v>
      </c>
      <c r="C100" s="423">
        <f t="shared" si="715"/>
        <v>0.66955579631635964</v>
      </c>
      <c r="D100" s="423">
        <f t="shared" si="715"/>
        <v>0.31944444444444442</v>
      </c>
      <c r="E100" s="424">
        <f t="shared" si="715"/>
        <v>0.73474801061007955</v>
      </c>
      <c r="F100" s="425">
        <f t="shared" si="715"/>
        <v>0.73007712082262211</v>
      </c>
      <c r="G100" s="423">
        <f t="shared" si="715"/>
        <v>0.69783464566929132</v>
      </c>
      <c r="H100" s="423">
        <f t="shared" si="715"/>
        <v>0.31090121999212911</v>
      </c>
      <c r="I100" s="424">
        <f t="shared" si="715"/>
        <v>0.69596199524940616</v>
      </c>
      <c r="J100" s="425">
        <f t="shared" si="715"/>
        <v>0.71648351648351649</v>
      </c>
      <c r="K100" s="423">
        <f t="shared" si="715"/>
        <v>0.60866318147871545</v>
      </c>
      <c r="L100" s="423">
        <f t="shared" si="715"/>
        <v>0.31799450549450547</v>
      </c>
      <c r="M100" s="424">
        <f t="shared" si="715"/>
        <v>0.77314814814814814</v>
      </c>
      <c r="N100" s="425">
        <f t="shared" si="715"/>
        <v>0.67519685039370081</v>
      </c>
      <c r="O100" s="423">
        <f t="shared" si="715"/>
        <v>0.59786950732356858</v>
      </c>
      <c r="P100" s="423">
        <f t="shared" si="715"/>
        <v>0.32090464547677261</v>
      </c>
      <c r="Q100" s="424">
        <f t="shared" si="715"/>
        <v>0.78370221327967804</v>
      </c>
      <c r="R100" s="425">
        <f t="shared" si="715"/>
        <v>0.65836909871244631</v>
      </c>
      <c r="S100" s="423">
        <f t="shared" si="715"/>
        <v>0.58490566037735847</v>
      </c>
      <c r="T100" s="423">
        <f t="shared" si="715"/>
        <v>0.3520986009327115</v>
      </c>
      <c r="U100" s="461">
        <f t="shared" si="715"/>
        <v>0.49504405286343611</v>
      </c>
      <c r="V100" s="425">
        <f t="shared" si="715"/>
        <v>0.57067271352985638</v>
      </c>
      <c r="W100" s="423">
        <f t="shared" si="715"/>
        <v>0.63705583756345174</v>
      </c>
      <c r="X100" s="423">
        <f t="shared" ref="X100:Y100" si="716">+X23/X$9</f>
        <v>0.33716750539180446</v>
      </c>
      <c r="Y100" s="461">
        <f t="shared" si="716"/>
        <v>0.55368996485747757</v>
      </c>
      <c r="Z100" s="1266">
        <f t="shared" ref="Z100:AC100" si="717">+Z23/Z$9</f>
        <v>0.53662182361733934</v>
      </c>
      <c r="AA100" s="423">
        <f t="shared" si="717"/>
        <v>0.5895997007108118</v>
      </c>
      <c r="AB100" s="423">
        <f t="shared" si="717"/>
        <v>0.35262784090909094</v>
      </c>
      <c r="AC100" s="461">
        <f t="shared" si="717"/>
        <v>0.60604805302402653</v>
      </c>
      <c r="AD100" s="1266">
        <f t="shared" ref="AD100:AG100" si="718">+AD23/AD$9</f>
        <v>0.53369272237196763</v>
      </c>
      <c r="AE100" s="423">
        <f t="shared" si="718"/>
        <v>0.50772772114436038</v>
      </c>
      <c r="AF100" s="423">
        <f t="shared" si="718"/>
        <v>0.30458624127617151</v>
      </c>
      <c r="AG100" s="461">
        <f t="shared" si="718"/>
        <v>0.55162241887905605</v>
      </c>
      <c r="AH100" s="1266">
        <f t="shared" ref="AH100:AK100" si="719">+AH23/AH$9</f>
        <v>0.46910678307588988</v>
      </c>
      <c r="AI100" s="423">
        <f t="shared" si="719"/>
        <v>0.49261665682220912</v>
      </c>
      <c r="AJ100" s="423">
        <f t="shared" si="719"/>
        <v>0.31052397209440408</v>
      </c>
      <c r="AK100" s="461">
        <f t="shared" si="719"/>
        <v>0.56815326633165819</v>
      </c>
      <c r="AL100" s="1266">
        <f t="shared" ref="AL100:AO100" si="720">+AL23/AL$9</f>
        <v>0.50411209259823331</v>
      </c>
      <c r="AM100" s="423">
        <f t="shared" si="720"/>
        <v>0.48271511481201113</v>
      </c>
      <c r="AN100" s="423">
        <f t="shared" si="720"/>
        <v>0.30384317771472791</v>
      </c>
      <c r="AO100" s="461">
        <f t="shared" si="720"/>
        <v>0.53928478204124253</v>
      </c>
      <c r="AP100" s="1266">
        <f t="shared" ref="AP100:AQ100" si="721">+AP23/AP$9</f>
        <v>0.48519948519948519</v>
      </c>
      <c r="AQ100" s="423">
        <f t="shared" si="721"/>
        <v>0.47237153300365514</v>
      </c>
      <c r="AR100" s="423">
        <f t="shared" ref="AR100:AS100" si="722">+AR23/AR$9</f>
        <v>0.31834317771472787</v>
      </c>
      <c r="AS100" s="426">
        <f t="shared" si="722"/>
        <v>0.51428478204124239</v>
      </c>
      <c r="AT100" s="425">
        <f t="shared" ref="AT100:AW100" si="723">+AT23/AT$9</f>
        <v>0.47819948519948519</v>
      </c>
      <c r="AU100" s="423">
        <f t="shared" si="723"/>
        <v>0.46437153300365513</v>
      </c>
      <c r="AV100" s="423">
        <f t="shared" si="723"/>
        <v>0.30934317771472786</v>
      </c>
      <c r="AW100" s="426">
        <f t="shared" si="723"/>
        <v>0.51149908640041764</v>
      </c>
      <c r="AX100" s="425">
        <f t="shared" ref="AX100:BA100" si="724">+AX23/AX$9</f>
        <v>0.47219948519948512</v>
      </c>
      <c r="AY100" s="423">
        <f t="shared" si="724"/>
        <v>0.45837153300365513</v>
      </c>
      <c r="AZ100" s="423">
        <f t="shared" si="724"/>
        <v>0.30354317771472783</v>
      </c>
      <c r="BA100" s="426">
        <f t="shared" si="724"/>
        <v>0.50249908640041763</v>
      </c>
      <c r="BB100" s="569"/>
      <c r="BC100" s="462"/>
      <c r="BD100" s="462">
        <f t="shared" ref="BD100:BM100" si="725">+BD23/BD$9</f>
        <v>0.51491265445249257</v>
      </c>
      <c r="BE100" s="462">
        <f t="shared" si="725"/>
        <v>0.5124589530616187</v>
      </c>
      <c r="BF100" s="462">
        <f t="shared" si="725"/>
        <v>0.50804979253112037</v>
      </c>
      <c r="BG100" s="462">
        <f t="shared" si="725"/>
        <v>0.50309551886792447</v>
      </c>
      <c r="BH100" s="462">
        <f t="shared" si="725"/>
        <v>0.48378695142596695</v>
      </c>
      <c r="BI100" s="462">
        <f t="shared" si="725"/>
        <v>0.47586421675490503</v>
      </c>
      <c r="BJ100" s="462">
        <f t="shared" si="725"/>
        <v>0.4794908062234795</v>
      </c>
      <c r="BK100" s="462">
        <f t="shared" si="725"/>
        <v>0.43562082405345209</v>
      </c>
      <c r="BL100" s="462">
        <f t="shared" si="725"/>
        <v>0.42775560331593493</v>
      </c>
      <c r="BM100" s="462">
        <f t="shared" si="725"/>
        <v>0.42430035579629333</v>
      </c>
      <c r="BN100" s="462">
        <f t="shared" ref="BN100:BO100" si="726">+BN23/BN$9</f>
        <v>0.4216410528216416</v>
      </c>
      <c r="BO100" s="462">
        <f t="shared" si="726"/>
        <v>0.41566832783350666</v>
      </c>
      <c r="BP100" s="462">
        <f t="shared" ref="BP100" si="727">+BP23/BP$9</f>
        <v>0.41016740731537571</v>
      </c>
      <c r="BQ100" s="569"/>
      <c r="BR100" s="1440"/>
      <c r="BS100" s="1440"/>
      <c r="BT100" s="1440"/>
    </row>
    <row r="101" spans="1:72" s="305" customFormat="1" ht="12" customHeight="1">
      <c r="A101" s="416" t="s">
        <v>293</v>
      </c>
      <c r="B101" s="417">
        <f t="shared" ref="B101:W101" si="728">+B24/B$9</f>
        <v>6.4516129032258063E-2</v>
      </c>
      <c r="C101" s="417">
        <f t="shared" si="728"/>
        <v>0.12351029252437704</v>
      </c>
      <c r="D101" s="417">
        <f t="shared" si="728"/>
        <v>0.58984375</v>
      </c>
      <c r="E101" s="418">
        <f t="shared" si="728"/>
        <v>4.7745358090185673E-2</v>
      </c>
      <c r="F101" s="419">
        <f t="shared" si="728"/>
        <v>4.1131105398457581E-2</v>
      </c>
      <c r="G101" s="417">
        <f t="shared" si="728"/>
        <v>0.10433070866141732</v>
      </c>
      <c r="H101" s="417">
        <f t="shared" si="728"/>
        <v>0.59779614325068875</v>
      </c>
      <c r="I101" s="418">
        <f t="shared" si="728"/>
        <v>9.2636579572446559E-2</v>
      </c>
      <c r="J101" s="419">
        <f t="shared" si="728"/>
        <v>7.1428571428571425E-2</v>
      </c>
      <c r="K101" s="417">
        <f t="shared" si="728"/>
        <v>0.21956684092606424</v>
      </c>
      <c r="L101" s="417">
        <f t="shared" si="728"/>
        <v>0.58379120879120883</v>
      </c>
      <c r="M101" s="418">
        <f t="shared" si="728"/>
        <v>-1.7361111111111112E-2</v>
      </c>
      <c r="N101" s="419">
        <f t="shared" si="728"/>
        <v>0.10039370078740158</v>
      </c>
      <c r="O101" s="417">
        <f t="shared" si="728"/>
        <v>0.22569906790945407</v>
      </c>
      <c r="P101" s="417">
        <f t="shared" si="728"/>
        <v>0.57701711491442542</v>
      </c>
      <c r="Q101" s="418">
        <f t="shared" si="728"/>
        <v>-4.7283702213279676E-2</v>
      </c>
      <c r="R101" s="419">
        <f t="shared" si="728"/>
        <v>0.11072961373390558</v>
      </c>
      <c r="S101" s="417">
        <f t="shared" si="728"/>
        <v>0.22641509433962265</v>
      </c>
      <c r="T101" s="417">
        <f t="shared" si="728"/>
        <v>0.51265822784810122</v>
      </c>
      <c r="U101" s="463">
        <f t="shared" si="728"/>
        <v>0.33920704845814981</v>
      </c>
      <c r="V101" s="419">
        <f t="shared" si="728"/>
        <v>0.25245653817082386</v>
      </c>
      <c r="W101" s="417">
        <f t="shared" si="728"/>
        <v>0.14911167512690354</v>
      </c>
      <c r="X101" s="417">
        <f t="shared" ref="X101:Y101" si="729">+X24/X$9</f>
        <v>0.52743829379343399</v>
      </c>
      <c r="Y101" s="463">
        <f t="shared" si="729"/>
        <v>0.27918781725888325</v>
      </c>
      <c r="Z101" s="1267">
        <f t="shared" ref="Z101:AC101" si="730">+Z24/Z$9</f>
        <v>0.27653213751868461</v>
      </c>
      <c r="AA101" s="417">
        <f t="shared" si="730"/>
        <v>0.22895622895622897</v>
      </c>
      <c r="AB101" s="417">
        <f t="shared" si="730"/>
        <v>0.51562499999999989</v>
      </c>
      <c r="AC101" s="463">
        <f t="shared" si="730"/>
        <v>0.17937033968516986</v>
      </c>
      <c r="AD101" s="1267">
        <f t="shared" ref="AD101:AG101" si="731">+AD24/AD$9</f>
        <v>0.254909510974201</v>
      </c>
      <c r="AE101" s="417">
        <f t="shared" si="731"/>
        <v>0.28148635317329823</v>
      </c>
      <c r="AF101" s="417">
        <f t="shared" si="731"/>
        <v>0.55799268860086404</v>
      </c>
      <c r="AG101" s="463">
        <f t="shared" si="731"/>
        <v>0.23119469026548672</v>
      </c>
      <c r="AH101" s="1267">
        <f t="shared" ref="AH101:AK101" si="732">+AH24/AH$9</f>
        <v>0.32236400268636667</v>
      </c>
      <c r="AI101" s="417">
        <f t="shared" si="732"/>
        <v>0.29533372711163614</v>
      </c>
      <c r="AJ101" s="417">
        <f t="shared" si="732"/>
        <v>0.55098708624016624</v>
      </c>
      <c r="AK101" s="463">
        <f t="shared" si="732"/>
        <v>0.22927135678391972</v>
      </c>
      <c r="AL101" s="1267">
        <f t="shared" ref="AL101:AO101" si="733">+AL24/AL$9</f>
        <v>0.29028327749010052</v>
      </c>
      <c r="AM101" s="417">
        <f t="shared" si="733"/>
        <v>0.31794095382286147</v>
      </c>
      <c r="AN101" s="417">
        <f t="shared" si="733"/>
        <v>0.56009801392829506</v>
      </c>
      <c r="AO101" s="463">
        <f t="shared" si="733"/>
        <v>0.26520490733489949</v>
      </c>
      <c r="AP101" s="1267">
        <f t="shared" ref="AP101:AQ101" si="734">+AP24/AP$9</f>
        <v>0.32380952380952382</v>
      </c>
      <c r="AQ101" s="417">
        <f t="shared" si="734"/>
        <v>0.33304665663298216</v>
      </c>
      <c r="AR101" s="417">
        <f t="shared" ref="AR101:AS101" si="735">+AR24/AR$9</f>
        <v>0.5451969951657536</v>
      </c>
      <c r="AS101" s="420">
        <f t="shared" si="735"/>
        <v>0.28889113675357525</v>
      </c>
      <c r="AT101" s="419">
        <f t="shared" ref="AT101:AW101" si="736">+AT24/AT$9</f>
        <v>0.32979683444633923</v>
      </c>
      <c r="AU101" s="417">
        <f t="shared" si="736"/>
        <v>0.33889747912643492</v>
      </c>
      <c r="AV101" s="417">
        <f t="shared" si="736"/>
        <v>0.55377891860360062</v>
      </c>
      <c r="AW101" s="420">
        <f t="shared" si="736"/>
        <v>0.29038258652924742</v>
      </c>
      <c r="AX101" s="419">
        <f t="shared" ref="AX101:BA101" si="737">+AX24/AX$9</f>
        <v>0.33466943982049369</v>
      </c>
      <c r="AY101" s="417">
        <f t="shared" si="737"/>
        <v>0.34275385895275401</v>
      </c>
      <c r="AZ101" s="417">
        <f t="shared" si="737"/>
        <v>0.5591314438489976</v>
      </c>
      <c r="BA101" s="420">
        <f t="shared" si="737"/>
        <v>0.29811724568533998</v>
      </c>
      <c r="BB101" s="304"/>
      <c r="BC101" s="464"/>
      <c r="BD101" s="464">
        <f t="shared" ref="BD101:BM101" si="738">+BD24/BD$9</f>
        <v>0.33127396676608434</v>
      </c>
      <c r="BE101" s="464">
        <f t="shared" si="738"/>
        <v>0.33513617925439443</v>
      </c>
      <c r="BF101" s="464">
        <f t="shared" si="738"/>
        <v>0.33925311203319503</v>
      </c>
      <c r="BG101" s="464">
        <f t="shared" si="738"/>
        <v>0.33637971698113206</v>
      </c>
      <c r="BH101" s="464">
        <f t="shared" si="738"/>
        <v>0.34744107305638755</v>
      </c>
      <c r="BI101" s="464">
        <f t="shared" si="738"/>
        <v>0.36177722412540225</v>
      </c>
      <c r="BJ101" s="1245">
        <f t="shared" si="738"/>
        <v>0.35392110639635382</v>
      </c>
      <c r="BK101" s="464">
        <f t="shared" si="738"/>
        <v>0.38300389755011138</v>
      </c>
      <c r="BL101" s="464">
        <f t="shared" si="738"/>
        <v>0.39312250537304266</v>
      </c>
      <c r="BM101" s="464">
        <f t="shared" si="738"/>
        <v>0.40210291540544846</v>
      </c>
      <c r="BN101" s="464">
        <f>+BN24/BN$9</f>
        <v>0.40717247889054353</v>
      </c>
      <c r="BO101" s="464">
        <f t="shared" ref="BO101" si="739">+BO24/BO$9</f>
        <v>0.41163062162864766</v>
      </c>
      <c r="BP101" s="464">
        <f t="shared" ref="BP101" si="740">+BP24/BP$9</f>
        <v>0.41564517502741527</v>
      </c>
      <c r="BQ101" s="304"/>
      <c r="BR101" s="1379"/>
      <c r="BS101" s="1379"/>
      <c r="BT101" s="1379"/>
    </row>
    <row r="102" spans="1:72" s="570" customFormat="1" ht="12" customHeight="1">
      <c r="A102" s="544" t="s">
        <v>41</v>
      </c>
      <c r="B102" s="423">
        <f t="shared" ref="B102:W102" si="741">+B33/B$9</f>
        <v>3.3660589060308554E-2</v>
      </c>
      <c r="C102" s="423">
        <f t="shared" si="741"/>
        <v>7.2589382448537382E-2</v>
      </c>
      <c r="D102" s="423">
        <f t="shared" si="741"/>
        <v>0.38758680555555558</v>
      </c>
      <c r="E102" s="424">
        <f t="shared" si="741"/>
        <v>2.6525198938992044E-2</v>
      </c>
      <c r="F102" s="425">
        <f t="shared" si="741"/>
        <v>1.9280205655526992E-2</v>
      </c>
      <c r="G102" s="423">
        <f t="shared" si="741"/>
        <v>6.5944881889763773E-2</v>
      </c>
      <c r="H102" s="423">
        <f t="shared" si="741"/>
        <v>0.39944903581267216</v>
      </c>
      <c r="I102" s="424">
        <f t="shared" si="741"/>
        <v>6.2945368171021379E-2</v>
      </c>
      <c r="J102" s="425">
        <f t="shared" si="741"/>
        <v>4.8351648351648353E-2</v>
      </c>
      <c r="K102" s="423">
        <f t="shared" si="741"/>
        <v>0.16355489171023152</v>
      </c>
      <c r="L102" s="423">
        <f t="shared" si="741"/>
        <v>0.42960164835164832</v>
      </c>
      <c r="M102" s="424">
        <f t="shared" si="741"/>
        <v>-3.472222222222222E-3</v>
      </c>
      <c r="N102" s="425">
        <f t="shared" si="741"/>
        <v>7.4803149606299218E-2</v>
      </c>
      <c r="O102" s="423">
        <f t="shared" si="741"/>
        <v>0.17576564580559254</v>
      </c>
      <c r="P102" s="423">
        <f t="shared" si="741"/>
        <v>0.44773838630806845</v>
      </c>
      <c r="Q102" s="424">
        <f t="shared" si="741"/>
        <v>-2.3138832997987926E-2</v>
      </c>
      <c r="R102" s="425">
        <f t="shared" si="741"/>
        <v>9.3562231759656653E-2</v>
      </c>
      <c r="S102" s="423">
        <f t="shared" si="741"/>
        <v>0.18042452830188679</v>
      </c>
      <c r="T102" s="423">
        <f t="shared" si="741"/>
        <v>0.39407061958694206</v>
      </c>
      <c r="U102" s="433">
        <f t="shared" si="741"/>
        <v>0.26266519823788548</v>
      </c>
      <c r="V102" s="425">
        <f t="shared" si="741"/>
        <v>0.1889644746787604</v>
      </c>
      <c r="W102" s="430">
        <f t="shared" si="741"/>
        <v>0.11738578680203046</v>
      </c>
      <c r="X102" s="423">
        <f t="shared" ref="X102:Y102" si="742">+X33/X$9</f>
        <v>0.40210879463215909</v>
      </c>
      <c r="Y102" s="433">
        <f t="shared" si="742"/>
        <v>0.21241702459976572</v>
      </c>
      <c r="Z102" s="1268">
        <f t="shared" ref="Z102:AC102" si="743">+Z33/Z$9</f>
        <v>0.21076233183856502</v>
      </c>
      <c r="AA102" s="430">
        <f t="shared" si="743"/>
        <v>0.16685372240927795</v>
      </c>
      <c r="AB102" s="423">
        <f t="shared" si="743"/>
        <v>0.38796164772727265</v>
      </c>
      <c r="AC102" s="433">
        <f t="shared" si="743"/>
        <v>0.12883181441590721</v>
      </c>
      <c r="AD102" s="1268">
        <f t="shared" ref="AD102:AG102" si="744">+AD33/AD$9</f>
        <v>0.18097805159799768</v>
      </c>
      <c r="AE102" s="430">
        <f t="shared" si="744"/>
        <v>0.20388030253206182</v>
      </c>
      <c r="AF102" s="423">
        <f t="shared" si="744"/>
        <v>0.41924227318045865</v>
      </c>
      <c r="AG102" s="433">
        <f t="shared" si="744"/>
        <v>0.1721976401179941</v>
      </c>
      <c r="AH102" s="1268">
        <f t="shared" ref="AH102:AK102" si="745">+AH33/AH$9</f>
        <v>0.23438549361987912</v>
      </c>
      <c r="AI102" s="430">
        <f t="shared" si="745"/>
        <v>0.22031896042528057</v>
      </c>
      <c r="AJ102" s="423">
        <f t="shared" si="745"/>
        <v>0.41620899510167725</v>
      </c>
      <c r="AK102" s="433">
        <f t="shared" si="745"/>
        <v>0.17682160804020111</v>
      </c>
      <c r="AL102" s="1268">
        <f t="shared" ref="AL102:AO102" si="746">+AL33/AL$9</f>
        <v>0.21596101127017972</v>
      </c>
      <c r="AM102" s="430">
        <f t="shared" si="746"/>
        <v>0.23668937673479687</v>
      </c>
      <c r="AN102" s="423">
        <f t="shared" si="746"/>
        <v>0.42300748001031724</v>
      </c>
      <c r="AO102" s="433">
        <f t="shared" si="746"/>
        <v>0.20255807883059254</v>
      </c>
      <c r="AP102" s="1268">
        <f t="shared" ref="AP102:AQ102" si="747">+AP33/AP$9</f>
        <v>0.2416988416988417</v>
      </c>
      <c r="AQ102" s="430">
        <f t="shared" si="747"/>
        <v>0.24940872930552568</v>
      </c>
      <c r="AR102" s="423">
        <f t="shared" ref="AR102:AS102" si="748">+AR33/AR$9</f>
        <v>0.41156100350938957</v>
      </c>
      <c r="AS102" s="426">
        <f t="shared" si="748"/>
        <v>0.21184113224353998</v>
      </c>
      <c r="AT102" s="425">
        <f t="shared" ref="AT102:AW102" si="749">+AT33/AT$9</f>
        <v>0.24772360276550204</v>
      </c>
      <c r="AU102" s="423">
        <f t="shared" si="749"/>
        <v>0.25515379134367189</v>
      </c>
      <c r="AV102" s="423">
        <f t="shared" si="749"/>
        <v>0.41603126414805042</v>
      </c>
      <c r="AW102" s="426">
        <f t="shared" si="749"/>
        <v>0.21262320145236296</v>
      </c>
      <c r="AX102" s="425">
        <f t="shared" ref="AX102:BA102" si="750">+AX33/AX$9</f>
        <v>0.25186785236706388</v>
      </c>
      <c r="AY102" s="423">
        <f t="shared" si="750"/>
        <v>0.25849138959764167</v>
      </c>
      <c r="AZ102" s="423">
        <f t="shared" si="750"/>
        <v>0.42068936105749277</v>
      </c>
      <c r="BA102" s="426">
        <f t="shared" si="750"/>
        <v>0.21949570291140152</v>
      </c>
      <c r="BB102" s="569"/>
      <c r="BC102" s="545"/>
      <c r="BD102" s="545">
        <f t="shared" ref="BD102:BM102" si="751">+BD33/BD$9</f>
        <v>0.21389007243289304</v>
      </c>
      <c r="BE102" s="545">
        <f t="shared" si="751"/>
        <v>0.22213637241645739</v>
      </c>
      <c r="BF102" s="545">
        <f t="shared" si="751"/>
        <v>0.2507883817427386</v>
      </c>
      <c r="BG102" s="546">
        <f t="shared" si="751"/>
        <v>0.26267688679245282</v>
      </c>
      <c r="BH102" s="431">
        <f t="shared" si="751"/>
        <v>0.27021747623388465</v>
      </c>
      <c r="BI102" s="546">
        <f t="shared" si="751"/>
        <v>0.27582269282674143</v>
      </c>
      <c r="BJ102" s="546">
        <f t="shared" si="751"/>
        <v>0.26441929907276435</v>
      </c>
      <c r="BK102" s="546">
        <f t="shared" si="751"/>
        <v>0.28396436525612473</v>
      </c>
      <c r="BL102" s="546">
        <f t="shared" si="751"/>
        <v>0.29542523794903286</v>
      </c>
      <c r="BM102" s="546">
        <f t="shared" si="751"/>
        <v>0.30285168073920665</v>
      </c>
      <c r="BN102" s="546">
        <f t="shared" ref="BN102:BO102" si="752">+BN33/BN$9</f>
        <v>0.30518332182467706</v>
      </c>
      <c r="BO102" s="546">
        <f t="shared" si="752"/>
        <v>0.30825343011551121</v>
      </c>
      <c r="BP102" s="546">
        <f t="shared" ref="BP102" si="753">+BP33/BP$9</f>
        <v>0.31191458883857964</v>
      </c>
      <c r="BQ102" s="569"/>
      <c r="BR102" s="1440"/>
      <c r="BS102" s="1440"/>
      <c r="BT102" s="1440"/>
    </row>
    <row r="103" spans="1:72" ht="12" customHeight="1">
      <c r="A103" s="644" t="s">
        <v>324</v>
      </c>
      <c r="B103" s="465"/>
      <c r="C103" s="465"/>
      <c r="D103" s="465"/>
      <c r="E103" s="465"/>
      <c r="F103" s="465"/>
      <c r="G103" s="465"/>
      <c r="H103" s="465"/>
      <c r="I103" s="465"/>
      <c r="J103" s="465"/>
      <c r="K103" s="465"/>
      <c r="L103" s="465"/>
      <c r="M103" s="465"/>
      <c r="N103" s="466"/>
      <c r="O103" s="466"/>
      <c r="P103" s="466"/>
      <c r="Q103" s="466"/>
      <c r="R103" s="466"/>
      <c r="S103" s="466"/>
      <c r="T103" s="465"/>
      <c r="U103" s="466"/>
      <c r="V103" s="466"/>
      <c r="W103" s="466"/>
      <c r="X103" s="466"/>
      <c r="Y103" s="466"/>
      <c r="Z103" s="466"/>
      <c r="AA103" s="466"/>
      <c r="AB103" s="466"/>
      <c r="AC103" s="466"/>
      <c r="AD103" s="466"/>
      <c r="AE103" s="466"/>
      <c r="AF103" s="466"/>
      <c r="AG103" s="466"/>
      <c r="AH103" s="466"/>
      <c r="AI103" s="466"/>
      <c r="AJ103" s="466"/>
      <c r="AK103" s="466"/>
      <c r="AL103" s="466"/>
      <c r="AM103" s="466"/>
      <c r="AN103" s="466"/>
      <c r="AO103" s="466"/>
      <c r="AP103" s="466"/>
      <c r="AQ103" s="466"/>
      <c r="AR103" s="466"/>
      <c r="AS103" s="466"/>
      <c r="AT103" s="466"/>
      <c r="AU103" s="466"/>
      <c r="AV103" s="466"/>
      <c r="AW103" s="466"/>
      <c r="AX103" s="466"/>
      <c r="AY103" s="466"/>
      <c r="AZ103" s="466"/>
      <c r="BA103" s="466"/>
      <c r="BB103" s="427"/>
      <c r="BC103" s="427"/>
      <c r="BD103" s="427"/>
      <c r="BE103" s="427"/>
      <c r="BF103" s="427"/>
      <c r="BG103" s="427"/>
      <c r="BH103" s="427"/>
      <c r="BI103" s="427"/>
      <c r="BJ103" s="427"/>
      <c r="BK103" s="427"/>
      <c r="BL103" s="427"/>
      <c r="BM103" s="427"/>
      <c r="BN103" s="427"/>
      <c r="BO103" s="427"/>
      <c r="BP103" s="427"/>
      <c r="BQ103" s="427"/>
    </row>
    <row r="104" spans="1:72" ht="12" customHeight="1">
      <c r="A104" s="467"/>
      <c r="B104" s="279"/>
      <c r="C104" s="279"/>
      <c r="D104" s="279"/>
      <c r="E104" s="279"/>
      <c r="F104" s="279"/>
      <c r="G104" s="279"/>
      <c r="H104" s="279"/>
      <c r="I104" s="279"/>
      <c r="J104" s="279"/>
      <c r="K104" s="279"/>
      <c r="L104" s="279"/>
      <c r="M104" s="279"/>
      <c r="N104" s="276"/>
      <c r="O104" s="276"/>
      <c r="P104" s="276"/>
      <c r="Q104" s="276"/>
      <c r="R104" s="276"/>
      <c r="S104" s="276"/>
      <c r="T104" s="279"/>
      <c r="U104" s="276"/>
      <c r="V104" s="276"/>
      <c r="W104" s="276"/>
      <c r="X104" s="276"/>
      <c r="Y104" s="276"/>
      <c r="Z104" s="276"/>
      <c r="AA104" s="276"/>
      <c r="AB104" s="276"/>
      <c r="AC104" s="276"/>
      <c r="AD104" s="276"/>
      <c r="AE104" s="276"/>
      <c r="AF104" s="276"/>
      <c r="AG104" s="276"/>
      <c r="AH104" s="276"/>
      <c r="AI104" s="276"/>
      <c r="AJ104" s="276"/>
      <c r="AK104" s="276"/>
      <c r="AL104" s="276"/>
      <c r="AM104" s="276"/>
      <c r="AN104" s="276"/>
      <c r="AO104" s="276"/>
      <c r="AP104" s="276"/>
      <c r="AQ104" s="276"/>
      <c r="AR104" s="276"/>
      <c r="AS104" s="276"/>
      <c r="AT104" s="276"/>
      <c r="AU104" s="276"/>
      <c r="AV104" s="276"/>
      <c r="AW104" s="276"/>
      <c r="AX104" s="276"/>
      <c r="AY104" s="276"/>
      <c r="AZ104" s="276"/>
      <c r="BA104" s="276"/>
      <c r="BB104" s="276"/>
      <c r="BC104" s="276"/>
      <c r="BD104" s="276"/>
      <c r="BE104" s="276"/>
      <c r="BF104" s="276"/>
      <c r="BG104" s="276"/>
      <c r="BH104" s="276"/>
      <c r="BI104" s="276"/>
      <c r="BJ104" s="276"/>
      <c r="BK104" s="276"/>
      <c r="BL104" s="276"/>
      <c r="BM104" s="276"/>
      <c r="BN104" s="276"/>
      <c r="BO104" s="276"/>
      <c r="BP104" s="276"/>
      <c r="BQ104" s="276"/>
    </row>
    <row r="105" spans="1:72" ht="12" customHeight="1">
      <c r="A105" s="468" t="s">
        <v>296</v>
      </c>
      <c r="B105" s="167"/>
      <c r="C105" s="167"/>
      <c r="D105" s="167"/>
      <c r="E105" s="167"/>
      <c r="F105" s="167"/>
      <c r="G105" s="167"/>
      <c r="H105" s="167"/>
      <c r="I105" s="167"/>
      <c r="J105" s="167"/>
      <c r="K105" s="167"/>
      <c r="L105" s="167"/>
      <c r="M105" s="167"/>
      <c r="N105" s="167"/>
      <c r="O105" s="167"/>
      <c r="P105" s="167"/>
      <c r="Q105" s="167"/>
      <c r="R105" s="167"/>
      <c r="S105" s="167"/>
      <c r="U105" s="276"/>
      <c r="V105" s="276"/>
      <c r="W105" s="276"/>
      <c r="X105" s="276"/>
      <c r="Y105" s="276"/>
      <c r="Z105" s="276"/>
      <c r="AA105" s="276"/>
      <c r="AB105" s="276"/>
      <c r="AC105" s="276"/>
      <c r="AD105" s="276"/>
      <c r="AE105" s="276"/>
      <c r="AF105" s="276"/>
      <c r="AG105" s="276"/>
      <c r="AH105" s="276"/>
      <c r="AI105" s="276"/>
      <c r="AJ105" s="276"/>
      <c r="AK105" s="276"/>
      <c r="AL105" s="276"/>
      <c r="AM105" s="276"/>
      <c r="AN105" s="276"/>
      <c r="AO105" s="276"/>
      <c r="AP105" s="276"/>
      <c r="AQ105" s="276"/>
      <c r="AR105" s="276"/>
      <c r="AS105" s="276"/>
      <c r="AT105" s="276"/>
      <c r="AU105" s="276"/>
      <c r="AV105" s="276"/>
      <c r="AW105" s="276"/>
      <c r="AX105" s="276"/>
      <c r="AY105" s="276"/>
      <c r="AZ105" s="276"/>
      <c r="BA105" s="276"/>
      <c r="BB105" s="276"/>
      <c r="BC105" s="276"/>
      <c r="BD105" s="276"/>
      <c r="BE105" s="276"/>
      <c r="BF105" s="276"/>
      <c r="BG105" s="276"/>
      <c r="BH105" s="276"/>
      <c r="BI105" s="276"/>
      <c r="BJ105" s="276"/>
      <c r="BK105" s="276"/>
      <c r="BL105" s="276"/>
      <c r="BM105" s="276"/>
      <c r="BN105" s="276"/>
      <c r="BO105" s="276"/>
      <c r="BP105" s="276"/>
      <c r="BQ105" s="276"/>
    </row>
    <row r="106" spans="1:72" ht="12" customHeight="1">
      <c r="A106" s="469" t="s">
        <v>16</v>
      </c>
      <c r="B106" s="470"/>
      <c r="C106" s="471"/>
      <c r="D106" s="471"/>
      <c r="E106" s="547"/>
      <c r="F106" s="471"/>
      <c r="G106" s="471"/>
      <c r="H106" s="471"/>
      <c r="I106" s="547"/>
      <c r="J106" s="471"/>
      <c r="K106" s="471"/>
      <c r="L106" s="471"/>
      <c r="M106" s="547"/>
      <c r="N106" s="470"/>
      <c r="O106" s="471"/>
      <c r="P106" s="471"/>
      <c r="Q106" s="547"/>
      <c r="R106" s="471"/>
      <c r="S106" s="471"/>
      <c r="T106" s="471"/>
      <c r="U106" s="547"/>
      <c r="V106" s="471"/>
      <c r="W106" s="471"/>
      <c r="X106" s="471"/>
      <c r="Y106" s="547"/>
      <c r="Z106" s="471"/>
      <c r="AA106" s="471"/>
      <c r="AB106" s="471"/>
      <c r="AC106" s="547"/>
      <c r="AD106" s="471"/>
      <c r="AE106" s="471"/>
      <c r="AF106" s="471"/>
      <c r="AG106" s="547"/>
      <c r="AH106" s="471"/>
      <c r="AI106" s="471"/>
      <c r="AJ106" s="471"/>
      <c r="AK106" s="547"/>
      <c r="AL106" s="471"/>
      <c r="AM106" s="471"/>
      <c r="AN106" s="471"/>
      <c r="AO106" s="547"/>
      <c r="AP106" s="471"/>
      <c r="AQ106" s="471"/>
      <c r="AR106" s="471"/>
      <c r="AS106" s="547"/>
      <c r="AT106" s="471"/>
      <c r="AU106" s="471"/>
      <c r="AV106" s="471"/>
      <c r="AW106" s="547"/>
      <c r="AX106" s="471"/>
      <c r="AY106" s="471"/>
      <c r="AZ106" s="471"/>
      <c r="BA106" s="547"/>
      <c r="BC106" s="472"/>
      <c r="BD106" s="472"/>
      <c r="BE106" s="472"/>
      <c r="BF106" s="472"/>
      <c r="BG106" s="472"/>
      <c r="BH106" s="472"/>
      <c r="BI106" s="472"/>
      <c r="BJ106" s="472"/>
      <c r="BK106" s="472"/>
      <c r="BL106" s="472"/>
      <c r="BM106" s="472"/>
      <c r="BN106" s="472"/>
      <c r="BO106" s="472"/>
      <c r="BP106" s="472"/>
    </row>
    <row r="107" spans="1:72" ht="12" customHeight="1">
      <c r="A107" s="195" t="s">
        <v>66</v>
      </c>
      <c r="B107" s="473">
        <f t="shared" ref="B107:AO107" si="754">+B7</f>
        <v>271</v>
      </c>
      <c r="C107" s="474">
        <f t="shared" si="754"/>
        <v>264</v>
      </c>
      <c r="D107" s="474">
        <f t="shared" si="754"/>
        <v>459</v>
      </c>
      <c r="E107" s="475">
        <f t="shared" si="754"/>
        <v>295</v>
      </c>
      <c r="F107" s="474">
        <f t="shared" si="754"/>
        <v>297</v>
      </c>
      <c r="G107" s="474">
        <f t="shared" si="754"/>
        <v>299</v>
      </c>
      <c r="H107" s="474">
        <f t="shared" si="754"/>
        <v>467</v>
      </c>
      <c r="I107" s="475">
        <f t="shared" si="754"/>
        <v>313</v>
      </c>
      <c r="J107" s="474">
        <f t="shared" si="754"/>
        <v>370</v>
      </c>
      <c r="K107" s="474">
        <f t="shared" si="754"/>
        <v>529</v>
      </c>
      <c r="L107" s="474">
        <f t="shared" si="754"/>
        <v>479</v>
      </c>
      <c r="M107" s="475">
        <f t="shared" si="754"/>
        <v>246</v>
      </c>
      <c r="N107" s="473">
        <f t="shared" si="754"/>
        <v>347</v>
      </c>
      <c r="O107" s="474">
        <f t="shared" si="754"/>
        <v>533</v>
      </c>
      <c r="P107" s="474">
        <f t="shared" si="754"/>
        <v>498</v>
      </c>
      <c r="Q107" s="475">
        <f t="shared" si="754"/>
        <v>245</v>
      </c>
      <c r="R107" s="474">
        <f t="shared" si="754"/>
        <v>353</v>
      </c>
      <c r="S107" s="474">
        <f t="shared" si="754"/>
        <v>545</v>
      </c>
      <c r="T107" s="474">
        <f t="shared" si="754"/>
        <v>443</v>
      </c>
      <c r="U107" s="475">
        <f t="shared" si="754"/>
        <v>294</v>
      </c>
      <c r="V107" s="474">
        <f t="shared" si="754"/>
        <v>367</v>
      </c>
      <c r="W107" s="474">
        <f t="shared" si="754"/>
        <v>495</v>
      </c>
      <c r="X107" s="474">
        <f t="shared" si="754"/>
        <v>533</v>
      </c>
      <c r="Y107" s="475">
        <f t="shared" si="754"/>
        <v>314</v>
      </c>
      <c r="Z107" s="474">
        <v>397</v>
      </c>
      <c r="AA107" s="1306">
        <f t="shared" si="754"/>
        <v>658.54465730956417</v>
      </c>
      <c r="AB107" s="474">
        <f t="shared" si="754"/>
        <v>674.48676827992699</v>
      </c>
      <c r="AC107" s="475">
        <f t="shared" si="754"/>
        <v>362.8955446020928</v>
      </c>
      <c r="AD107" s="474">
        <f t="shared" si="754"/>
        <v>543.97995714384456</v>
      </c>
      <c r="AE107" s="474">
        <f t="shared" si="754"/>
        <v>701.47606011445691</v>
      </c>
      <c r="AF107" s="474">
        <f t="shared" si="754"/>
        <v>721.72771564711684</v>
      </c>
      <c r="AG107" s="475">
        <f t="shared" si="754"/>
        <v>413.15075663121019</v>
      </c>
      <c r="AH107" s="474">
        <f t="shared" si="754"/>
        <v>536.8730434782608</v>
      </c>
      <c r="AI107" s="474">
        <f t="shared" si="754"/>
        <v>693.06</v>
      </c>
      <c r="AJ107" s="474">
        <f t="shared" si="754"/>
        <v>788.34115017082627</v>
      </c>
      <c r="AK107" s="475">
        <f t="shared" si="754"/>
        <v>465.75060059051776</v>
      </c>
      <c r="AL107" s="474">
        <f t="shared" si="754"/>
        <v>394.15</v>
      </c>
      <c r="AM107" s="474">
        <f t="shared" si="754"/>
        <v>714.01749999999993</v>
      </c>
      <c r="AN107" s="474">
        <f t="shared" si="754"/>
        <v>782.79960000000005</v>
      </c>
      <c r="AO107" s="475">
        <f t="shared" si="754"/>
        <v>540.03899999999999</v>
      </c>
      <c r="AP107" s="474">
        <f t="shared" ref="AP107:AQ107" si="755">+AP7</f>
        <v>387.77</v>
      </c>
      <c r="AQ107" s="474">
        <f t="shared" si="755"/>
        <v>778.71</v>
      </c>
      <c r="AR107" s="474">
        <f t="shared" ref="AR107:AS107" si="756">+AR7</f>
        <v>829.88966593021132</v>
      </c>
      <c r="AS107" s="475">
        <f t="shared" si="756"/>
        <v>570.54144427001768</v>
      </c>
      <c r="AT107" s="474">
        <f t="shared" ref="AT107:AW107" si="757">+AT7</f>
        <v>414.46111267724746</v>
      </c>
      <c r="AU107" s="474">
        <f t="shared" si="757"/>
        <v>832.26616481593214</v>
      </c>
      <c r="AV107" s="474">
        <f t="shared" si="757"/>
        <v>878.6113665855263</v>
      </c>
      <c r="AW107" s="475">
        <f t="shared" si="757"/>
        <v>604.8570505287322</v>
      </c>
      <c r="AX107" s="474">
        <f t="shared" ref="AX107:BA107" si="758">+AX7</f>
        <v>433.93777180518026</v>
      </c>
      <c r="AY107" s="474">
        <f t="shared" si="758"/>
        <v>882.88464954112123</v>
      </c>
      <c r="AZ107" s="474">
        <f t="shared" si="758"/>
        <v>930.40244204660348</v>
      </c>
      <c r="BA107" s="475">
        <f t="shared" si="758"/>
        <v>644.78225739012839</v>
      </c>
      <c r="BC107" s="368"/>
      <c r="BD107" s="368">
        <f t="shared" ref="BD107:BD109" si="759">+SUM(B107:E107)</f>
        <v>1289</v>
      </c>
      <c r="BE107" s="368">
        <f t="shared" ref="BE107:BE109" si="760">+SUM(F107:I107)</f>
        <v>1376</v>
      </c>
      <c r="BF107" s="368">
        <f t="shared" ref="BF107:BF109" si="761">+SUM(J107:M107)</f>
        <v>1624</v>
      </c>
      <c r="BG107" s="368">
        <f t="shared" ref="BG107:BG109" si="762">SUM(N107:Q107)</f>
        <v>1623</v>
      </c>
      <c r="BH107" s="368">
        <f t="shared" ref="BH107:BH109" si="763">+SUM(R107:U107)</f>
        <v>1635</v>
      </c>
      <c r="BI107" s="368">
        <f t="shared" ref="BI107:BI109" si="764">SUM(V107:Y107)</f>
        <v>1709</v>
      </c>
      <c r="BJ107" s="368">
        <f t="shared" ref="BJ107:BJ109" si="765">+SUM(Z107:AC107)</f>
        <v>2092.9269701915841</v>
      </c>
      <c r="BK107" s="368">
        <f t="shared" ref="BK107:BK109" si="766">+SUM(AD107:AG107)</f>
        <v>2380.3344895366286</v>
      </c>
      <c r="BL107" s="368">
        <f t="shared" ref="BL107:BL109" si="767">+SUM(AH107:AK107)</f>
        <v>2484.0247942396049</v>
      </c>
      <c r="BM107" s="368">
        <f t="shared" ref="BM107:BM109" si="768">+SUM(AL107:AO107)</f>
        <v>2431.0061000000001</v>
      </c>
      <c r="BN107" s="368">
        <f>+SUM(AP107:AS107)</f>
        <v>2566.9111102002289</v>
      </c>
      <c r="BO107" s="368">
        <f>+SUM(AT107:AW107)</f>
        <v>2730.1956946074379</v>
      </c>
      <c r="BP107" s="368">
        <f>+SUM(AX107:BA107)</f>
        <v>2892.0071207830333</v>
      </c>
    </row>
    <row r="108" spans="1:72" ht="12" customHeight="1">
      <c r="A108" s="195" t="s">
        <v>269</v>
      </c>
      <c r="B108" s="473">
        <f t="shared" ref="B108:AO108" si="769">+B8</f>
        <v>442</v>
      </c>
      <c r="C108" s="474">
        <f t="shared" si="769"/>
        <v>659</v>
      </c>
      <c r="D108" s="474">
        <f t="shared" si="769"/>
        <v>1845</v>
      </c>
      <c r="E108" s="475">
        <f t="shared" si="769"/>
        <v>459</v>
      </c>
      <c r="F108" s="474">
        <f t="shared" si="769"/>
        <v>481</v>
      </c>
      <c r="G108" s="474">
        <f t="shared" si="769"/>
        <v>717</v>
      </c>
      <c r="H108" s="474">
        <f t="shared" si="769"/>
        <v>2074</v>
      </c>
      <c r="I108" s="475">
        <f t="shared" si="769"/>
        <v>529</v>
      </c>
      <c r="J108" s="474">
        <f t="shared" si="769"/>
        <v>540</v>
      </c>
      <c r="K108" s="474">
        <f t="shared" si="769"/>
        <v>810</v>
      </c>
      <c r="L108" s="474">
        <f t="shared" si="769"/>
        <v>2433</v>
      </c>
      <c r="M108" s="475">
        <f t="shared" si="769"/>
        <v>618</v>
      </c>
      <c r="N108" s="473">
        <f t="shared" si="769"/>
        <v>669</v>
      </c>
      <c r="O108" s="474">
        <f t="shared" si="769"/>
        <v>969</v>
      </c>
      <c r="P108" s="474">
        <f t="shared" si="769"/>
        <v>2774</v>
      </c>
      <c r="Q108" s="475">
        <f t="shared" si="769"/>
        <v>749</v>
      </c>
      <c r="R108" s="474">
        <f t="shared" si="769"/>
        <v>812</v>
      </c>
      <c r="S108" s="474">
        <f t="shared" si="769"/>
        <v>1151</v>
      </c>
      <c r="T108" s="474">
        <f t="shared" si="769"/>
        <v>2559</v>
      </c>
      <c r="U108" s="475">
        <f t="shared" si="769"/>
        <v>1522</v>
      </c>
      <c r="V108" s="474">
        <f t="shared" si="769"/>
        <v>956</v>
      </c>
      <c r="W108" s="474">
        <f t="shared" si="769"/>
        <v>1081</v>
      </c>
      <c r="X108" s="474">
        <f t="shared" si="769"/>
        <v>3640</v>
      </c>
      <c r="Y108" s="475">
        <f t="shared" si="769"/>
        <v>2247</v>
      </c>
      <c r="Z108" s="474">
        <v>1610</v>
      </c>
      <c r="AA108" s="1306">
        <f t="shared" si="769"/>
        <v>2014.4553426904358</v>
      </c>
      <c r="AB108" s="474">
        <f t="shared" si="769"/>
        <v>4957.5132317200723</v>
      </c>
      <c r="AC108" s="475">
        <f t="shared" si="769"/>
        <v>2051.1044553979073</v>
      </c>
      <c r="AD108" s="474">
        <f t="shared" si="769"/>
        <v>2053.0200428561557</v>
      </c>
      <c r="AE108" s="474">
        <f t="shared" si="769"/>
        <v>2339.5239398855429</v>
      </c>
      <c r="AF108" s="474">
        <f t="shared" si="769"/>
        <v>5296.2722843528827</v>
      </c>
      <c r="AG108" s="475">
        <f t="shared" si="769"/>
        <v>2298.8492433687898</v>
      </c>
      <c r="AH108" s="474">
        <f t="shared" si="769"/>
        <v>2441.126956521739</v>
      </c>
      <c r="AI108" s="474">
        <f t="shared" si="769"/>
        <v>2692.94</v>
      </c>
      <c r="AJ108" s="474">
        <f t="shared" si="769"/>
        <v>5948.6588498291731</v>
      </c>
      <c r="AK108" s="475">
        <f t="shared" si="769"/>
        <v>2718.2493994094825</v>
      </c>
      <c r="AL108" s="474">
        <f t="shared" si="769"/>
        <v>2888.85</v>
      </c>
      <c r="AM108" s="474">
        <f t="shared" si="769"/>
        <v>3248.9825000000001</v>
      </c>
      <c r="AN108" s="474">
        <f t="shared" si="769"/>
        <v>6971.2003999999997</v>
      </c>
      <c r="AO108" s="475">
        <f t="shared" si="769"/>
        <v>3290.9610000000002</v>
      </c>
      <c r="AP108" s="474">
        <f t="shared" ref="AP108:AQ108" si="770">+AP8</f>
        <v>3497.23</v>
      </c>
      <c r="AQ108" s="474">
        <f t="shared" si="770"/>
        <v>3872.2900000000004</v>
      </c>
      <c r="AR108" s="474">
        <f t="shared" ref="AR108:AS108" si="771">+AR8</f>
        <v>7658.6803340697879</v>
      </c>
      <c r="AS108" s="475">
        <f t="shared" si="771"/>
        <v>3682.0860557299816</v>
      </c>
      <c r="AT108" s="474">
        <f t="shared" ref="AT108:AW108" si="772">+AT8</f>
        <v>4002.8388873227527</v>
      </c>
      <c r="AU108" s="474">
        <f t="shared" si="772"/>
        <v>4469.0289456845585</v>
      </c>
      <c r="AV108" s="474">
        <f t="shared" si="772"/>
        <v>8424.6563715973025</v>
      </c>
      <c r="AW108" s="475">
        <f t="shared" si="772"/>
        <v>4140.6171666351484</v>
      </c>
      <c r="AX108" s="474">
        <f t="shared" ref="AX108:BA108" si="773">+AX8</f>
        <v>4544.4935757028607</v>
      </c>
      <c r="AY108" s="474">
        <f t="shared" si="773"/>
        <v>5140.1596577196688</v>
      </c>
      <c r="AZ108" s="474">
        <f t="shared" si="773"/>
        <v>9306.9618849335457</v>
      </c>
      <c r="BA108" s="475">
        <f t="shared" si="773"/>
        <v>4688.0900945716312</v>
      </c>
      <c r="BC108" s="368"/>
      <c r="BD108" s="368">
        <f t="shared" si="759"/>
        <v>3405</v>
      </c>
      <c r="BE108" s="368">
        <f t="shared" si="760"/>
        <v>3801</v>
      </c>
      <c r="BF108" s="368">
        <f t="shared" si="761"/>
        <v>4401</v>
      </c>
      <c r="BG108" s="368">
        <f t="shared" si="762"/>
        <v>5161</v>
      </c>
      <c r="BH108" s="368">
        <f t="shared" si="763"/>
        <v>6044</v>
      </c>
      <c r="BI108" s="368">
        <f t="shared" si="764"/>
        <v>7924</v>
      </c>
      <c r="BJ108" s="368">
        <f t="shared" si="765"/>
        <v>10633.073029808416</v>
      </c>
      <c r="BK108" s="368">
        <f t="shared" si="766"/>
        <v>11987.665510463372</v>
      </c>
      <c r="BL108" s="368">
        <f t="shared" si="767"/>
        <v>13800.975205760395</v>
      </c>
      <c r="BM108" s="368">
        <f t="shared" si="768"/>
        <v>16399.993900000001</v>
      </c>
      <c r="BN108" s="368">
        <f>+SUM(AP108:AS108)</f>
        <v>18710.28638979977</v>
      </c>
      <c r="BO108" s="368">
        <f>+SUM(AT108:AW108)</f>
        <v>21037.141371239759</v>
      </c>
      <c r="BP108" s="368">
        <f>+SUM(AX108:BA108)</f>
        <v>23679.705212927707</v>
      </c>
    </row>
    <row r="109" spans="1:72" s="288" customFormat="1" ht="12" customHeight="1">
      <c r="A109" s="442" t="s">
        <v>31</v>
      </c>
      <c r="B109" s="476">
        <f t="shared" ref="B109:AO109" si="774">+B9</f>
        <v>713</v>
      </c>
      <c r="C109" s="311">
        <f t="shared" si="774"/>
        <v>923</v>
      </c>
      <c r="D109" s="311">
        <f t="shared" si="774"/>
        <v>2304</v>
      </c>
      <c r="E109" s="312">
        <f t="shared" si="774"/>
        <v>754</v>
      </c>
      <c r="F109" s="476">
        <f t="shared" si="774"/>
        <v>778</v>
      </c>
      <c r="G109" s="311">
        <f t="shared" si="774"/>
        <v>1016</v>
      </c>
      <c r="H109" s="311">
        <f t="shared" si="774"/>
        <v>2541</v>
      </c>
      <c r="I109" s="312">
        <f t="shared" si="774"/>
        <v>842</v>
      </c>
      <c r="J109" s="476">
        <f t="shared" si="774"/>
        <v>910</v>
      </c>
      <c r="K109" s="311">
        <f t="shared" si="774"/>
        <v>1339</v>
      </c>
      <c r="L109" s="311">
        <f t="shared" si="774"/>
        <v>2912</v>
      </c>
      <c r="M109" s="312">
        <f t="shared" si="774"/>
        <v>864</v>
      </c>
      <c r="N109" s="476">
        <f t="shared" si="774"/>
        <v>1016</v>
      </c>
      <c r="O109" s="311">
        <f t="shared" si="774"/>
        <v>1502</v>
      </c>
      <c r="P109" s="311">
        <f t="shared" si="774"/>
        <v>3272</v>
      </c>
      <c r="Q109" s="312">
        <f t="shared" si="774"/>
        <v>994</v>
      </c>
      <c r="R109" s="476">
        <f t="shared" si="774"/>
        <v>1165</v>
      </c>
      <c r="S109" s="311">
        <f t="shared" si="774"/>
        <v>1696</v>
      </c>
      <c r="T109" s="311">
        <f t="shared" si="774"/>
        <v>3002</v>
      </c>
      <c r="U109" s="312">
        <f t="shared" si="774"/>
        <v>1816</v>
      </c>
      <c r="V109" s="311">
        <f t="shared" si="774"/>
        <v>1323</v>
      </c>
      <c r="W109" s="311">
        <f t="shared" si="774"/>
        <v>1576</v>
      </c>
      <c r="X109" s="311">
        <f t="shared" si="774"/>
        <v>4173</v>
      </c>
      <c r="Y109" s="312">
        <f t="shared" si="774"/>
        <v>2561</v>
      </c>
      <c r="Z109" s="476">
        <v>2007</v>
      </c>
      <c r="AA109" s="311">
        <f t="shared" si="774"/>
        <v>2673</v>
      </c>
      <c r="AB109" s="311">
        <f t="shared" si="774"/>
        <v>5631.9999999999991</v>
      </c>
      <c r="AC109" s="312">
        <f t="shared" si="774"/>
        <v>2414</v>
      </c>
      <c r="AD109" s="476">
        <f t="shared" si="774"/>
        <v>2597</v>
      </c>
      <c r="AE109" s="311">
        <f t="shared" si="774"/>
        <v>3041</v>
      </c>
      <c r="AF109" s="311">
        <f t="shared" si="774"/>
        <v>6018</v>
      </c>
      <c r="AG109" s="312">
        <f t="shared" si="774"/>
        <v>2712</v>
      </c>
      <c r="AH109" s="476">
        <f t="shared" si="774"/>
        <v>2978</v>
      </c>
      <c r="AI109" s="311">
        <f t="shared" si="774"/>
        <v>3386</v>
      </c>
      <c r="AJ109" s="311">
        <f t="shared" si="774"/>
        <v>6736.9999999999991</v>
      </c>
      <c r="AK109" s="312">
        <f t="shared" si="774"/>
        <v>3184.0000000000005</v>
      </c>
      <c r="AL109" s="476">
        <f t="shared" si="774"/>
        <v>3283</v>
      </c>
      <c r="AM109" s="311">
        <f t="shared" si="774"/>
        <v>3963</v>
      </c>
      <c r="AN109" s="311">
        <f t="shared" si="774"/>
        <v>7754</v>
      </c>
      <c r="AO109" s="312">
        <f t="shared" si="774"/>
        <v>3831</v>
      </c>
      <c r="AP109" s="476">
        <f t="shared" ref="AP109:AQ109" si="775">+AP9</f>
        <v>3885</v>
      </c>
      <c r="AQ109" s="311">
        <f t="shared" si="775"/>
        <v>4651</v>
      </c>
      <c r="AR109" s="311">
        <f t="shared" ref="AR109:AS109" si="776">+AR9</f>
        <v>8488.57</v>
      </c>
      <c r="AS109" s="312">
        <f t="shared" si="776"/>
        <v>4252.6274999999996</v>
      </c>
      <c r="AT109" s="476">
        <f t="shared" ref="AT109:AW109" si="777">+AT9</f>
        <v>4417.3</v>
      </c>
      <c r="AU109" s="311">
        <f t="shared" si="777"/>
        <v>5301.2951105004904</v>
      </c>
      <c r="AV109" s="311">
        <f t="shared" si="777"/>
        <v>9303.2677381828289</v>
      </c>
      <c r="AW109" s="312">
        <f t="shared" si="777"/>
        <v>4745.4742171638809</v>
      </c>
      <c r="AX109" s="476">
        <f t="shared" ref="AX109:BA109" si="778">+AX9</f>
        <v>4978.4313475080407</v>
      </c>
      <c r="AY109" s="311">
        <f t="shared" si="778"/>
        <v>6023.0443072607904</v>
      </c>
      <c r="AZ109" s="311">
        <f t="shared" si="778"/>
        <v>10237.364326980149</v>
      </c>
      <c r="BA109" s="312">
        <f t="shared" si="778"/>
        <v>5332.8723519617597</v>
      </c>
      <c r="BC109" s="372"/>
      <c r="BD109" s="372">
        <f t="shared" si="759"/>
        <v>4694</v>
      </c>
      <c r="BE109" s="372">
        <f t="shared" si="760"/>
        <v>5177</v>
      </c>
      <c r="BF109" s="372">
        <f t="shared" si="761"/>
        <v>6025</v>
      </c>
      <c r="BG109" s="372">
        <f t="shared" si="762"/>
        <v>6784</v>
      </c>
      <c r="BH109" s="372">
        <f t="shared" si="763"/>
        <v>7679</v>
      </c>
      <c r="BI109" s="372">
        <f t="shared" si="764"/>
        <v>9633</v>
      </c>
      <c r="BJ109" s="372">
        <f t="shared" si="765"/>
        <v>12726</v>
      </c>
      <c r="BK109" s="372">
        <f t="shared" si="766"/>
        <v>14368</v>
      </c>
      <c r="BL109" s="372">
        <f t="shared" si="767"/>
        <v>16285</v>
      </c>
      <c r="BM109" s="372">
        <f t="shared" si="768"/>
        <v>18831</v>
      </c>
      <c r="BN109" s="372">
        <f>+SUM(AP109:AS109)</f>
        <v>21277.197499999998</v>
      </c>
      <c r="BO109" s="372">
        <f>+SUM(AT109:AW109)</f>
        <v>23767.337065847198</v>
      </c>
      <c r="BP109" s="372">
        <f>+SUM(AX109:BA109)</f>
        <v>26571.712333710737</v>
      </c>
      <c r="BR109" s="1378"/>
      <c r="BS109" s="1378"/>
      <c r="BT109" s="1378"/>
    </row>
    <row r="110" spans="1:72" ht="12" customHeight="1">
      <c r="A110" s="442"/>
      <c r="B110" s="477"/>
      <c r="C110" s="478"/>
      <c r="D110" s="478"/>
      <c r="E110" s="479"/>
      <c r="F110" s="477"/>
      <c r="G110" s="478"/>
      <c r="H110" s="478"/>
      <c r="I110" s="479"/>
      <c r="J110" s="477"/>
      <c r="K110" s="478"/>
      <c r="L110" s="478"/>
      <c r="M110" s="479"/>
      <c r="N110" s="477"/>
      <c r="O110" s="478"/>
      <c r="P110" s="478"/>
      <c r="Q110" s="479"/>
      <c r="R110" s="477"/>
      <c r="S110" s="478"/>
      <c r="T110" s="478"/>
      <c r="U110" s="479"/>
      <c r="V110" s="478"/>
      <c r="W110" s="478"/>
      <c r="X110" s="478"/>
      <c r="Y110" s="479"/>
      <c r="Z110" s="477"/>
      <c r="AA110" s="478"/>
      <c r="AB110" s="478"/>
      <c r="AC110" s="479"/>
      <c r="AD110" s="477"/>
      <c r="AE110" s="478"/>
      <c r="AF110" s="478"/>
      <c r="AG110" s="479"/>
      <c r="AH110" s="477"/>
      <c r="AI110" s="478"/>
      <c r="AJ110" s="478"/>
      <c r="AK110" s="479"/>
      <c r="AL110" s="477"/>
      <c r="AM110" s="478"/>
      <c r="AN110" s="478"/>
      <c r="AO110" s="479"/>
      <c r="AP110" s="477"/>
      <c r="AQ110" s="478"/>
      <c r="AR110" s="478"/>
      <c r="AS110" s="479"/>
      <c r="AT110" s="477"/>
      <c r="AU110" s="478"/>
      <c r="AV110" s="478"/>
      <c r="AW110" s="479"/>
      <c r="AX110" s="477"/>
      <c r="AY110" s="478"/>
      <c r="AZ110" s="478"/>
      <c r="BA110" s="479"/>
      <c r="BC110" s="480"/>
      <c r="BD110" s="480"/>
      <c r="BE110" s="480"/>
      <c r="BF110" s="480"/>
      <c r="BG110" s="480"/>
      <c r="BH110" s="480"/>
      <c r="BI110" s="480"/>
      <c r="BJ110" s="480"/>
      <c r="BK110" s="480"/>
      <c r="BL110" s="480"/>
      <c r="BM110" s="480"/>
      <c r="BN110" s="480"/>
      <c r="BO110" s="480"/>
      <c r="BP110" s="480"/>
    </row>
    <row r="111" spans="1:72" ht="12" customHeight="1">
      <c r="A111" s="437" t="s">
        <v>59</v>
      </c>
      <c r="B111" s="369"/>
      <c r="C111" s="307"/>
      <c r="D111" s="307"/>
      <c r="E111" s="308"/>
      <c r="F111" s="369"/>
      <c r="G111" s="307"/>
      <c r="H111" s="307"/>
      <c r="I111" s="308"/>
      <c r="J111" s="369"/>
      <c r="K111" s="307"/>
      <c r="L111" s="307"/>
      <c r="M111" s="308"/>
      <c r="N111" s="369"/>
      <c r="O111" s="307"/>
      <c r="P111" s="307"/>
      <c r="Q111" s="308"/>
      <c r="R111" s="369"/>
      <c r="S111" s="307"/>
      <c r="T111" s="307"/>
      <c r="U111" s="308"/>
      <c r="V111" s="307"/>
      <c r="W111" s="307"/>
      <c r="X111" s="508"/>
      <c r="Y111" s="308"/>
      <c r="Z111" s="369"/>
      <c r="AA111" s="307"/>
      <c r="AB111" s="307"/>
      <c r="AC111" s="308"/>
      <c r="AD111" s="369"/>
      <c r="AE111" s="307"/>
      <c r="AF111" s="307"/>
      <c r="AG111" s="308"/>
      <c r="AH111" s="369"/>
      <c r="AI111" s="307"/>
      <c r="AJ111" s="307"/>
      <c r="AK111" s="308"/>
      <c r="AL111" s="369"/>
      <c r="AM111" s="307"/>
      <c r="AN111" s="307"/>
      <c r="AO111" s="308"/>
      <c r="AP111" s="369"/>
      <c r="AQ111" s="307"/>
      <c r="AR111" s="307"/>
      <c r="AS111" s="308"/>
      <c r="AT111" s="369"/>
      <c r="AU111" s="307"/>
      <c r="AV111" s="307"/>
      <c r="AW111" s="308"/>
      <c r="AX111" s="369"/>
      <c r="AY111" s="307"/>
      <c r="AZ111" s="307"/>
      <c r="BA111" s="308"/>
      <c r="BC111" s="481"/>
      <c r="BD111" s="481"/>
      <c r="BE111" s="481"/>
      <c r="BF111" s="481"/>
      <c r="BG111" s="481"/>
      <c r="BH111" s="481"/>
      <c r="BI111" s="481"/>
      <c r="BJ111" s="481"/>
      <c r="BK111" s="481"/>
      <c r="BL111" s="481"/>
      <c r="BM111" s="481"/>
      <c r="BN111" s="481"/>
      <c r="BO111" s="481"/>
      <c r="BP111" s="481"/>
    </row>
    <row r="112" spans="1:72" ht="12" customHeight="1">
      <c r="A112" s="443" t="s">
        <v>53</v>
      </c>
      <c r="B112" s="2081">
        <v>29</v>
      </c>
      <c r="C112" s="2082">
        <v>40</v>
      </c>
      <c r="D112" s="2082">
        <v>30</v>
      </c>
      <c r="E112" s="2083">
        <v>32</v>
      </c>
      <c r="F112" s="2082">
        <v>29</v>
      </c>
      <c r="G112" s="2082">
        <v>37</v>
      </c>
      <c r="H112" s="2082">
        <v>29</v>
      </c>
      <c r="I112" s="2082">
        <v>25</v>
      </c>
      <c r="J112" s="2081">
        <v>18</v>
      </c>
      <c r="K112" s="2082">
        <v>27</v>
      </c>
      <c r="L112" s="2082">
        <v>20</v>
      </c>
      <c r="M112" s="2082">
        <v>17</v>
      </c>
      <c r="N112" s="2081">
        <v>15</v>
      </c>
      <c r="O112" s="2082">
        <v>26</v>
      </c>
      <c r="P112" s="2082">
        <v>19</v>
      </c>
      <c r="Q112" s="2082">
        <v>17</v>
      </c>
      <c r="R112" s="2081">
        <v>17</v>
      </c>
      <c r="S112" s="2082">
        <v>24</v>
      </c>
      <c r="T112" s="2082">
        <v>16</v>
      </c>
      <c r="U112" s="2083">
        <v>15</v>
      </c>
      <c r="V112" s="2082">
        <v>15</v>
      </c>
      <c r="W112" s="2082">
        <v>22</v>
      </c>
      <c r="X112" s="277">
        <v>16</v>
      </c>
      <c r="Y112" s="2083">
        <v>16</v>
      </c>
      <c r="Z112" s="277">
        <v>15</v>
      </c>
      <c r="AA112" s="277">
        <v>20</v>
      </c>
      <c r="AB112" s="277">
        <v>18</v>
      </c>
      <c r="AC112" s="2084">
        <v>16</v>
      </c>
      <c r="AD112" s="2085">
        <v>15</v>
      </c>
      <c r="AE112" s="277">
        <v>23</v>
      </c>
      <c r="AF112" s="277">
        <v>17</v>
      </c>
      <c r="AG112" s="2084">
        <v>16</v>
      </c>
      <c r="AH112" s="2085">
        <v>15</v>
      </c>
      <c r="AI112" s="277">
        <v>23</v>
      </c>
      <c r="AJ112" s="277">
        <v>17</v>
      </c>
      <c r="AK112" s="2084">
        <v>14</v>
      </c>
      <c r="AL112" s="2085">
        <v>14</v>
      </c>
      <c r="AM112" s="277">
        <v>20</v>
      </c>
      <c r="AN112" s="277">
        <v>18</v>
      </c>
      <c r="AO112" s="2084">
        <v>16</v>
      </c>
      <c r="AP112" s="2085">
        <v>15</v>
      </c>
      <c r="AQ112" s="277">
        <v>18</v>
      </c>
      <c r="AR112" s="307"/>
      <c r="AS112" s="308"/>
      <c r="AT112" s="369"/>
      <c r="AU112" s="307"/>
      <c r="AV112" s="307"/>
      <c r="AW112" s="308"/>
      <c r="AX112" s="369"/>
      <c r="AY112" s="307"/>
      <c r="AZ112" s="307"/>
      <c r="BA112" s="308"/>
      <c r="BC112" s="368"/>
      <c r="BD112" s="368">
        <f t="shared" ref="BD112:BD116" si="779">+SUM(B112:E112)</f>
        <v>131</v>
      </c>
      <c r="BE112" s="368">
        <f t="shared" ref="BE112:BE116" si="780">+SUM(F112:I112)</f>
        <v>120</v>
      </c>
      <c r="BF112" s="368">
        <f t="shared" ref="BF112:BF116" si="781">+SUM(J112:M112)</f>
        <v>82</v>
      </c>
      <c r="BG112" s="368">
        <f t="shared" ref="BG112:BG116" si="782">SUM(N112:Q112)</f>
        <v>77</v>
      </c>
      <c r="BH112" s="368">
        <f t="shared" ref="BH112:BH116" si="783">+SUM(R112:U112)</f>
        <v>72</v>
      </c>
      <c r="BI112" s="368">
        <f t="shared" ref="BI112:BI116" si="784">SUM(V112:Y112)</f>
        <v>69</v>
      </c>
      <c r="BJ112" s="368">
        <f t="shared" ref="BJ112:BJ116" si="785">+SUM(Z112:AC112)</f>
        <v>69</v>
      </c>
      <c r="BK112" s="368">
        <f t="shared" ref="BK112:BK116" si="786">+SUM(AD112:AG112)</f>
        <v>71</v>
      </c>
      <c r="BL112" s="368">
        <f t="shared" ref="BL112:BL116" si="787">+SUM(AH112:AK112)</f>
        <v>69</v>
      </c>
      <c r="BM112" s="368">
        <f t="shared" ref="BM112:BM116" si="788">+SUM(AL112:AO112)</f>
        <v>68</v>
      </c>
      <c r="BN112" s="368">
        <f>+SUM(AP112:AS112)</f>
        <v>33</v>
      </c>
      <c r="BO112" s="368">
        <f>+SUM(AT112:AW112)</f>
        <v>0</v>
      </c>
      <c r="BP112" s="368">
        <f>+SUM(AX112:BA112)</f>
        <v>0</v>
      </c>
    </row>
    <row r="113" spans="1:72" ht="12" customHeight="1">
      <c r="A113" s="443" t="s">
        <v>54</v>
      </c>
      <c r="B113" s="2081">
        <v>131</v>
      </c>
      <c r="C113" s="2082">
        <v>153</v>
      </c>
      <c r="D113" s="2082">
        <v>181</v>
      </c>
      <c r="E113" s="2083">
        <v>134</v>
      </c>
      <c r="F113" s="2082">
        <v>151</v>
      </c>
      <c r="G113" s="2082">
        <v>166</v>
      </c>
      <c r="H113" s="2082">
        <v>205</v>
      </c>
      <c r="I113" s="2082">
        <v>155</v>
      </c>
      <c r="J113" s="2081">
        <v>178</v>
      </c>
      <c r="K113" s="2082">
        <v>216</v>
      </c>
      <c r="L113" s="2082">
        <v>280</v>
      </c>
      <c r="M113" s="2082">
        <v>207</v>
      </c>
      <c r="N113" s="2081">
        <v>227</v>
      </c>
      <c r="O113" s="2082">
        <v>254</v>
      </c>
      <c r="P113" s="2082">
        <v>330</v>
      </c>
      <c r="Q113" s="2082">
        <v>259</v>
      </c>
      <c r="R113" s="2081">
        <v>267</v>
      </c>
      <c r="S113" s="2082">
        <v>310</v>
      </c>
      <c r="T113" s="2082">
        <v>405</v>
      </c>
      <c r="U113" s="2083">
        <v>302</v>
      </c>
      <c r="V113" s="2082">
        <v>234</v>
      </c>
      <c r="W113" s="2082">
        <v>331</v>
      </c>
      <c r="X113" s="277">
        <v>565</v>
      </c>
      <c r="Y113" s="2083">
        <v>434</v>
      </c>
      <c r="Z113" s="277">
        <v>387</v>
      </c>
      <c r="AA113" s="277">
        <v>503</v>
      </c>
      <c r="AB113" s="277">
        <v>764</v>
      </c>
      <c r="AC113" s="2084">
        <v>543</v>
      </c>
      <c r="AD113" s="2085">
        <v>620</v>
      </c>
      <c r="AE113" s="277">
        <v>709</v>
      </c>
      <c r="AF113" s="277">
        <v>924</v>
      </c>
      <c r="AG113" s="2084">
        <v>656</v>
      </c>
      <c r="AH113" s="2085">
        <v>707</v>
      </c>
      <c r="AI113" s="277">
        <v>796</v>
      </c>
      <c r="AJ113" s="277">
        <v>1014</v>
      </c>
      <c r="AK113" s="2084">
        <v>733</v>
      </c>
      <c r="AL113" s="2085">
        <v>772</v>
      </c>
      <c r="AM113" s="277">
        <v>880</v>
      </c>
      <c r="AN113" s="277">
        <v>1138</v>
      </c>
      <c r="AO113" s="2084">
        <v>834</v>
      </c>
      <c r="AP113" s="2085">
        <v>824</v>
      </c>
      <c r="AQ113" s="277">
        <v>981</v>
      </c>
      <c r="AR113" s="307"/>
      <c r="AS113" s="308"/>
      <c r="AT113" s="369"/>
      <c r="AU113" s="307"/>
      <c r="AV113" s="307"/>
      <c r="AW113" s="308"/>
      <c r="AX113" s="369"/>
      <c r="AY113" s="307"/>
      <c r="AZ113" s="307"/>
      <c r="BA113" s="308"/>
      <c r="BC113" s="368"/>
      <c r="BD113" s="368">
        <f t="shared" si="779"/>
        <v>599</v>
      </c>
      <c r="BE113" s="368">
        <f t="shared" si="780"/>
        <v>677</v>
      </c>
      <c r="BF113" s="368">
        <f t="shared" si="781"/>
        <v>881</v>
      </c>
      <c r="BG113" s="368">
        <f t="shared" si="782"/>
        <v>1070</v>
      </c>
      <c r="BH113" s="368">
        <f t="shared" si="783"/>
        <v>1284</v>
      </c>
      <c r="BI113" s="368">
        <f t="shared" si="784"/>
        <v>1564</v>
      </c>
      <c r="BJ113" s="368">
        <f t="shared" si="785"/>
        <v>2197</v>
      </c>
      <c r="BK113" s="368">
        <f t="shared" si="786"/>
        <v>2909</v>
      </c>
      <c r="BL113" s="368">
        <f t="shared" si="787"/>
        <v>3250</v>
      </c>
      <c r="BM113" s="368">
        <f t="shared" si="788"/>
        <v>3624</v>
      </c>
      <c r="BN113" s="368">
        <f>+SUM(AP113:AS113)</f>
        <v>1805</v>
      </c>
      <c r="BO113" s="368">
        <f>+SUM(AT113:AW113)</f>
        <v>0</v>
      </c>
      <c r="BP113" s="368">
        <f>+SUM(AX113:BA113)</f>
        <v>0</v>
      </c>
    </row>
    <row r="114" spans="1:72" ht="12" customHeight="1">
      <c r="A114" s="443" t="s">
        <v>55</v>
      </c>
      <c r="B114" s="2081">
        <v>6</v>
      </c>
      <c r="C114" s="2082">
        <v>6</v>
      </c>
      <c r="D114" s="2082">
        <v>5</v>
      </c>
      <c r="E114" s="2083">
        <v>5</v>
      </c>
      <c r="F114" s="2082">
        <v>3</v>
      </c>
      <c r="G114" s="2082">
        <v>3</v>
      </c>
      <c r="H114" s="2082">
        <v>3</v>
      </c>
      <c r="I114" s="2082">
        <v>3</v>
      </c>
      <c r="J114" s="2081">
        <v>2</v>
      </c>
      <c r="K114" s="2082">
        <v>3</v>
      </c>
      <c r="L114" s="2082">
        <v>5</v>
      </c>
      <c r="M114" s="2082">
        <v>5</v>
      </c>
      <c r="N114" s="2081">
        <v>5</v>
      </c>
      <c r="O114" s="2082">
        <v>5</v>
      </c>
      <c r="P114" s="2082">
        <v>5</v>
      </c>
      <c r="Q114" s="2082">
        <v>5</v>
      </c>
      <c r="R114" s="2081">
        <v>6</v>
      </c>
      <c r="S114" s="2082">
        <v>6</v>
      </c>
      <c r="T114" s="2082">
        <v>5</v>
      </c>
      <c r="U114" s="2083">
        <v>5</v>
      </c>
      <c r="V114" s="2082">
        <v>7</v>
      </c>
      <c r="W114" s="2082">
        <v>14</v>
      </c>
      <c r="X114" s="277">
        <v>14</v>
      </c>
      <c r="Y114" s="2083">
        <v>15</v>
      </c>
      <c r="Z114" s="277">
        <v>15</v>
      </c>
      <c r="AA114" s="277">
        <v>42</v>
      </c>
      <c r="AB114" s="277">
        <v>42</v>
      </c>
      <c r="AC114" s="2084">
        <v>41</v>
      </c>
      <c r="AD114" s="2085">
        <v>41</v>
      </c>
      <c r="AE114" s="277">
        <v>41</v>
      </c>
      <c r="AF114" s="277">
        <v>40</v>
      </c>
      <c r="AG114" s="2084">
        <v>41</v>
      </c>
      <c r="AH114" s="2085">
        <v>38</v>
      </c>
      <c r="AI114" s="277">
        <v>36</v>
      </c>
      <c r="AJ114" s="277">
        <v>36</v>
      </c>
      <c r="AK114" s="2084">
        <v>36</v>
      </c>
      <c r="AL114" s="2085">
        <v>37</v>
      </c>
      <c r="AM114" s="277">
        <v>37</v>
      </c>
      <c r="AN114" s="277">
        <v>38</v>
      </c>
      <c r="AO114" s="2084">
        <v>44</v>
      </c>
      <c r="AP114" s="2085">
        <v>44</v>
      </c>
      <c r="AQ114" s="277">
        <v>44</v>
      </c>
      <c r="AR114" s="307"/>
      <c r="AS114" s="308"/>
      <c r="AT114" s="369"/>
      <c r="AU114" s="307"/>
      <c r="AV114" s="307"/>
      <c r="AW114" s="308"/>
      <c r="AX114" s="369"/>
      <c r="AY114" s="307"/>
      <c r="AZ114" s="307"/>
      <c r="BA114" s="308"/>
      <c r="BC114" s="368"/>
      <c r="BD114" s="368">
        <f t="shared" si="779"/>
        <v>22</v>
      </c>
      <c r="BE114" s="368">
        <f t="shared" si="780"/>
        <v>12</v>
      </c>
      <c r="BF114" s="368">
        <f t="shared" si="781"/>
        <v>15</v>
      </c>
      <c r="BG114" s="368">
        <f t="shared" si="782"/>
        <v>20</v>
      </c>
      <c r="BH114" s="368">
        <f t="shared" si="783"/>
        <v>22</v>
      </c>
      <c r="BI114" s="368">
        <f t="shared" si="784"/>
        <v>50</v>
      </c>
      <c r="BJ114" s="368">
        <f t="shared" si="785"/>
        <v>140</v>
      </c>
      <c r="BK114" s="368">
        <f t="shared" si="786"/>
        <v>163</v>
      </c>
      <c r="BL114" s="368">
        <f t="shared" si="787"/>
        <v>146</v>
      </c>
      <c r="BM114" s="368">
        <f t="shared" si="788"/>
        <v>156</v>
      </c>
      <c r="BN114" s="368">
        <f>+SUM(AP114:AS114)</f>
        <v>88</v>
      </c>
      <c r="BO114" s="368">
        <f>+SUM(AT114:AW114)</f>
        <v>0</v>
      </c>
      <c r="BP114" s="368">
        <f>+SUM(AX114:BA114)</f>
        <v>0</v>
      </c>
    </row>
    <row r="115" spans="1:72" s="288" customFormat="1" ht="12" customHeight="1">
      <c r="A115" s="442" t="s">
        <v>39</v>
      </c>
      <c r="B115" s="476">
        <f>+SUM(B112:B114)</f>
        <v>166</v>
      </c>
      <c r="C115" s="311">
        <f t="shared" ref="C115:X115" si="789">+SUM(C112:C114)</f>
        <v>199</v>
      </c>
      <c r="D115" s="311">
        <f t="shared" si="789"/>
        <v>216</v>
      </c>
      <c r="E115" s="312">
        <f t="shared" si="789"/>
        <v>171</v>
      </c>
      <c r="F115" s="311">
        <f t="shared" si="789"/>
        <v>183</v>
      </c>
      <c r="G115" s="311">
        <f t="shared" si="789"/>
        <v>206</v>
      </c>
      <c r="H115" s="311">
        <f t="shared" si="789"/>
        <v>237</v>
      </c>
      <c r="I115" s="311">
        <f t="shared" si="789"/>
        <v>183</v>
      </c>
      <c r="J115" s="476">
        <f t="shared" si="789"/>
        <v>198</v>
      </c>
      <c r="K115" s="311">
        <f t="shared" si="789"/>
        <v>246</v>
      </c>
      <c r="L115" s="311">
        <f t="shared" si="789"/>
        <v>305</v>
      </c>
      <c r="M115" s="311">
        <f t="shared" si="789"/>
        <v>229</v>
      </c>
      <c r="N115" s="476">
        <f t="shared" si="789"/>
        <v>247</v>
      </c>
      <c r="O115" s="311">
        <f t="shared" si="789"/>
        <v>285</v>
      </c>
      <c r="P115" s="311">
        <f t="shared" si="789"/>
        <v>354</v>
      </c>
      <c r="Q115" s="311">
        <f t="shared" si="789"/>
        <v>281</v>
      </c>
      <c r="R115" s="476">
        <f t="shared" si="789"/>
        <v>290</v>
      </c>
      <c r="S115" s="311">
        <f t="shared" si="789"/>
        <v>340</v>
      </c>
      <c r="T115" s="311">
        <f t="shared" si="789"/>
        <v>426</v>
      </c>
      <c r="U115" s="312">
        <f t="shared" si="789"/>
        <v>322</v>
      </c>
      <c r="V115" s="476">
        <f t="shared" si="789"/>
        <v>256</v>
      </c>
      <c r="W115" s="311">
        <f t="shared" ref="W115" si="790">+SUM(W112:W114)</f>
        <v>367</v>
      </c>
      <c r="X115" s="1238">
        <f t="shared" si="789"/>
        <v>595</v>
      </c>
      <c r="Y115" s="312">
        <f t="shared" ref="Y115:AB115" si="791">+SUM(Y112:Y114)</f>
        <v>465</v>
      </c>
      <c r="Z115" s="1276">
        <f t="shared" si="791"/>
        <v>417</v>
      </c>
      <c r="AA115" s="1238">
        <f t="shared" si="791"/>
        <v>565</v>
      </c>
      <c r="AB115" s="1238">
        <f t="shared" si="791"/>
        <v>824</v>
      </c>
      <c r="AC115" s="1315">
        <f t="shared" ref="AC115:AF115" si="792">+SUM(AC112:AC114)</f>
        <v>600</v>
      </c>
      <c r="AD115" s="1276">
        <f t="shared" si="792"/>
        <v>676</v>
      </c>
      <c r="AE115" s="1238">
        <f t="shared" si="792"/>
        <v>773</v>
      </c>
      <c r="AF115" s="1238">
        <f t="shared" si="792"/>
        <v>981</v>
      </c>
      <c r="AG115" s="1315">
        <f t="shared" ref="AG115:AJ115" si="793">+SUM(AG112:AG114)</f>
        <v>713</v>
      </c>
      <c r="AH115" s="1276">
        <f t="shared" si="793"/>
        <v>760</v>
      </c>
      <c r="AI115" s="1238">
        <f t="shared" si="793"/>
        <v>855</v>
      </c>
      <c r="AJ115" s="1238">
        <f t="shared" si="793"/>
        <v>1067</v>
      </c>
      <c r="AK115" s="1315">
        <f t="shared" ref="AK115:AN115" si="794">+SUM(AK112:AK114)</f>
        <v>783</v>
      </c>
      <c r="AL115" s="1276">
        <f t="shared" si="794"/>
        <v>823</v>
      </c>
      <c r="AM115" s="1238">
        <f t="shared" si="794"/>
        <v>937</v>
      </c>
      <c r="AN115" s="1238">
        <f t="shared" si="794"/>
        <v>1194</v>
      </c>
      <c r="AO115" s="1315">
        <f t="shared" ref="AO115:AQ115" si="795">+SUM(AO112:AO114)</f>
        <v>894</v>
      </c>
      <c r="AP115" s="1276">
        <f t="shared" si="795"/>
        <v>883</v>
      </c>
      <c r="AQ115" s="1238">
        <f t="shared" si="795"/>
        <v>1043</v>
      </c>
      <c r="AR115" s="311"/>
      <c r="AS115" s="312"/>
      <c r="AT115" s="476"/>
      <c r="AU115" s="311"/>
      <c r="AV115" s="311"/>
      <c r="AW115" s="312"/>
      <c r="AX115" s="476"/>
      <c r="AY115" s="311"/>
      <c r="AZ115" s="311"/>
      <c r="BA115" s="312"/>
      <c r="BC115" s="372"/>
      <c r="BD115" s="372">
        <f t="shared" si="779"/>
        <v>752</v>
      </c>
      <c r="BE115" s="372">
        <f t="shared" si="780"/>
        <v>809</v>
      </c>
      <c r="BF115" s="372">
        <f t="shared" si="781"/>
        <v>978</v>
      </c>
      <c r="BG115" s="372">
        <f t="shared" si="782"/>
        <v>1167</v>
      </c>
      <c r="BH115" s="372">
        <f t="shared" si="783"/>
        <v>1378</v>
      </c>
      <c r="BI115" s="372">
        <f t="shared" si="784"/>
        <v>1683</v>
      </c>
      <c r="BJ115" s="372">
        <f t="shared" si="785"/>
        <v>2406</v>
      </c>
      <c r="BK115" s="372">
        <f t="shared" si="786"/>
        <v>3143</v>
      </c>
      <c r="BL115" s="372">
        <f t="shared" si="787"/>
        <v>3465</v>
      </c>
      <c r="BM115" s="372">
        <f t="shared" si="788"/>
        <v>3848</v>
      </c>
      <c r="BN115" s="372">
        <f>+SUM(AP115:AS115)</f>
        <v>1926</v>
      </c>
      <c r="BO115" s="372">
        <f>+SUM(AT115:AW115)</f>
        <v>0</v>
      </c>
      <c r="BP115" s="372">
        <f>+SUM(AX115:BA115)</f>
        <v>0</v>
      </c>
      <c r="BR115" s="1378"/>
      <c r="BS115" s="1378"/>
      <c r="BT115" s="1378"/>
    </row>
    <row r="116" spans="1:72" ht="12" customHeight="1">
      <c r="A116" s="482" t="s">
        <v>287</v>
      </c>
      <c r="B116" s="309">
        <f>+B109-B115</f>
        <v>547</v>
      </c>
      <c r="C116" s="307">
        <f t="shared" ref="C116:X116" si="796">+C109-C115</f>
        <v>724</v>
      </c>
      <c r="D116" s="307">
        <f t="shared" si="796"/>
        <v>2088</v>
      </c>
      <c r="E116" s="308">
        <f t="shared" si="796"/>
        <v>583</v>
      </c>
      <c r="F116" s="307">
        <f t="shared" si="796"/>
        <v>595</v>
      </c>
      <c r="G116" s="307">
        <f t="shared" si="796"/>
        <v>810</v>
      </c>
      <c r="H116" s="307">
        <f t="shared" si="796"/>
        <v>2304</v>
      </c>
      <c r="I116" s="308">
        <f t="shared" si="796"/>
        <v>659</v>
      </c>
      <c r="J116" s="309">
        <f t="shared" si="796"/>
        <v>712</v>
      </c>
      <c r="K116" s="307">
        <f t="shared" si="796"/>
        <v>1093</v>
      </c>
      <c r="L116" s="307">
        <f t="shared" si="796"/>
        <v>2607</v>
      </c>
      <c r="M116" s="308">
        <f t="shared" si="796"/>
        <v>635</v>
      </c>
      <c r="N116" s="309">
        <f t="shared" si="796"/>
        <v>769</v>
      </c>
      <c r="O116" s="307">
        <f t="shared" si="796"/>
        <v>1217</v>
      </c>
      <c r="P116" s="307">
        <f t="shared" si="796"/>
        <v>2918</v>
      </c>
      <c r="Q116" s="308">
        <f t="shared" si="796"/>
        <v>713</v>
      </c>
      <c r="R116" s="309">
        <f t="shared" si="796"/>
        <v>875</v>
      </c>
      <c r="S116" s="307">
        <f t="shared" si="796"/>
        <v>1356</v>
      </c>
      <c r="T116" s="307">
        <f t="shared" si="796"/>
        <v>2576</v>
      </c>
      <c r="U116" s="308">
        <f t="shared" si="796"/>
        <v>1494</v>
      </c>
      <c r="V116" s="309">
        <f t="shared" si="796"/>
        <v>1067</v>
      </c>
      <c r="W116" s="307">
        <f t="shared" ref="W116" si="797">+W109-W115</f>
        <v>1209</v>
      </c>
      <c r="X116" s="508">
        <f t="shared" si="796"/>
        <v>3578</v>
      </c>
      <c r="Y116" s="308">
        <f t="shared" ref="Y116:AB116" si="798">+Y109-Y115</f>
        <v>2096</v>
      </c>
      <c r="Z116" s="1277">
        <f t="shared" si="798"/>
        <v>1590</v>
      </c>
      <c r="AA116" s="508">
        <f t="shared" si="798"/>
        <v>2108</v>
      </c>
      <c r="AB116" s="508">
        <f t="shared" si="798"/>
        <v>4807.9999999999991</v>
      </c>
      <c r="AC116" s="1314">
        <f t="shared" ref="AC116:AF116" si="799">+AC109-AC115</f>
        <v>1814</v>
      </c>
      <c r="AD116" s="1277">
        <f t="shared" si="799"/>
        <v>1921</v>
      </c>
      <c r="AE116" s="508">
        <f t="shared" si="799"/>
        <v>2268</v>
      </c>
      <c r="AF116" s="508">
        <f t="shared" si="799"/>
        <v>5037</v>
      </c>
      <c r="AG116" s="1314">
        <f t="shared" ref="AG116:AJ116" si="800">+AG109-AG115</f>
        <v>1999</v>
      </c>
      <c r="AH116" s="1277">
        <f t="shared" si="800"/>
        <v>2218</v>
      </c>
      <c r="AI116" s="508">
        <f t="shared" si="800"/>
        <v>2531</v>
      </c>
      <c r="AJ116" s="508">
        <f t="shared" si="800"/>
        <v>5669.9999999999991</v>
      </c>
      <c r="AK116" s="1314">
        <f t="shared" ref="AK116:AN116" si="801">+AK109-AK115</f>
        <v>2401.0000000000005</v>
      </c>
      <c r="AL116" s="1277">
        <f t="shared" si="801"/>
        <v>2460</v>
      </c>
      <c r="AM116" s="508">
        <f t="shared" si="801"/>
        <v>3026</v>
      </c>
      <c r="AN116" s="508">
        <f t="shared" si="801"/>
        <v>6560</v>
      </c>
      <c r="AO116" s="1314">
        <f t="shared" ref="AO116:AQ116" si="802">+AO109-AO115</f>
        <v>2937</v>
      </c>
      <c r="AP116" s="1277">
        <f t="shared" si="802"/>
        <v>3002</v>
      </c>
      <c r="AQ116" s="508">
        <f t="shared" si="802"/>
        <v>3608</v>
      </c>
      <c r="AR116" s="307"/>
      <c r="AS116" s="308"/>
      <c r="AT116" s="309"/>
      <c r="AU116" s="307"/>
      <c r="AV116" s="307"/>
      <c r="AW116" s="308"/>
      <c r="AX116" s="309"/>
      <c r="AY116" s="307"/>
      <c r="AZ116" s="307"/>
      <c r="BA116" s="308"/>
      <c r="BC116" s="368"/>
      <c r="BD116" s="368">
        <f t="shared" si="779"/>
        <v>3942</v>
      </c>
      <c r="BE116" s="368">
        <f t="shared" si="780"/>
        <v>4368</v>
      </c>
      <c r="BF116" s="368">
        <f t="shared" si="781"/>
        <v>5047</v>
      </c>
      <c r="BG116" s="368">
        <f t="shared" si="782"/>
        <v>5617</v>
      </c>
      <c r="BH116" s="368">
        <f t="shared" si="783"/>
        <v>6301</v>
      </c>
      <c r="BI116" s="368">
        <f t="shared" si="784"/>
        <v>7950</v>
      </c>
      <c r="BJ116" s="368">
        <f t="shared" si="785"/>
        <v>10320</v>
      </c>
      <c r="BK116" s="368">
        <f t="shared" si="786"/>
        <v>11225</v>
      </c>
      <c r="BL116" s="368">
        <f t="shared" si="787"/>
        <v>12820</v>
      </c>
      <c r="BM116" s="368">
        <f t="shared" si="788"/>
        <v>14983</v>
      </c>
      <c r="BN116" s="368">
        <f>+SUM(AP116:AS116)</f>
        <v>6610</v>
      </c>
      <c r="BO116" s="368">
        <f>+SUM(AT116:AW116)</f>
        <v>0</v>
      </c>
      <c r="BP116" s="368">
        <f>+SUM(AX116:BA116)</f>
        <v>0</v>
      </c>
    </row>
    <row r="117" spans="1:72" ht="12" customHeight="1">
      <c r="B117" s="309"/>
      <c r="C117" s="307"/>
      <c r="D117" s="307"/>
      <c r="E117" s="308"/>
      <c r="F117" s="307"/>
      <c r="G117" s="307"/>
      <c r="H117" s="307"/>
      <c r="I117" s="308"/>
      <c r="J117" s="309"/>
      <c r="K117" s="307"/>
      <c r="L117" s="307"/>
      <c r="M117" s="308"/>
      <c r="N117" s="309"/>
      <c r="O117" s="307"/>
      <c r="P117" s="307"/>
      <c r="Q117" s="308"/>
      <c r="R117" s="309"/>
      <c r="S117" s="307"/>
      <c r="T117" s="307"/>
      <c r="U117" s="308"/>
      <c r="V117" s="307"/>
      <c r="W117" s="307"/>
      <c r="X117" s="508"/>
      <c r="Y117" s="308"/>
      <c r="Z117" s="508"/>
      <c r="AA117" s="307"/>
      <c r="AB117" s="307"/>
      <c r="AC117" s="308"/>
      <c r="AD117" s="309"/>
      <c r="AE117" s="307"/>
      <c r="AF117" s="307"/>
      <c r="AG117" s="308"/>
      <c r="AH117" s="309"/>
      <c r="AI117" s="307"/>
      <c r="AJ117" s="307"/>
      <c r="AK117" s="308"/>
      <c r="AL117" s="309"/>
      <c r="AM117" s="508"/>
      <c r="AN117" s="307"/>
      <c r="AO117" s="308"/>
      <c r="AP117" s="309"/>
      <c r="AQ117" s="508"/>
      <c r="AR117" s="307"/>
      <c r="AS117" s="308"/>
      <c r="AT117" s="309"/>
      <c r="AU117" s="307"/>
      <c r="AV117" s="307"/>
      <c r="AW117" s="308"/>
      <c r="AX117" s="309"/>
      <c r="AY117" s="307"/>
      <c r="AZ117" s="307"/>
      <c r="BA117" s="308"/>
      <c r="BC117" s="481"/>
      <c r="BD117" s="481"/>
      <c r="BE117" s="481"/>
      <c r="BF117" s="481"/>
      <c r="BG117" s="481"/>
      <c r="BH117" s="481"/>
      <c r="BI117" s="481"/>
      <c r="BJ117" s="481"/>
      <c r="BK117" s="481"/>
      <c r="BL117" s="481"/>
      <c r="BM117" s="481"/>
      <c r="BN117" s="481"/>
      <c r="BO117" s="481"/>
      <c r="BP117" s="481"/>
    </row>
    <row r="118" spans="1:72" ht="12" customHeight="1">
      <c r="A118" s="555" t="s">
        <v>297</v>
      </c>
      <c r="B118" s="369"/>
      <c r="C118" s="307"/>
      <c r="D118" s="307"/>
      <c r="E118" s="308"/>
      <c r="F118" s="307"/>
      <c r="G118" s="307"/>
      <c r="H118" s="307"/>
      <c r="I118" s="308"/>
      <c r="J118" s="369"/>
      <c r="K118" s="307"/>
      <c r="L118" s="307"/>
      <c r="M118" s="308"/>
      <c r="N118" s="369"/>
      <c r="O118" s="307"/>
      <c r="P118" s="307"/>
      <c r="Q118" s="308"/>
      <c r="R118" s="369"/>
      <c r="S118" s="307"/>
      <c r="T118" s="307"/>
      <c r="U118" s="308"/>
      <c r="V118" s="307"/>
      <c r="W118" s="307"/>
      <c r="X118" s="508"/>
      <c r="Y118" s="308"/>
      <c r="Z118" s="508"/>
      <c r="AA118" s="508"/>
      <c r="AB118" s="307"/>
      <c r="AC118" s="308"/>
      <c r="AD118" s="369"/>
      <c r="AE118" s="307"/>
      <c r="AF118" s="307"/>
      <c r="AG118" s="308"/>
      <c r="AH118" s="369"/>
      <c r="AI118" s="307"/>
      <c r="AJ118" s="307"/>
      <c r="AK118" s="308"/>
      <c r="AL118" s="369"/>
      <c r="AM118" s="508"/>
      <c r="AN118" s="307"/>
      <c r="AO118" s="308"/>
      <c r="AP118" s="369"/>
      <c r="AQ118" s="508"/>
      <c r="AR118" s="307"/>
      <c r="AS118" s="308"/>
      <c r="AT118" s="369"/>
      <c r="AU118" s="307"/>
      <c r="AV118" s="307"/>
      <c r="AW118" s="308"/>
      <c r="AX118" s="369"/>
      <c r="AY118" s="307"/>
      <c r="AZ118" s="307"/>
      <c r="BA118" s="308"/>
      <c r="BC118" s="481"/>
      <c r="BD118" s="481"/>
      <c r="BE118" s="481"/>
      <c r="BF118" s="481"/>
      <c r="BG118" s="481"/>
      <c r="BH118" s="481"/>
      <c r="BI118" s="481"/>
      <c r="BJ118" s="481"/>
      <c r="BK118" s="481"/>
      <c r="BL118" s="481"/>
      <c r="BM118" s="481"/>
      <c r="BN118" s="481"/>
      <c r="BO118" s="481"/>
      <c r="BP118" s="481"/>
    </row>
    <row r="119" spans="1:72" ht="12" customHeight="1">
      <c r="A119" s="556" t="s">
        <v>298</v>
      </c>
      <c r="B119" s="2081">
        <v>244</v>
      </c>
      <c r="C119" s="2082">
        <v>356</v>
      </c>
      <c r="D119" s="2082">
        <v>423</v>
      </c>
      <c r="E119" s="2083">
        <v>266</v>
      </c>
      <c r="F119" s="2081">
        <v>283</v>
      </c>
      <c r="G119" s="2082">
        <v>405</v>
      </c>
      <c r="H119" s="2082">
        <v>467</v>
      </c>
      <c r="I119" s="2083">
        <v>265</v>
      </c>
      <c r="J119" s="2081">
        <v>308</v>
      </c>
      <c r="K119" s="2082">
        <v>469</v>
      </c>
      <c r="L119" s="2082">
        <v>549</v>
      </c>
      <c r="M119" s="2083">
        <v>305</v>
      </c>
      <c r="N119" s="2081">
        <v>346</v>
      </c>
      <c r="O119" s="2082">
        <v>548</v>
      </c>
      <c r="P119" s="2082">
        <v>652</v>
      </c>
      <c r="Q119" s="2083">
        <v>381</v>
      </c>
      <c r="R119" s="2081">
        <v>383</v>
      </c>
      <c r="S119" s="2082">
        <v>593</v>
      </c>
      <c r="T119" s="2082">
        <v>648</v>
      </c>
      <c r="U119" s="2083">
        <v>424</v>
      </c>
      <c r="V119" s="2082">
        <v>362</v>
      </c>
      <c r="W119" s="2082">
        <v>580</v>
      </c>
      <c r="X119" s="277">
        <v>857</v>
      </c>
      <c r="Y119" s="2083">
        <v>845</v>
      </c>
      <c r="Z119" s="277">
        <v>550</v>
      </c>
      <c r="AA119" s="277">
        <v>942</v>
      </c>
      <c r="AB119" s="277">
        <v>1227</v>
      </c>
      <c r="AC119" s="2084">
        <v>807</v>
      </c>
      <c r="AD119" s="2085">
        <v>795</v>
      </c>
      <c r="AE119" s="277">
        <v>924</v>
      </c>
      <c r="AF119" s="277">
        <v>1203</v>
      </c>
      <c r="AG119" s="2084">
        <v>840</v>
      </c>
      <c r="AH119" s="2085">
        <v>769</v>
      </c>
      <c r="AI119" s="277">
        <v>1020</v>
      </c>
      <c r="AJ119" s="277">
        <v>1419</v>
      </c>
      <c r="AK119" s="2084">
        <v>1104</v>
      </c>
      <c r="AL119" s="2085">
        <v>962</v>
      </c>
      <c r="AM119" s="277">
        <v>1204</v>
      </c>
      <c r="AN119" s="277">
        <v>1618</v>
      </c>
      <c r="AO119" s="2084">
        <v>1251</v>
      </c>
      <c r="AP119" s="2085">
        <v>1082</v>
      </c>
      <c r="AQ119" s="277">
        <v>1395</v>
      </c>
      <c r="AR119" s="307"/>
      <c r="AS119" s="308"/>
      <c r="AT119" s="369"/>
      <c r="AU119" s="307"/>
      <c r="AV119" s="307"/>
      <c r="AW119" s="308"/>
      <c r="AX119" s="369"/>
      <c r="AY119" s="307"/>
      <c r="AZ119" s="307"/>
      <c r="BA119" s="308"/>
      <c r="BC119" s="368"/>
      <c r="BD119" s="368">
        <f t="shared" ref="BD119:BD125" si="803">+SUM(B119:E119)</f>
        <v>1289</v>
      </c>
      <c r="BE119" s="368">
        <f t="shared" ref="BE119:BE125" si="804">+SUM(F119:I119)</f>
        <v>1420</v>
      </c>
      <c r="BF119" s="368">
        <f t="shared" ref="BF119:BF125" si="805">+SUM(J119:M119)</f>
        <v>1631</v>
      </c>
      <c r="BG119" s="368">
        <f t="shared" ref="BG119:BG125" si="806">SUM(N119:Q119)</f>
        <v>1927</v>
      </c>
      <c r="BH119" s="368">
        <f t="shared" ref="BH119:BH125" si="807">+SUM(R119:U119)</f>
        <v>2048</v>
      </c>
      <c r="BI119" s="368">
        <f t="shared" ref="BI119:BI125" si="808">SUM(V119:Y119)</f>
        <v>2644</v>
      </c>
      <c r="BJ119" s="368">
        <f t="shared" ref="BJ119:BJ125" si="809">+SUM(Z119:AC119)</f>
        <v>3526</v>
      </c>
      <c r="BK119" s="368">
        <f t="shared" ref="BK119:BK125" si="810">+SUM(AD119:AG119)</f>
        <v>3762</v>
      </c>
      <c r="BL119" s="368">
        <f t="shared" ref="BL119:BL125" si="811">+SUM(AH119:AK119)</f>
        <v>4312</v>
      </c>
      <c r="BM119" s="368">
        <f t="shared" ref="BM119:BM125" si="812">+SUM(AL119:AO119)</f>
        <v>5035</v>
      </c>
      <c r="BN119" s="368">
        <f t="shared" ref="BN119:BN125" si="813">+SUM(AP119:AS119)</f>
        <v>2477</v>
      </c>
      <c r="BO119" s="368">
        <f t="shared" ref="BO119:BO125" si="814">+SUM(AT119:AW119)</f>
        <v>0</v>
      </c>
      <c r="BP119" s="368">
        <f t="shared" ref="BP119:BP125" si="815">+SUM(AX119:BA119)</f>
        <v>0</v>
      </c>
    </row>
    <row r="120" spans="1:72" ht="12" customHeight="1">
      <c r="A120" s="556" t="s">
        <v>37</v>
      </c>
      <c r="B120" s="2081">
        <v>213</v>
      </c>
      <c r="C120" s="2082">
        <v>205</v>
      </c>
      <c r="D120" s="2082">
        <v>228</v>
      </c>
      <c r="E120" s="2083">
        <v>235</v>
      </c>
      <c r="F120" s="2081">
        <v>246</v>
      </c>
      <c r="G120" s="2082">
        <v>243</v>
      </c>
      <c r="H120" s="2082">
        <v>246</v>
      </c>
      <c r="I120" s="2083">
        <v>263</v>
      </c>
      <c r="J120" s="2081">
        <v>293</v>
      </c>
      <c r="K120" s="2082">
        <v>286</v>
      </c>
      <c r="L120" s="2082">
        <v>296</v>
      </c>
      <c r="M120" s="2083">
        <v>311</v>
      </c>
      <c r="N120" s="2081">
        <v>294</v>
      </c>
      <c r="O120" s="2082">
        <v>295</v>
      </c>
      <c r="P120" s="2082">
        <v>311</v>
      </c>
      <c r="Q120" s="2083">
        <v>333</v>
      </c>
      <c r="R120" s="2081">
        <v>334</v>
      </c>
      <c r="S120" s="2082">
        <v>333</v>
      </c>
      <c r="T120" s="2082">
        <v>332</v>
      </c>
      <c r="U120" s="2083">
        <v>393</v>
      </c>
      <c r="V120" s="2082">
        <v>325</v>
      </c>
      <c r="W120" s="2082">
        <v>368</v>
      </c>
      <c r="X120" s="277">
        <v>464</v>
      </c>
      <c r="Y120" s="2083">
        <v>521</v>
      </c>
      <c r="Z120" s="277">
        <v>530</v>
      </c>
      <c r="AA120" s="277">
        <v>590</v>
      </c>
      <c r="AB120" s="277">
        <v>600</v>
      </c>
      <c r="AC120" s="2084">
        <v>627</v>
      </c>
      <c r="AD120" s="2085">
        <v>625</v>
      </c>
      <c r="AE120" s="277">
        <v>630</v>
      </c>
      <c r="AF120" s="277">
        <v>604</v>
      </c>
      <c r="AG120" s="2084">
        <v>680</v>
      </c>
      <c r="AH120" s="2085">
        <v>680</v>
      </c>
      <c r="AI120" s="277">
        <v>678</v>
      </c>
      <c r="AJ120" s="277">
        <v>671</v>
      </c>
      <c r="AK120" s="2084">
        <v>725</v>
      </c>
      <c r="AL120" s="2085">
        <v>704</v>
      </c>
      <c r="AM120" s="277">
        <v>716</v>
      </c>
      <c r="AN120" s="277">
        <v>707</v>
      </c>
      <c r="AO120" s="2084">
        <v>801</v>
      </c>
      <c r="AP120" s="2085">
        <v>843</v>
      </c>
      <c r="AQ120" s="277">
        <v>836</v>
      </c>
      <c r="AR120" s="307"/>
      <c r="AS120" s="308"/>
      <c r="AT120" s="369"/>
      <c r="AU120" s="307"/>
      <c r="AV120" s="307"/>
      <c r="AW120" s="308"/>
      <c r="AX120" s="369"/>
      <c r="AY120" s="307"/>
      <c r="AZ120" s="307"/>
      <c r="BA120" s="308"/>
      <c r="BC120" s="368"/>
      <c r="BD120" s="368">
        <f t="shared" si="803"/>
        <v>881</v>
      </c>
      <c r="BE120" s="368">
        <f t="shared" si="804"/>
        <v>998</v>
      </c>
      <c r="BF120" s="368">
        <f t="shared" si="805"/>
        <v>1186</v>
      </c>
      <c r="BG120" s="368">
        <f t="shared" si="806"/>
        <v>1233</v>
      </c>
      <c r="BH120" s="368">
        <f t="shared" si="807"/>
        <v>1392</v>
      </c>
      <c r="BI120" s="368">
        <f t="shared" si="808"/>
        <v>1678</v>
      </c>
      <c r="BJ120" s="368">
        <f t="shared" si="809"/>
        <v>2347</v>
      </c>
      <c r="BK120" s="368">
        <f t="shared" si="810"/>
        <v>2539</v>
      </c>
      <c r="BL120" s="368">
        <f t="shared" si="811"/>
        <v>2754</v>
      </c>
      <c r="BM120" s="368">
        <f t="shared" si="812"/>
        <v>2928</v>
      </c>
      <c r="BN120" s="368">
        <f t="shared" si="813"/>
        <v>1679</v>
      </c>
      <c r="BO120" s="368">
        <f t="shared" si="814"/>
        <v>0</v>
      </c>
      <c r="BP120" s="368">
        <f t="shared" si="815"/>
        <v>0</v>
      </c>
    </row>
    <row r="121" spans="1:72" ht="12" customHeight="1">
      <c r="A121" s="556" t="s">
        <v>30</v>
      </c>
      <c r="B121" s="2081">
        <v>117</v>
      </c>
      <c r="C121" s="2082">
        <v>120</v>
      </c>
      <c r="D121" s="2082">
        <v>149</v>
      </c>
      <c r="E121" s="2083">
        <v>132</v>
      </c>
      <c r="F121" s="2081">
        <v>126</v>
      </c>
      <c r="G121" s="2082">
        <v>140</v>
      </c>
      <c r="H121" s="2082">
        <v>146</v>
      </c>
      <c r="I121" s="2083">
        <v>141</v>
      </c>
      <c r="J121" s="2081">
        <v>145</v>
      </c>
      <c r="K121" s="2082">
        <v>143</v>
      </c>
      <c r="L121" s="2082">
        <v>159</v>
      </c>
      <c r="M121" s="2083">
        <v>217</v>
      </c>
      <c r="N121" s="2081">
        <v>137</v>
      </c>
      <c r="O121" s="2082">
        <v>140</v>
      </c>
      <c r="P121" s="2082">
        <v>170</v>
      </c>
      <c r="Q121" s="2083">
        <v>150</v>
      </c>
      <c r="R121" s="2081">
        <v>146</v>
      </c>
      <c r="S121" s="2082">
        <v>159</v>
      </c>
      <c r="T121" s="2082">
        <v>181</v>
      </c>
      <c r="U121" s="2083">
        <v>193</v>
      </c>
      <c r="V121" s="2082">
        <v>169</v>
      </c>
      <c r="W121" s="2082">
        <v>250</v>
      </c>
      <c r="X121" s="277">
        <v>289</v>
      </c>
      <c r="Y121" s="2083">
        <v>274</v>
      </c>
      <c r="Z121" s="277">
        <v>262</v>
      </c>
      <c r="AA121" s="277">
        <v>399</v>
      </c>
      <c r="AB121" s="277">
        <v>465</v>
      </c>
      <c r="AC121" s="2084">
        <v>334</v>
      </c>
      <c r="AD121" s="2085">
        <v>304</v>
      </c>
      <c r="AE121" s="277">
        <v>323</v>
      </c>
      <c r="AF121" s="277">
        <v>332</v>
      </c>
      <c r="AG121" s="2084">
        <v>341</v>
      </c>
      <c r="AH121" s="2085">
        <v>342</v>
      </c>
      <c r="AI121" s="277">
        <v>344</v>
      </c>
      <c r="AJ121" s="277">
        <v>355</v>
      </c>
      <c r="AK121" s="2084">
        <v>377</v>
      </c>
      <c r="AL121" s="2085">
        <v>394</v>
      </c>
      <c r="AM121" s="277">
        <v>389</v>
      </c>
      <c r="AN121" s="277">
        <v>394</v>
      </c>
      <c r="AO121" s="2084">
        <v>424</v>
      </c>
      <c r="AP121" s="2085">
        <v>422</v>
      </c>
      <c r="AQ121" s="277">
        <v>401</v>
      </c>
      <c r="AR121" s="307"/>
      <c r="AS121" s="308"/>
      <c r="AT121" s="369"/>
      <c r="AU121" s="307"/>
      <c r="AV121" s="307"/>
      <c r="AW121" s="308"/>
      <c r="AX121" s="369"/>
      <c r="AY121" s="307"/>
      <c r="AZ121" s="307"/>
      <c r="BA121" s="308"/>
      <c r="BC121" s="368"/>
      <c r="BD121" s="368">
        <f t="shared" si="803"/>
        <v>518</v>
      </c>
      <c r="BE121" s="368">
        <f t="shared" si="804"/>
        <v>553</v>
      </c>
      <c r="BF121" s="368">
        <f t="shared" si="805"/>
        <v>664</v>
      </c>
      <c r="BG121" s="368">
        <f t="shared" si="806"/>
        <v>597</v>
      </c>
      <c r="BH121" s="368">
        <f t="shared" si="807"/>
        <v>679</v>
      </c>
      <c r="BI121" s="368">
        <f t="shared" si="808"/>
        <v>982</v>
      </c>
      <c r="BJ121" s="368">
        <f t="shared" si="809"/>
        <v>1460</v>
      </c>
      <c r="BK121" s="368">
        <f t="shared" si="810"/>
        <v>1300</v>
      </c>
      <c r="BL121" s="368">
        <f t="shared" si="811"/>
        <v>1418</v>
      </c>
      <c r="BM121" s="368">
        <f t="shared" si="812"/>
        <v>1601</v>
      </c>
      <c r="BN121" s="368">
        <f t="shared" si="813"/>
        <v>823</v>
      </c>
      <c r="BO121" s="368">
        <f t="shared" si="814"/>
        <v>0</v>
      </c>
      <c r="BP121" s="368">
        <f t="shared" si="815"/>
        <v>0</v>
      </c>
    </row>
    <row r="122" spans="1:72" ht="12" customHeight="1">
      <c r="A122" s="443" t="s">
        <v>57</v>
      </c>
      <c r="B122" s="2081">
        <v>2</v>
      </c>
      <c r="C122" s="2082">
        <v>1</v>
      </c>
      <c r="D122" s="2082">
        <v>3</v>
      </c>
      <c r="E122" s="2083">
        <v>6</v>
      </c>
      <c r="F122" s="2081">
        <v>1</v>
      </c>
      <c r="G122" s="2082">
        <v>0</v>
      </c>
      <c r="H122" s="2082">
        <v>1</v>
      </c>
      <c r="I122" s="2083">
        <v>0</v>
      </c>
      <c r="J122" s="2081">
        <v>1</v>
      </c>
      <c r="K122" s="2082">
        <v>1</v>
      </c>
      <c r="L122" s="2082">
        <v>2</v>
      </c>
      <c r="M122" s="2083">
        <v>2</v>
      </c>
      <c r="N122" s="2081">
        <v>2</v>
      </c>
      <c r="O122" s="2082">
        <v>1</v>
      </c>
      <c r="P122" s="2082">
        <v>1</v>
      </c>
      <c r="Q122" s="2083">
        <v>2</v>
      </c>
      <c r="R122" s="2081">
        <v>2</v>
      </c>
      <c r="S122" s="2082">
        <v>1</v>
      </c>
      <c r="T122" s="2082">
        <v>2</v>
      </c>
      <c r="U122" s="2083">
        <v>1</v>
      </c>
      <c r="V122" s="2082">
        <v>2</v>
      </c>
      <c r="W122" s="2082">
        <v>36</v>
      </c>
      <c r="X122" s="277">
        <v>54</v>
      </c>
      <c r="Y122" s="2083">
        <v>54</v>
      </c>
      <c r="Z122" s="277">
        <v>53</v>
      </c>
      <c r="AA122" s="277">
        <v>121</v>
      </c>
      <c r="AB122" s="277">
        <v>121</v>
      </c>
      <c r="AC122" s="2084">
        <v>121</v>
      </c>
      <c r="AD122" s="2085">
        <v>121</v>
      </c>
      <c r="AE122" s="277">
        <v>121</v>
      </c>
      <c r="AF122" s="277">
        <v>120</v>
      </c>
      <c r="AG122" s="2084">
        <v>121</v>
      </c>
      <c r="AH122" s="2085">
        <v>120</v>
      </c>
      <c r="AI122" s="277">
        <v>120</v>
      </c>
      <c r="AJ122" s="277">
        <v>120</v>
      </c>
      <c r="AK122" s="2084">
        <v>123</v>
      </c>
      <c r="AL122" s="2085">
        <v>120</v>
      </c>
      <c r="AM122" s="277">
        <v>120</v>
      </c>
      <c r="AN122" s="277">
        <v>120</v>
      </c>
      <c r="AO122" s="2084">
        <v>121</v>
      </c>
      <c r="AP122" s="2085">
        <v>121</v>
      </c>
      <c r="AQ122" s="277">
        <v>121</v>
      </c>
      <c r="AR122" s="307"/>
      <c r="AS122" s="308"/>
      <c r="AT122" s="369"/>
      <c r="AU122" s="307"/>
      <c r="AV122" s="307"/>
      <c r="AW122" s="308"/>
      <c r="AX122" s="369"/>
      <c r="AY122" s="307"/>
      <c r="AZ122" s="307"/>
      <c r="BA122" s="308"/>
      <c r="BC122" s="368"/>
      <c r="BD122" s="368">
        <f t="shared" si="803"/>
        <v>12</v>
      </c>
      <c r="BE122" s="368">
        <f t="shared" si="804"/>
        <v>2</v>
      </c>
      <c r="BF122" s="368">
        <f t="shared" si="805"/>
        <v>6</v>
      </c>
      <c r="BG122" s="368">
        <f t="shared" si="806"/>
        <v>6</v>
      </c>
      <c r="BH122" s="368">
        <f t="shared" si="807"/>
        <v>6</v>
      </c>
      <c r="BI122" s="368">
        <f t="shared" si="808"/>
        <v>146</v>
      </c>
      <c r="BJ122" s="368">
        <f t="shared" si="809"/>
        <v>416</v>
      </c>
      <c r="BK122" s="368">
        <f t="shared" si="810"/>
        <v>483</v>
      </c>
      <c r="BL122" s="368">
        <f t="shared" si="811"/>
        <v>483</v>
      </c>
      <c r="BM122" s="368">
        <f t="shared" si="812"/>
        <v>481</v>
      </c>
      <c r="BN122" s="368">
        <f t="shared" si="813"/>
        <v>242</v>
      </c>
      <c r="BO122" s="368">
        <f t="shared" si="814"/>
        <v>0</v>
      </c>
      <c r="BP122" s="368">
        <f t="shared" si="815"/>
        <v>0</v>
      </c>
    </row>
    <row r="123" spans="1:72" ht="12" customHeight="1">
      <c r="A123" s="443" t="s">
        <v>433</v>
      </c>
      <c r="B123" s="2081">
        <v>0</v>
      </c>
      <c r="C123" s="2082">
        <v>0</v>
      </c>
      <c r="D123" s="2082">
        <v>0</v>
      </c>
      <c r="E123" s="2083">
        <v>0</v>
      </c>
      <c r="F123" s="2081">
        <v>0</v>
      </c>
      <c r="G123" s="2082">
        <v>0</v>
      </c>
      <c r="H123" s="2082">
        <v>0</v>
      </c>
      <c r="I123" s="2083">
        <v>0</v>
      </c>
      <c r="J123" s="2081">
        <v>0</v>
      </c>
      <c r="K123" s="2082">
        <v>0</v>
      </c>
      <c r="L123" s="2082">
        <v>0</v>
      </c>
      <c r="M123" s="2083">
        <v>0</v>
      </c>
      <c r="N123" s="2081">
        <v>0</v>
      </c>
      <c r="O123" s="2082">
        <v>0</v>
      </c>
      <c r="P123" s="2082">
        <v>0</v>
      </c>
      <c r="Q123" s="2083">
        <v>0</v>
      </c>
      <c r="R123" s="2081">
        <v>0</v>
      </c>
      <c r="S123" s="2082">
        <v>0</v>
      </c>
      <c r="T123" s="2082">
        <v>0</v>
      </c>
      <c r="U123" s="2083">
        <v>0</v>
      </c>
      <c r="V123" s="2082">
        <v>0</v>
      </c>
      <c r="W123" s="2082">
        <v>0</v>
      </c>
      <c r="X123" s="277">
        <v>0</v>
      </c>
      <c r="Y123" s="2083">
        <v>0</v>
      </c>
      <c r="Z123" s="277">
        <v>0</v>
      </c>
      <c r="AA123" s="508"/>
      <c r="AB123" s="307"/>
      <c r="AC123" s="308"/>
      <c r="AD123" s="369"/>
      <c r="AE123" s="508"/>
      <c r="AF123" s="508"/>
      <c r="AG123" s="1314"/>
      <c r="AH123" s="997"/>
      <c r="AI123" s="307"/>
      <c r="AJ123" s="307"/>
      <c r="AK123" s="2083">
        <v>223</v>
      </c>
      <c r="AL123" s="2085">
        <v>9</v>
      </c>
      <c r="AM123" s="277">
        <v>4</v>
      </c>
      <c r="AN123" s="2082">
        <v>1</v>
      </c>
      <c r="AO123" s="2083">
        <v>1</v>
      </c>
      <c r="AP123" s="2085">
        <v>0</v>
      </c>
      <c r="AQ123" s="277">
        <v>0</v>
      </c>
      <c r="AR123" s="307"/>
      <c r="AS123" s="308"/>
      <c r="AT123" s="369"/>
      <c r="AU123" s="307"/>
      <c r="AV123" s="307"/>
      <c r="AW123" s="308"/>
      <c r="AX123" s="369"/>
      <c r="AY123" s="307"/>
      <c r="AZ123" s="307"/>
      <c r="BA123" s="308"/>
      <c r="BC123" s="368"/>
      <c r="BD123" s="368">
        <f t="shared" si="803"/>
        <v>0</v>
      </c>
      <c r="BE123" s="368">
        <f t="shared" si="804"/>
        <v>0</v>
      </c>
      <c r="BF123" s="368">
        <f t="shared" si="805"/>
        <v>0</v>
      </c>
      <c r="BG123" s="368">
        <f t="shared" si="806"/>
        <v>0</v>
      </c>
      <c r="BH123" s="368">
        <f t="shared" si="807"/>
        <v>0</v>
      </c>
      <c r="BI123" s="368">
        <f t="shared" si="808"/>
        <v>0</v>
      </c>
      <c r="BJ123" s="368">
        <f t="shared" si="809"/>
        <v>0</v>
      </c>
      <c r="BK123" s="368">
        <f t="shared" si="810"/>
        <v>0</v>
      </c>
      <c r="BL123" s="368">
        <f t="shared" si="811"/>
        <v>223</v>
      </c>
      <c r="BM123" s="368">
        <f t="shared" si="812"/>
        <v>15</v>
      </c>
      <c r="BN123" s="368">
        <f t="shared" si="813"/>
        <v>0</v>
      </c>
      <c r="BO123" s="368">
        <f t="shared" si="814"/>
        <v>0</v>
      </c>
      <c r="BP123" s="368">
        <f t="shared" si="815"/>
        <v>0</v>
      </c>
    </row>
    <row r="124" spans="1:72" s="288" customFormat="1" ht="12" customHeight="1">
      <c r="A124" s="557" t="s">
        <v>289</v>
      </c>
      <c r="B124" s="476">
        <f>+SUM(B119:B123)</f>
        <v>576</v>
      </c>
      <c r="C124" s="311">
        <f t="shared" ref="C124:X124" si="816">+SUM(C119:C123)</f>
        <v>682</v>
      </c>
      <c r="D124" s="311">
        <f t="shared" si="816"/>
        <v>803</v>
      </c>
      <c r="E124" s="312">
        <f t="shared" si="816"/>
        <v>639</v>
      </c>
      <c r="F124" s="476">
        <f t="shared" si="816"/>
        <v>656</v>
      </c>
      <c r="G124" s="311">
        <f t="shared" si="816"/>
        <v>788</v>
      </c>
      <c r="H124" s="311">
        <f t="shared" si="816"/>
        <v>860</v>
      </c>
      <c r="I124" s="312">
        <f t="shared" si="816"/>
        <v>669</v>
      </c>
      <c r="J124" s="476">
        <f t="shared" si="816"/>
        <v>747</v>
      </c>
      <c r="K124" s="311">
        <f t="shared" si="816"/>
        <v>899</v>
      </c>
      <c r="L124" s="311">
        <f t="shared" si="816"/>
        <v>1006</v>
      </c>
      <c r="M124" s="312">
        <f t="shared" si="816"/>
        <v>835</v>
      </c>
      <c r="N124" s="476">
        <f t="shared" si="816"/>
        <v>779</v>
      </c>
      <c r="O124" s="311">
        <f t="shared" si="816"/>
        <v>984</v>
      </c>
      <c r="P124" s="311">
        <f t="shared" si="816"/>
        <v>1134</v>
      </c>
      <c r="Q124" s="312">
        <f t="shared" si="816"/>
        <v>866</v>
      </c>
      <c r="R124" s="476">
        <f t="shared" si="816"/>
        <v>865</v>
      </c>
      <c r="S124" s="311">
        <f t="shared" si="816"/>
        <v>1086</v>
      </c>
      <c r="T124" s="311">
        <f t="shared" si="816"/>
        <v>1163</v>
      </c>
      <c r="U124" s="312">
        <f t="shared" si="816"/>
        <v>1011</v>
      </c>
      <c r="V124" s="476">
        <f t="shared" si="816"/>
        <v>858</v>
      </c>
      <c r="W124" s="311">
        <f t="shared" ref="W124" si="817">+SUM(W119:W123)</f>
        <v>1234</v>
      </c>
      <c r="X124" s="1238">
        <f t="shared" si="816"/>
        <v>1664</v>
      </c>
      <c r="Y124" s="312">
        <f t="shared" ref="Y124:AB124" si="818">+SUM(Y119:Y123)</f>
        <v>1694</v>
      </c>
      <c r="Z124" s="1276">
        <f t="shared" si="818"/>
        <v>1395</v>
      </c>
      <c r="AA124" s="311">
        <f t="shared" si="818"/>
        <v>2052</v>
      </c>
      <c r="AB124" s="1238">
        <f t="shared" si="818"/>
        <v>2413</v>
      </c>
      <c r="AC124" s="312">
        <f t="shared" ref="AC124:AF124" si="819">+SUM(AC119:AC123)</f>
        <v>1889</v>
      </c>
      <c r="AD124" s="1276">
        <f t="shared" si="819"/>
        <v>1845</v>
      </c>
      <c r="AE124" s="1238">
        <f t="shared" si="819"/>
        <v>1998</v>
      </c>
      <c r="AF124" s="1238">
        <f t="shared" si="819"/>
        <v>2259</v>
      </c>
      <c r="AG124" s="1315">
        <f t="shared" ref="AG124:AJ124" si="820">+SUM(AG119:AG123)</f>
        <v>1982</v>
      </c>
      <c r="AH124" s="1276">
        <f t="shared" si="820"/>
        <v>1911</v>
      </c>
      <c r="AI124" s="1238">
        <f t="shared" si="820"/>
        <v>2162</v>
      </c>
      <c r="AJ124" s="1238">
        <f t="shared" si="820"/>
        <v>2565</v>
      </c>
      <c r="AK124" s="1315">
        <f t="shared" ref="AK124:AN124" si="821">+SUM(AK119:AK123)</f>
        <v>2552</v>
      </c>
      <c r="AL124" s="1276">
        <f t="shared" si="821"/>
        <v>2189</v>
      </c>
      <c r="AM124" s="1238">
        <f t="shared" si="821"/>
        <v>2433</v>
      </c>
      <c r="AN124" s="1238">
        <f t="shared" si="821"/>
        <v>2840</v>
      </c>
      <c r="AO124" s="1315">
        <f t="shared" ref="AO124:AQ124" si="822">+SUM(AO119:AO123)</f>
        <v>2598</v>
      </c>
      <c r="AP124" s="1276">
        <f t="shared" si="822"/>
        <v>2468</v>
      </c>
      <c r="AQ124" s="1238">
        <f t="shared" si="822"/>
        <v>2753</v>
      </c>
      <c r="AR124" s="311"/>
      <c r="AS124" s="312"/>
      <c r="AT124" s="476"/>
      <c r="AU124" s="311"/>
      <c r="AV124" s="311"/>
      <c r="AW124" s="312"/>
      <c r="AX124" s="476"/>
      <c r="AY124" s="311"/>
      <c r="AZ124" s="311"/>
      <c r="BA124" s="312"/>
      <c r="BC124" s="368"/>
      <c r="BD124" s="368">
        <f t="shared" si="803"/>
        <v>2700</v>
      </c>
      <c r="BE124" s="368">
        <f t="shared" si="804"/>
        <v>2973</v>
      </c>
      <c r="BF124" s="368">
        <f t="shared" si="805"/>
        <v>3487</v>
      </c>
      <c r="BG124" s="368">
        <f t="shared" si="806"/>
        <v>3763</v>
      </c>
      <c r="BH124" s="368">
        <f t="shared" si="807"/>
        <v>4125</v>
      </c>
      <c r="BI124" s="368">
        <f t="shared" si="808"/>
        <v>5450</v>
      </c>
      <c r="BJ124" s="368">
        <f t="shared" si="809"/>
        <v>7749</v>
      </c>
      <c r="BK124" s="368">
        <f t="shared" si="810"/>
        <v>8084</v>
      </c>
      <c r="BL124" s="368">
        <f t="shared" si="811"/>
        <v>9190</v>
      </c>
      <c r="BM124" s="368">
        <f t="shared" si="812"/>
        <v>10060</v>
      </c>
      <c r="BN124" s="368">
        <f t="shared" si="813"/>
        <v>5221</v>
      </c>
      <c r="BO124" s="368">
        <f t="shared" si="814"/>
        <v>0</v>
      </c>
      <c r="BP124" s="368">
        <f t="shared" si="815"/>
        <v>0</v>
      </c>
      <c r="BR124" s="1378"/>
      <c r="BS124" s="1378"/>
      <c r="BT124" s="1378"/>
    </row>
    <row r="125" spans="1:72" ht="12" customHeight="1">
      <c r="A125" s="482" t="s">
        <v>11</v>
      </c>
      <c r="B125" s="309">
        <f>+B116-B124</f>
        <v>-29</v>
      </c>
      <c r="C125" s="307">
        <f t="shared" ref="C125:V125" si="823">+C116-C124</f>
        <v>42</v>
      </c>
      <c r="D125" s="307">
        <f t="shared" si="823"/>
        <v>1285</v>
      </c>
      <c r="E125" s="308">
        <f t="shared" si="823"/>
        <v>-56</v>
      </c>
      <c r="F125" s="309">
        <f t="shared" si="823"/>
        <v>-61</v>
      </c>
      <c r="G125" s="307">
        <f t="shared" si="823"/>
        <v>22</v>
      </c>
      <c r="H125" s="307">
        <f t="shared" si="823"/>
        <v>1444</v>
      </c>
      <c r="I125" s="308">
        <f t="shared" si="823"/>
        <v>-10</v>
      </c>
      <c r="J125" s="309">
        <f t="shared" si="823"/>
        <v>-35</v>
      </c>
      <c r="K125" s="307">
        <f t="shared" si="823"/>
        <v>194</v>
      </c>
      <c r="L125" s="307">
        <f t="shared" si="823"/>
        <v>1601</v>
      </c>
      <c r="M125" s="308">
        <f t="shared" si="823"/>
        <v>-200</v>
      </c>
      <c r="N125" s="309">
        <f t="shared" si="823"/>
        <v>-10</v>
      </c>
      <c r="O125" s="307">
        <f t="shared" si="823"/>
        <v>233</v>
      </c>
      <c r="P125" s="307">
        <f t="shared" si="823"/>
        <v>1784</v>
      </c>
      <c r="Q125" s="308">
        <f t="shared" si="823"/>
        <v>-153</v>
      </c>
      <c r="R125" s="309">
        <f t="shared" si="823"/>
        <v>10</v>
      </c>
      <c r="S125" s="307">
        <f t="shared" si="823"/>
        <v>270</v>
      </c>
      <c r="T125" s="307">
        <f t="shared" si="823"/>
        <v>1413</v>
      </c>
      <c r="U125" s="308">
        <f t="shared" si="823"/>
        <v>483</v>
      </c>
      <c r="V125" s="309">
        <f t="shared" si="823"/>
        <v>209</v>
      </c>
      <c r="W125" s="307">
        <f t="shared" ref="W125" si="824">+W116-W124</f>
        <v>-25</v>
      </c>
      <c r="X125" s="508">
        <f>+X116-X124</f>
        <v>1914</v>
      </c>
      <c r="Y125" s="308">
        <f t="shared" ref="Y125:AA125" si="825">+Y116-Y124</f>
        <v>402</v>
      </c>
      <c r="Z125" s="1277">
        <f t="shared" si="825"/>
        <v>195</v>
      </c>
      <c r="AA125" s="307">
        <f t="shared" si="825"/>
        <v>56</v>
      </c>
      <c r="AB125" s="508">
        <f>+AB116-AB124</f>
        <v>2394.9999999999991</v>
      </c>
      <c r="AC125" s="308">
        <f t="shared" ref="AC125:AE125" si="826">+AC116-AC124</f>
        <v>-75</v>
      </c>
      <c r="AD125" s="1277">
        <f t="shared" si="826"/>
        <v>76</v>
      </c>
      <c r="AE125" s="508">
        <f t="shared" si="826"/>
        <v>270</v>
      </c>
      <c r="AF125" s="508">
        <f>+AF116-AF124</f>
        <v>2778</v>
      </c>
      <c r="AG125" s="1314">
        <f t="shared" ref="AG125:AI125" si="827">+AG116-AG124</f>
        <v>17</v>
      </c>
      <c r="AH125" s="1277">
        <f t="shared" si="827"/>
        <v>307</v>
      </c>
      <c r="AI125" s="508">
        <f t="shared" si="827"/>
        <v>369</v>
      </c>
      <c r="AJ125" s="508">
        <f>+AJ116-AJ124</f>
        <v>3104.9999999999991</v>
      </c>
      <c r="AK125" s="1314">
        <f t="shared" ref="AK125:AM125" si="828">+AK116-AK124</f>
        <v>-150.99999999999955</v>
      </c>
      <c r="AL125" s="1277">
        <f t="shared" si="828"/>
        <v>271</v>
      </c>
      <c r="AM125" s="508">
        <f t="shared" si="828"/>
        <v>593</v>
      </c>
      <c r="AN125" s="508">
        <f>+AN116-AN124</f>
        <v>3720</v>
      </c>
      <c r="AO125" s="1314">
        <f>+AO116-AO124</f>
        <v>339</v>
      </c>
      <c r="AP125" s="1277">
        <f>+AP116-AP124</f>
        <v>534</v>
      </c>
      <c r="AQ125" s="508">
        <f t="shared" ref="AQ125" si="829">+AQ116-AQ124</f>
        <v>855</v>
      </c>
      <c r="AR125" s="307"/>
      <c r="AS125" s="308"/>
      <c r="AT125" s="309"/>
      <c r="AU125" s="307"/>
      <c r="AV125" s="307"/>
      <c r="AW125" s="308"/>
      <c r="AX125" s="309"/>
      <c r="AY125" s="307"/>
      <c r="AZ125" s="307"/>
      <c r="BA125" s="308"/>
      <c r="BC125" s="368"/>
      <c r="BD125" s="368">
        <f t="shared" si="803"/>
        <v>1242</v>
      </c>
      <c r="BE125" s="368">
        <f t="shared" si="804"/>
        <v>1395</v>
      </c>
      <c r="BF125" s="368">
        <f t="shared" si="805"/>
        <v>1560</v>
      </c>
      <c r="BG125" s="368">
        <f t="shared" si="806"/>
        <v>1854</v>
      </c>
      <c r="BH125" s="368">
        <f t="shared" si="807"/>
        <v>2176</v>
      </c>
      <c r="BI125" s="368">
        <f t="shared" si="808"/>
        <v>2500</v>
      </c>
      <c r="BJ125" s="368">
        <f t="shared" si="809"/>
        <v>2570.9999999999991</v>
      </c>
      <c r="BK125" s="368">
        <f t="shared" si="810"/>
        <v>3141</v>
      </c>
      <c r="BL125" s="368">
        <f t="shared" si="811"/>
        <v>3629.9999999999995</v>
      </c>
      <c r="BM125" s="368">
        <f t="shared" si="812"/>
        <v>4923</v>
      </c>
      <c r="BN125" s="368">
        <f t="shared" si="813"/>
        <v>1389</v>
      </c>
      <c r="BO125" s="368">
        <f t="shared" si="814"/>
        <v>0</v>
      </c>
      <c r="BP125" s="368">
        <f t="shared" si="815"/>
        <v>0</v>
      </c>
    </row>
    <row r="126" spans="1:72" s="288" customFormat="1" ht="12" customHeight="1">
      <c r="A126" s="442"/>
      <c r="B126" s="476"/>
      <c r="C126" s="311"/>
      <c r="D126" s="311"/>
      <c r="E126" s="312"/>
      <c r="F126" s="476"/>
      <c r="G126" s="311"/>
      <c r="H126" s="311"/>
      <c r="I126" s="312"/>
      <c r="J126" s="476"/>
      <c r="K126" s="311"/>
      <c r="L126" s="311"/>
      <c r="M126" s="312"/>
      <c r="N126" s="476"/>
      <c r="O126" s="311"/>
      <c r="P126" s="311"/>
      <c r="Q126" s="312"/>
      <c r="R126" s="476"/>
      <c r="S126" s="311"/>
      <c r="T126" s="311"/>
      <c r="U126" s="312"/>
      <c r="V126" s="311"/>
      <c r="W126" s="311"/>
      <c r="X126" s="1238"/>
      <c r="Y126" s="312"/>
      <c r="Z126" s="1238"/>
      <c r="AA126" s="311"/>
      <c r="AB126" s="311"/>
      <c r="AC126" s="312"/>
      <c r="AD126" s="476"/>
      <c r="AE126" s="1238"/>
      <c r="AF126" s="1238"/>
      <c r="AG126" s="312"/>
      <c r="AH126" s="1276"/>
      <c r="AI126" s="311"/>
      <c r="AJ126" s="311"/>
      <c r="AK126" s="312"/>
      <c r="AL126" s="476"/>
      <c r="AM126" s="1238"/>
      <c r="AN126" s="311"/>
      <c r="AO126" s="312"/>
      <c r="AP126" s="476"/>
      <c r="AQ126" s="1238"/>
      <c r="AR126" s="311"/>
      <c r="AS126" s="312"/>
      <c r="AT126" s="476"/>
      <c r="AU126" s="311"/>
      <c r="AV126" s="311"/>
      <c r="AW126" s="312"/>
      <c r="AX126" s="476"/>
      <c r="AY126" s="311"/>
      <c r="AZ126" s="311"/>
      <c r="BA126" s="312"/>
      <c r="BC126" s="483"/>
      <c r="BD126" s="483"/>
      <c r="BE126" s="483"/>
      <c r="BF126" s="483"/>
      <c r="BG126" s="483"/>
      <c r="BH126" s="483"/>
      <c r="BI126" s="483"/>
      <c r="BJ126" s="483"/>
      <c r="BK126" s="483"/>
      <c r="BL126" s="483"/>
      <c r="BM126" s="483"/>
      <c r="BN126" s="483"/>
      <c r="BO126" s="483"/>
      <c r="BP126" s="483"/>
      <c r="BR126" s="1378"/>
      <c r="BS126" s="2140"/>
      <c r="BT126" s="1378"/>
    </row>
    <row r="127" spans="1:72" ht="12" customHeight="1">
      <c r="A127" s="443" t="s">
        <v>299</v>
      </c>
      <c r="B127" s="2081">
        <v>-7</v>
      </c>
      <c r="C127" s="2082">
        <v>-9</v>
      </c>
      <c r="D127" s="2082">
        <v>-10</v>
      </c>
      <c r="E127" s="2083">
        <v>-9</v>
      </c>
      <c r="F127" s="2081">
        <v>-9</v>
      </c>
      <c r="G127" s="2082">
        <v>-11</v>
      </c>
      <c r="H127" s="2082">
        <v>-8</v>
      </c>
      <c r="I127" s="2083">
        <v>-3</v>
      </c>
      <c r="J127" s="2081">
        <v>-5</v>
      </c>
      <c r="K127" s="2082">
        <v>-6</v>
      </c>
      <c r="L127" s="2082">
        <v>-5</v>
      </c>
      <c r="M127" s="2083">
        <v>-4</v>
      </c>
      <c r="N127" s="2081">
        <v>-4</v>
      </c>
      <c r="O127" s="2082">
        <v>-4</v>
      </c>
      <c r="P127" s="2082">
        <v>-4</v>
      </c>
      <c r="Q127" s="2083">
        <v>-3</v>
      </c>
      <c r="R127" s="2081">
        <v>-2</v>
      </c>
      <c r="S127" s="2082">
        <v>-3</v>
      </c>
      <c r="T127" s="2082">
        <v>-2</v>
      </c>
      <c r="U127" s="2083">
        <v>-7</v>
      </c>
      <c r="V127" s="2082">
        <v>-8</v>
      </c>
      <c r="W127" s="2082">
        <v>-7</v>
      </c>
      <c r="X127" s="277">
        <v>-7</v>
      </c>
      <c r="Y127" s="2083">
        <v>-7</v>
      </c>
      <c r="Z127" s="277">
        <v>-7</v>
      </c>
      <c r="AA127" s="277">
        <v>-21</v>
      </c>
      <c r="AB127" s="277">
        <v>-21</v>
      </c>
      <c r="AC127" s="2084">
        <v>-32</v>
      </c>
      <c r="AD127" s="2085">
        <v>-49</v>
      </c>
      <c r="AE127" s="277">
        <v>-65</v>
      </c>
      <c r="AF127" s="277">
        <v>-66</v>
      </c>
      <c r="AG127" s="2084">
        <v>-68</v>
      </c>
      <c r="AH127" s="2085">
        <v>-65</v>
      </c>
      <c r="AI127" s="277">
        <v>-57</v>
      </c>
      <c r="AJ127" s="277">
        <v>-60</v>
      </c>
      <c r="AK127" s="2084">
        <v>-60</v>
      </c>
      <c r="AL127" s="2085">
        <v>-60</v>
      </c>
      <c r="AM127" s="277">
        <v>-60</v>
      </c>
      <c r="AN127" s="277">
        <v>-68</v>
      </c>
      <c r="AO127" s="2084">
        <v>-59</v>
      </c>
      <c r="AP127" s="2085">
        <v>-58</v>
      </c>
      <c r="AQ127" s="277">
        <v>-58</v>
      </c>
      <c r="AR127" s="307"/>
      <c r="AS127" s="308"/>
      <c r="AT127" s="369"/>
      <c r="AU127" s="307"/>
      <c r="AV127" s="307"/>
      <c r="AW127" s="308"/>
      <c r="AX127" s="369"/>
      <c r="AY127" s="307"/>
      <c r="AZ127" s="307"/>
      <c r="BA127" s="308"/>
      <c r="BC127" s="368"/>
      <c r="BD127" s="368">
        <f t="shared" ref="BD127:BD130" si="830">+SUM(B127:E127)</f>
        <v>-35</v>
      </c>
      <c r="BE127" s="368">
        <f t="shared" ref="BE127:BE130" si="831">+SUM(F127:I127)</f>
        <v>-31</v>
      </c>
      <c r="BF127" s="368">
        <f t="shared" ref="BF127:BF130" si="832">+SUM(J127:M127)</f>
        <v>-20</v>
      </c>
      <c r="BG127" s="368">
        <f t="shared" ref="BG127:BG130" si="833">SUM(N127:Q127)</f>
        <v>-15</v>
      </c>
      <c r="BH127" s="368">
        <f t="shared" ref="BH127:BH130" si="834">+SUM(R127:U127)</f>
        <v>-14</v>
      </c>
      <c r="BI127" s="368">
        <f t="shared" ref="BI127:BI130" si="835">SUM(V127:Y127)</f>
        <v>-29</v>
      </c>
      <c r="BJ127" s="368">
        <f t="shared" ref="BJ127:BJ130" si="836">+SUM(Z127:AC127)</f>
        <v>-81</v>
      </c>
      <c r="BK127" s="368">
        <f t="shared" ref="BK127:BK130" si="837">+SUM(AD127:AG127)</f>
        <v>-248</v>
      </c>
      <c r="BL127" s="368">
        <f t="shared" ref="BL127:BL130" si="838">+SUM(AH127:AK127)</f>
        <v>-242</v>
      </c>
      <c r="BM127" s="368">
        <f t="shared" ref="BM127:BM130" si="839">+SUM(AL127:AO127)</f>
        <v>-247</v>
      </c>
      <c r="BN127" s="368">
        <f>+SUM(AP127:AS127)</f>
        <v>-116</v>
      </c>
      <c r="BO127" s="368">
        <f>+SUM(AT127:AW127)</f>
        <v>0</v>
      </c>
      <c r="BP127" s="368">
        <f>+SUM(AX127:BA127)</f>
        <v>0</v>
      </c>
    </row>
    <row r="128" spans="1:72" ht="12" customHeight="1">
      <c r="A128" s="443" t="s">
        <v>300</v>
      </c>
      <c r="B128" s="2081">
        <v>-4</v>
      </c>
      <c r="C128" s="2082">
        <v>-5</v>
      </c>
      <c r="D128" s="2082">
        <v>2</v>
      </c>
      <c r="E128" s="2083">
        <v>3</v>
      </c>
      <c r="F128" s="2081">
        <v>-2</v>
      </c>
      <c r="G128" s="2082">
        <v>-1</v>
      </c>
      <c r="H128" s="2082">
        <v>3</v>
      </c>
      <c r="I128" s="2083">
        <v>3</v>
      </c>
      <c r="J128" s="2081">
        <v>3</v>
      </c>
      <c r="K128" s="2082">
        <v>5</v>
      </c>
      <c r="L128" s="2082">
        <v>7</v>
      </c>
      <c r="M128" s="2083">
        <v>11</v>
      </c>
      <c r="N128" s="2081">
        <v>0</v>
      </c>
      <c r="O128" s="2082">
        <v>6</v>
      </c>
      <c r="P128" s="2082">
        <v>17</v>
      </c>
      <c r="Q128" s="2083">
        <v>19</v>
      </c>
      <c r="R128" s="2081">
        <v>14</v>
      </c>
      <c r="S128" s="2082">
        <v>15</v>
      </c>
      <c r="T128" s="2082">
        <v>-3</v>
      </c>
      <c r="U128" s="2083">
        <v>10</v>
      </c>
      <c r="V128" s="2082">
        <v>9</v>
      </c>
      <c r="W128" s="2082">
        <v>54</v>
      </c>
      <c r="X128" s="277">
        <v>14</v>
      </c>
      <c r="Y128" s="2083">
        <v>8</v>
      </c>
      <c r="Z128" s="277">
        <v>50</v>
      </c>
      <c r="AA128" s="277">
        <v>-5</v>
      </c>
      <c r="AB128" s="277">
        <v>-1</v>
      </c>
      <c r="AC128" s="2084">
        <v>8</v>
      </c>
      <c r="AD128" s="2085">
        <v>5</v>
      </c>
      <c r="AE128" s="277">
        <v>23</v>
      </c>
      <c r="AF128" s="277">
        <v>22</v>
      </c>
      <c r="AG128" s="2084">
        <v>46</v>
      </c>
      <c r="AH128" s="2085">
        <v>22</v>
      </c>
      <c r="AI128" s="277">
        <v>42</v>
      </c>
      <c r="AJ128" s="277">
        <v>27</v>
      </c>
      <c r="AK128" s="2084">
        <v>71</v>
      </c>
      <c r="AL128" s="2085">
        <v>2</v>
      </c>
      <c r="AM128" s="277">
        <v>38</v>
      </c>
      <c r="AN128" s="277">
        <v>32</v>
      </c>
      <c r="AO128" s="2084">
        <v>86</v>
      </c>
      <c r="AP128" s="2085">
        <v>85</v>
      </c>
      <c r="AQ128" s="277">
        <v>72</v>
      </c>
      <c r="AR128" s="307"/>
      <c r="AS128" s="308"/>
      <c r="AT128" s="369"/>
      <c r="AU128" s="307"/>
      <c r="AV128" s="307"/>
      <c r="AW128" s="308"/>
      <c r="AX128" s="369"/>
      <c r="AY128" s="307"/>
      <c r="AZ128" s="307"/>
      <c r="BA128" s="308"/>
      <c r="BC128" s="368"/>
      <c r="BD128" s="368">
        <f t="shared" si="830"/>
        <v>-4</v>
      </c>
      <c r="BE128" s="368">
        <f t="shared" si="831"/>
        <v>3</v>
      </c>
      <c r="BF128" s="368">
        <f t="shared" si="832"/>
        <v>26</v>
      </c>
      <c r="BG128" s="368">
        <f t="shared" si="833"/>
        <v>42</v>
      </c>
      <c r="BH128" s="368">
        <f t="shared" si="834"/>
        <v>36</v>
      </c>
      <c r="BI128" s="368">
        <f t="shared" si="835"/>
        <v>85</v>
      </c>
      <c r="BJ128" s="368">
        <f t="shared" si="836"/>
        <v>52</v>
      </c>
      <c r="BK128" s="368">
        <f t="shared" si="837"/>
        <v>96</v>
      </c>
      <c r="BL128" s="368">
        <f t="shared" si="838"/>
        <v>162</v>
      </c>
      <c r="BM128" s="368">
        <f t="shared" si="839"/>
        <v>158</v>
      </c>
      <c r="BN128" s="368">
        <f>+SUM(AP128:AS128)</f>
        <v>157</v>
      </c>
      <c r="BO128" s="368">
        <f>+SUM(AT128:AW128)</f>
        <v>0</v>
      </c>
      <c r="BP128" s="368">
        <f>+SUM(AX128:BA128)</f>
        <v>0</v>
      </c>
    </row>
    <row r="129" spans="1:72" s="288" customFormat="1" ht="12" customHeight="1">
      <c r="A129" s="484" t="s">
        <v>301</v>
      </c>
      <c r="B129" s="313">
        <f>+B125+B127+B128</f>
        <v>-40</v>
      </c>
      <c r="C129" s="311">
        <f t="shared" ref="C129:X129" si="840">+C125+C127+C128</f>
        <v>28</v>
      </c>
      <c r="D129" s="311">
        <f t="shared" si="840"/>
        <v>1277</v>
      </c>
      <c r="E129" s="312">
        <f t="shared" si="840"/>
        <v>-62</v>
      </c>
      <c r="F129" s="311">
        <f t="shared" si="840"/>
        <v>-72</v>
      </c>
      <c r="G129" s="311">
        <f t="shared" si="840"/>
        <v>10</v>
      </c>
      <c r="H129" s="311">
        <f t="shared" si="840"/>
        <v>1439</v>
      </c>
      <c r="I129" s="312">
        <f t="shared" si="840"/>
        <v>-10</v>
      </c>
      <c r="J129" s="313">
        <f t="shared" si="840"/>
        <v>-37</v>
      </c>
      <c r="K129" s="311">
        <f t="shared" si="840"/>
        <v>193</v>
      </c>
      <c r="L129" s="311">
        <f t="shared" si="840"/>
        <v>1603</v>
      </c>
      <c r="M129" s="312">
        <f t="shared" si="840"/>
        <v>-193</v>
      </c>
      <c r="N129" s="313">
        <f t="shared" si="840"/>
        <v>-14</v>
      </c>
      <c r="O129" s="311">
        <f t="shared" si="840"/>
        <v>235</v>
      </c>
      <c r="P129" s="311">
        <f t="shared" si="840"/>
        <v>1797</v>
      </c>
      <c r="Q129" s="312">
        <f t="shared" si="840"/>
        <v>-137</v>
      </c>
      <c r="R129" s="313">
        <f t="shared" si="840"/>
        <v>22</v>
      </c>
      <c r="S129" s="311">
        <f t="shared" si="840"/>
        <v>282</v>
      </c>
      <c r="T129" s="311">
        <f t="shared" si="840"/>
        <v>1408</v>
      </c>
      <c r="U129" s="312">
        <f t="shared" si="840"/>
        <v>486</v>
      </c>
      <c r="V129" s="313">
        <f t="shared" si="840"/>
        <v>210</v>
      </c>
      <c r="W129" s="311">
        <f t="shared" si="840"/>
        <v>22</v>
      </c>
      <c r="X129" s="1238">
        <f t="shared" si="840"/>
        <v>1921</v>
      </c>
      <c r="Y129" s="312">
        <f t="shared" ref="Y129:AK129" si="841">+Y125+Y127+Y128</f>
        <v>403</v>
      </c>
      <c r="Z129" s="1278">
        <f t="shared" si="841"/>
        <v>238</v>
      </c>
      <c r="AA129" s="1238">
        <f t="shared" si="841"/>
        <v>30</v>
      </c>
      <c r="AB129" s="1238">
        <f t="shared" si="841"/>
        <v>2372.9999999999991</v>
      </c>
      <c r="AC129" s="1315">
        <f t="shared" si="841"/>
        <v>-99</v>
      </c>
      <c r="AD129" s="1278">
        <f t="shared" si="841"/>
        <v>32</v>
      </c>
      <c r="AE129" s="1238">
        <f t="shared" si="841"/>
        <v>228</v>
      </c>
      <c r="AF129" s="1238">
        <f t="shared" si="841"/>
        <v>2734</v>
      </c>
      <c r="AG129" s="1315">
        <f t="shared" si="841"/>
        <v>-5</v>
      </c>
      <c r="AH129" s="1278">
        <f t="shared" si="841"/>
        <v>264</v>
      </c>
      <c r="AI129" s="1238">
        <f t="shared" si="841"/>
        <v>354</v>
      </c>
      <c r="AJ129" s="1238">
        <f t="shared" si="841"/>
        <v>3071.9999999999991</v>
      </c>
      <c r="AK129" s="1315">
        <f t="shared" si="841"/>
        <v>-139.99999999999955</v>
      </c>
      <c r="AL129" s="1278">
        <f t="shared" ref="AL129:AO129" si="842">+AL125+AL127+AL128</f>
        <v>213</v>
      </c>
      <c r="AM129" s="1238">
        <f t="shared" si="842"/>
        <v>571</v>
      </c>
      <c r="AN129" s="1238">
        <f t="shared" si="842"/>
        <v>3684</v>
      </c>
      <c r="AO129" s="1315">
        <f t="shared" si="842"/>
        <v>366</v>
      </c>
      <c r="AP129" s="1278">
        <f t="shared" ref="AP129:AQ129" si="843">+AP125+AP127+AP128</f>
        <v>561</v>
      </c>
      <c r="AQ129" s="1238">
        <f t="shared" si="843"/>
        <v>869</v>
      </c>
      <c r="AR129" s="311"/>
      <c r="AS129" s="312"/>
      <c r="AT129" s="313"/>
      <c r="AU129" s="311"/>
      <c r="AV129" s="311"/>
      <c r="AW129" s="312"/>
      <c r="AX129" s="313"/>
      <c r="AY129" s="311"/>
      <c r="AZ129" s="311"/>
      <c r="BA129" s="312"/>
      <c r="BC129" s="372"/>
      <c r="BD129" s="372">
        <f t="shared" si="830"/>
        <v>1203</v>
      </c>
      <c r="BE129" s="372">
        <f t="shared" si="831"/>
        <v>1367</v>
      </c>
      <c r="BF129" s="372">
        <f t="shared" si="832"/>
        <v>1566</v>
      </c>
      <c r="BG129" s="372">
        <f t="shared" si="833"/>
        <v>1881</v>
      </c>
      <c r="BH129" s="372">
        <f t="shared" si="834"/>
        <v>2198</v>
      </c>
      <c r="BI129" s="372">
        <f t="shared" si="835"/>
        <v>2556</v>
      </c>
      <c r="BJ129" s="372">
        <f t="shared" si="836"/>
        <v>2541.9999999999991</v>
      </c>
      <c r="BK129" s="372">
        <f t="shared" si="837"/>
        <v>2989</v>
      </c>
      <c r="BL129" s="372">
        <f t="shared" si="838"/>
        <v>3549.9999999999995</v>
      </c>
      <c r="BM129" s="372">
        <f t="shared" si="839"/>
        <v>4834</v>
      </c>
      <c r="BN129" s="372">
        <f>+SUM(AP129:AS129)</f>
        <v>1430</v>
      </c>
      <c r="BO129" s="372">
        <f>+SUM(AT129:AW129)</f>
        <v>0</v>
      </c>
      <c r="BP129" s="372">
        <f>+SUM(AX129:BA129)</f>
        <v>0</v>
      </c>
      <c r="BR129" s="1378"/>
      <c r="BS129" s="1378"/>
      <c r="BT129" s="1378"/>
    </row>
    <row r="130" spans="1:72" ht="12" customHeight="1">
      <c r="A130" s="443" t="s">
        <v>10</v>
      </c>
      <c r="B130" s="2081">
        <v>-9</v>
      </c>
      <c r="C130" s="2082">
        <v>-1</v>
      </c>
      <c r="D130" s="2082">
        <v>429</v>
      </c>
      <c r="E130" s="2083">
        <v>-22</v>
      </c>
      <c r="F130" s="2081">
        <v>-42</v>
      </c>
      <c r="G130" s="2082">
        <v>-3</v>
      </c>
      <c r="H130" s="2082">
        <v>475</v>
      </c>
      <c r="I130" s="2083">
        <v>-34</v>
      </c>
      <c r="J130" s="2081">
        <v>-35</v>
      </c>
      <c r="K130" s="2082">
        <v>10</v>
      </c>
      <c r="L130" s="2082">
        <v>417</v>
      </c>
      <c r="M130" s="2083">
        <v>-155</v>
      </c>
      <c r="N130" s="2081">
        <v>-48</v>
      </c>
      <c r="O130" s="2082">
        <v>46</v>
      </c>
      <c r="P130" s="2082">
        <v>419</v>
      </c>
      <c r="Q130" s="2083">
        <v>-93</v>
      </c>
      <c r="R130" s="2081">
        <v>-35</v>
      </c>
      <c r="S130" s="2082">
        <v>42</v>
      </c>
      <c r="T130" s="2082">
        <v>324</v>
      </c>
      <c r="U130" s="2083">
        <v>41</v>
      </c>
      <c r="V130" s="2082">
        <v>12</v>
      </c>
      <c r="W130" s="2082">
        <v>2</v>
      </c>
      <c r="X130" s="277">
        <v>457</v>
      </c>
      <c r="Y130" s="2083">
        <v>23</v>
      </c>
      <c r="Z130" s="277">
        <v>10</v>
      </c>
      <c r="AA130" s="277">
        <v>-70</v>
      </c>
      <c r="AB130" s="277">
        <v>579</v>
      </c>
      <c r="AC130" s="2084">
        <v>-43</v>
      </c>
      <c r="AD130" s="2085">
        <v>-8</v>
      </c>
      <c r="AE130" s="277">
        <v>60</v>
      </c>
      <c r="AF130" s="277">
        <v>647</v>
      </c>
      <c r="AG130" s="2084">
        <v>-94</v>
      </c>
      <c r="AH130" s="2085">
        <v>23</v>
      </c>
      <c r="AI130" s="277">
        <v>1</v>
      </c>
      <c r="AJ130" s="277">
        <v>683</v>
      </c>
      <c r="AK130" s="2084">
        <v>-120</v>
      </c>
      <c r="AL130" s="2085">
        <v>16</v>
      </c>
      <c r="AM130" s="277">
        <v>100</v>
      </c>
      <c r="AN130" s="277">
        <v>864</v>
      </c>
      <c r="AO130" s="2084">
        <v>-15</v>
      </c>
      <c r="AP130" s="2085">
        <v>115</v>
      </c>
      <c r="AQ130" s="277">
        <v>176</v>
      </c>
      <c r="AR130" s="307"/>
      <c r="AS130" s="308"/>
      <c r="AT130" s="369"/>
      <c r="AU130" s="307"/>
      <c r="AV130" s="307"/>
      <c r="AW130" s="308"/>
      <c r="AX130" s="369"/>
      <c r="AY130" s="307"/>
      <c r="AZ130" s="307"/>
      <c r="BA130" s="308"/>
      <c r="BC130" s="368"/>
      <c r="BD130" s="368">
        <f t="shared" si="830"/>
        <v>397</v>
      </c>
      <c r="BE130" s="368">
        <f t="shared" si="831"/>
        <v>396</v>
      </c>
      <c r="BF130" s="368">
        <f t="shared" si="832"/>
        <v>237</v>
      </c>
      <c r="BG130" s="368">
        <f t="shared" si="833"/>
        <v>324</v>
      </c>
      <c r="BH130" s="368">
        <f t="shared" si="834"/>
        <v>372</v>
      </c>
      <c r="BI130" s="368">
        <f t="shared" si="835"/>
        <v>494</v>
      </c>
      <c r="BJ130" s="368">
        <f t="shared" si="836"/>
        <v>476</v>
      </c>
      <c r="BK130" s="368">
        <f t="shared" si="837"/>
        <v>605</v>
      </c>
      <c r="BL130" s="368">
        <f t="shared" si="838"/>
        <v>587</v>
      </c>
      <c r="BM130" s="368">
        <f t="shared" si="839"/>
        <v>965</v>
      </c>
      <c r="BN130" s="368">
        <f>+SUM(AP130:AS130)</f>
        <v>291</v>
      </c>
      <c r="BO130" s="368">
        <f>+SUM(AT130:AW130)</f>
        <v>0</v>
      </c>
      <c r="BP130" s="368">
        <f>+SUM(AX130:BA130)</f>
        <v>0</v>
      </c>
    </row>
    <row r="131" spans="1:72" s="342" customFormat="1" ht="12" customHeight="1">
      <c r="A131" s="485" t="s">
        <v>302</v>
      </c>
      <c r="B131" s="486">
        <f>+B130/B129</f>
        <v>0.22500000000000001</v>
      </c>
      <c r="C131" s="339">
        <f t="shared" ref="C131:X131" si="844">+C130/C129</f>
        <v>-3.5714285714285712E-2</v>
      </c>
      <c r="D131" s="339">
        <f t="shared" si="844"/>
        <v>0.33594361785434612</v>
      </c>
      <c r="E131" s="339">
        <f t="shared" si="844"/>
        <v>0.35483870967741937</v>
      </c>
      <c r="F131" s="486">
        <f t="shared" si="844"/>
        <v>0.58333333333333337</v>
      </c>
      <c r="G131" s="339">
        <f t="shared" si="844"/>
        <v>-0.3</v>
      </c>
      <c r="H131" s="339">
        <f t="shared" si="844"/>
        <v>0.33009034051424602</v>
      </c>
      <c r="I131" s="339">
        <f t="shared" si="844"/>
        <v>3.4</v>
      </c>
      <c r="J131" s="486">
        <f t="shared" si="844"/>
        <v>0.94594594594594594</v>
      </c>
      <c r="K131" s="339">
        <f t="shared" si="844"/>
        <v>5.181347150259067E-2</v>
      </c>
      <c r="L131" s="339">
        <f t="shared" si="844"/>
        <v>0.26013724266999377</v>
      </c>
      <c r="M131" s="339">
        <f t="shared" si="844"/>
        <v>0.80310880829015541</v>
      </c>
      <c r="N131" s="486">
        <f t="shared" si="844"/>
        <v>3.4285714285714284</v>
      </c>
      <c r="O131" s="339">
        <f t="shared" si="844"/>
        <v>0.19574468085106383</v>
      </c>
      <c r="P131" s="339">
        <f t="shared" si="844"/>
        <v>0.23316638842515303</v>
      </c>
      <c r="Q131" s="339">
        <f t="shared" si="844"/>
        <v>0.67883211678832112</v>
      </c>
      <c r="R131" s="486">
        <f t="shared" si="844"/>
        <v>-1.5909090909090908</v>
      </c>
      <c r="S131" s="339">
        <f t="shared" si="844"/>
        <v>0.14893617021276595</v>
      </c>
      <c r="T131" s="339">
        <f t="shared" si="844"/>
        <v>0.23011363636363635</v>
      </c>
      <c r="U131" s="340">
        <f t="shared" si="844"/>
        <v>8.4362139917695478E-2</v>
      </c>
      <c r="V131" s="486">
        <f t="shared" si="844"/>
        <v>5.7142857142857141E-2</v>
      </c>
      <c r="W131" s="339">
        <f t="shared" ref="W131" si="845">+W130/W129</f>
        <v>9.0909090909090912E-2</v>
      </c>
      <c r="X131" s="1239">
        <f t="shared" si="844"/>
        <v>0.23789692868297763</v>
      </c>
      <c r="Y131" s="340">
        <f t="shared" ref="Y131:AB131" si="846">+Y130/Y129</f>
        <v>5.7071960297766747E-2</v>
      </c>
      <c r="Z131" s="1279">
        <f t="shared" si="846"/>
        <v>4.2016806722689079E-2</v>
      </c>
      <c r="AA131" s="1239">
        <f t="shared" si="846"/>
        <v>-2.3333333333333335</v>
      </c>
      <c r="AB131" s="1239">
        <f t="shared" si="846"/>
        <v>0.24399494310998746</v>
      </c>
      <c r="AC131" s="1316">
        <f t="shared" ref="AC131:AF131" si="847">+AC130/AC129</f>
        <v>0.43434343434343436</v>
      </c>
      <c r="AD131" s="1279">
        <f t="shared" si="847"/>
        <v>-0.25</v>
      </c>
      <c r="AE131" s="1239">
        <f t="shared" si="847"/>
        <v>0.26315789473684209</v>
      </c>
      <c r="AF131" s="1239">
        <f t="shared" si="847"/>
        <v>0.23664959765910754</v>
      </c>
      <c r="AG131" s="1316">
        <f t="shared" ref="AG131:AJ131" si="848">+AG130/AG129</f>
        <v>18.8</v>
      </c>
      <c r="AH131" s="1279">
        <f t="shared" si="848"/>
        <v>8.7121212121212127E-2</v>
      </c>
      <c r="AI131" s="1239">
        <f t="shared" si="848"/>
        <v>2.8248587570621469E-3</v>
      </c>
      <c r="AJ131" s="1239">
        <f t="shared" si="848"/>
        <v>0.22233072916666674</v>
      </c>
      <c r="AK131" s="1316">
        <f t="shared" ref="AK131:AN131" si="849">+AK130/AK129</f>
        <v>0.85714285714285998</v>
      </c>
      <c r="AL131" s="1279">
        <f t="shared" si="849"/>
        <v>7.5117370892018781E-2</v>
      </c>
      <c r="AM131" s="1239">
        <f t="shared" si="849"/>
        <v>0.17513134851138354</v>
      </c>
      <c r="AN131" s="1239">
        <f t="shared" si="849"/>
        <v>0.23452768729641693</v>
      </c>
      <c r="AO131" s="1316">
        <f t="shared" ref="AO131:AQ131" si="850">+AO130/AO129</f>
        <v>-4.0983606557377046E-2</v>
      </c>
      <c r="AP131" s="1279">
        <f t="shared" si="850"/>
        <v>0.20499108734402852</v>
      </c>
      <c r="AQ131" s="1239">
        <f t="shared" si="850"/>
        <v>0.20253164556962025</v>
      </c>
      <c r="AR131" s="488"/>
      <c r="AS131" s="489"/>
      <c r="AT131" s="487"/>
      <c r="AU131" s="488"/>
      <c r="AV131" s="488"/>
      <c r="AW131" s="489"/>
      <c r="AX131" s="487"/>
      <c r="AY131" s="488"/>
      <c r="AZ131" s="488"/>
      <c r="BA131" s="489"/>
      <c r="BB131" s="341"/>
      <c r="BC131" s="490"/>
      <c r="BD131" s="490">
        <f>+BD130/BD129</f>
        <v>0.33000831255195345</v>
      </c>
      <c r="BE131" s="490">
        <f t="shared" ref="BE131:BM131" si="851">+BE130/BE129</f>
        <v>0.28968544257498169</v>
      </c>
      <c r="BF131" s="490">
        <f t="shared" si="851"/>
        <v>0.15134099616858238</v>
      </c>
      <c r="BG131" s="490">
        <f t="shared" si="851"/>
        <v>0.17224880382775121</v>
      </c>
      <c r="BH131" s="490">
        <f t="shared" si="851"/>
        <v>0.16924476797088261</v>
      </c>
      <c r="BI131" s="490">
        <f t="shared" si="851"/>
        <v>0.19327073552425664</v>
      </c>
      <c r="BJ131" s="490">
        <f t="shared" si="851"/>
        <v>0.18725413060582224</v>
      </c>
      <c r="BK131" s="490">
        <f t="shared" si="851"/>
        <v>0.20240883238541318</v>
      </c>
      <c r="BL131" s="490">
        <f t="shared" si="851"/>
        <v>0.16535211267605637</v>
      </c>
      <c r="BM131" s="490">
        <f t="shared" si="851"/>
        <v>0.19962763756723212</v>
      </c>
      <c r="BN131" s="490">
        <f t="shared" ref="BN131:BO131" si="852">+BN130/BN129</f>
        <v>0.2034965034965035</v>
      </c>
      <c r="BO131" s="490" t="e">
        <f t="shared" si="852"/>
        <v>#DIV/0!</v>
      </c>
      <c r="BP131" s="490" t="e">
        <f t="shared" ref="BP131" si="853">+BP130/BP129</f>
        <v>#DIV/0!</v>
      </c>
      <c r="BQ131" s="341"/>
      <c r="BR131" s="1456"/>
      <c r="BS131" s="1456"/>
      <c r="BT131" s="1456"/>
    </row>
    <row r="132" spans="1:72" s="288" customFormat="1" ht="12" customHeight="1">
      <c r="A132" s="491" t="s">
        <v>303</v>
      </c>
      <c r="B132" s="313">
        <f>+B129-B130</f>
        <v>-31</v>
      </c>
      <c r="C132" s="311">
        <f t="shared" ref="C132:X132" si="854">+C129-C130</f>
        <v>29</v>
      </c>
      <c r="D132" s="311">
        <f t="shared" si="854"/>
        <v>848</v>
      </c>
      <c r="E132" s="312">
        <f t="shared" si="854"/>
        <v>-40</v>
      </c>
      <c r="F132" s="313">
        <f t="shared" si="854"/>
        <v>-30</v>
      </c>
      <c r="G132" s="311">
        <f t="shared" si="854"/>
        <v>13</v>
      </c>
      <c r="H132" s="311">
        <f t="shared" si="854"/>
        <v>964</v>
      </c>
      <c r="I132" s="312">
        <f t="shared" si="854"/>
        <v>24</v>
      </c>
      <c r="J132" s="313">
        <f t="shared" si="854"/>
        <v>-2</v>
      </c>
      <c r="K132" s="311">
        <f t="shared" si="854"/>
        <v>183</v>
      </c>
      <c r="L132" s="311">
        <f t="shared" si="854"/>
        <v>1186</v>
      </c>
      <c r="M132" s="312">
        <f t="shared" si="854"/>
        <v>-38</v>
      </c>
      <c r="N132" s="313">
        <f t="shared" si="854"/>
        <v>34</v>
      </c>
      <c r="O132" s="311">
        <f t="shared" si="854"/>
        <v>189</v>
      </c>
      <c r="P132" s="311">
        <f t="shared" si="854"/>
        <v>1378</v>
      </c>
      <c r="Q132" s="312">
        <f t="shared" si="854"/>
        <v>-44</v>
      </c>
      <c r="R132" s="313">
        <f t="shared" si="854"/>
        <v>57</v>
      </c>
      <c r="S132" s="311">
        <f t="shared" si="854"/>
        <v>240</v>
      </c>
      <c r="T132" s="311">
        <f t="shared" si="854"/>
        <v>1084</v>
      </c>
      <c r="U132" s="312">
        <f t="shared" si="854"/>
        <v>445</v>
      </c>
      <c r="V132" s="313">
        <f t="shared" si="854"/>
        <v>198</v>
      </c>
      <c r="W132" s="311">
        <f t="shared" ref="W132" si="855">+W129-W130</f>
        <v>20</v>
      </c>
      <c r="X132" s="1238">
        <f t="shared" si="854"/>
        <v>1464</v>
      </c>
      <c r="Y132" s="312">
        <f t="shared" ref="Y132:AB132" si="856">+Y129-Y130</f>
        <v>380</v>
      </c>
      <c r="Z132" s="1278">
        <f t="shared" si="856"/>
        <v>228</v>
      </c>
      <c r="AA132" s="1238">
        <f t="shared" si="856"/>
        <v>100</v>
      </c>
      <c r="AB132" s="1238">
        <f t="shared" si="856"/>
        <v>1793.9999999999991</v>
      </c>
      <c r="AC132" s="1315">
        <f t="shared" ref="AC132:AF132" si="857">+AC129-AC130</f>
        <v>-56</v>
      </c>
      <c r="AD132" s="1278">
        <f t="shared" si="857"/>
        <v>40</v>
      </c>
      <c r="AE132" s="1238">
        <f t="shared" si="857"/>
        <v>168</v>
      </c>
      <c r="AF132" s="1238">
        <f t="shared" si="857"/>
        <v>2087</v>
      </c>
      <c r="AG132" s="1315">
        <f t="shared" ref="AG132:AJ132" si="858">+AG129-AG130</f>
        <v>89</v>
      </c>
      <c r="AH132" s="1278">
        <f t="shared" si="858"/>
        <v>241</v>
      </c>
      <c r="AI132" s="1238">
        <f t="shared" si="858"/>
        <v>353</v>
      </c>
      <c r="AJ132" s="1238">
        <f t="shared" si="858"/>
        <v>2388.9999999999991</v>
      </c>
      <c r="AK132" s="1315">
        <f t="shared" ref="AK132:AN132" si="859">+AK129-AK130</f>
        <v>-19.999999999999545</v>
      </c>
      <c r="AL132" s="1278">
        <f t="shared" si="859"/>
        <v>197</v>
      </c>
      <c r="AM132" s="1238">
        <f t="shared" si="859"/>
        <v>471</v>
      </c>
      <c r="AN132" s="1238">
        <f t="shared" si="859"/>
        <v>2820</v>
      </c>
      <c r="AO132" s="1315">
        <f t="shared" ref="AO132:AQ132" si="860">+AO129-AO130</f>
        <v>381</v>
      </c>
      <c r="AP132" s="1278">
        <f t="shared" si="860"/>
        <v>446</v>
      </c>
      <c r="AQ132" s="1238">
        <f t="shared" si="860"/>
        <v>693</v>
      </c>
      <c r="AR132" s="311"/>
      <c r="AS132" s="312"/>
      <c r="AT132" s="313"/>
      <c r="AU132" s="311"/>
      <c r="AV132" s="311"/>
      <c r="AW132" s="312"/>
      <c r="AX132" s="313"/>
      <c r="AY132" s="311"/>
      <c r="AZ132" s="311"/>
      <c r="BA132" s="312"/>
      <c r="BC132" s="372"/>
      <c r="BD132" s="372">
        <f t="shared" ref="BD132" si="861">+SUM(B132:E132)</f>
        <v>806</v>
      </c>
      <c r="BE132" s="372">
        <f t="shared" ref="BE132" si="862">+SUM(F132:I132)</f>
        <v>971</v>
      </c>
      <c r="BF132" s="372">
        <f t="shared" ref="BF132" si="863">+SUM(J132:M132)</f>
        <v>1329</v>
      </c>
      <c r="BG132" s="372">
        <f t="shared" ref="BG132" si="864">SUM(N132:Q132)</f>
        <v>1557</v>
      </c>
      <c r="BH132" s="372">
        <f t="shared" ref="BH132" si="865">+SUM(R132:U132)</f>
        <v>1826</v>
      </c>
      <c r="BI132" s="372">
        <f t="shared" ref="BI132" si="866">SUM(V132:Y132)</f>
        <v>2062</v>
      </c>
      <c r="BJ132" s="372">
        <f t="shared" ref="BJ132" si="867">+SUM(Z132:AC132)</f>
        <v>2065.9999999999991</v>
      </c>
      <c r="BK132" s="372">
        <f t="shared" ref="BK132" si="868">+SUM(AD132:AG132)</f>
        <v>2384</v>
      </c>
      <c r="BL132" s="372">
        <f t="shared" ref="BL132" si="869">+SUM(AH132:AK132)</f>
        <v>2962.9999999999995</v>
      </c>
      <c r="BM132" s="372">
        <f t="shared" ref="BM132" si="870">+SUM(AL132:AO132)</f>
        <v>3869</v>
      </c>
      <c r="BN132" s="372">
        <f>+SUM(AP132:AS132)</f>
        <v>1139</v>
      </c>
      <c r="BO132" s="372">
        <f>+SUM(AT132:AW132)</f>
        <v>0</v>
      </c>
      <c r="BP132" s="372">
        <f>+SUM(AX132:BA132)</f>
        <v>0</v>
      </c>
      <c r="BR132" s="1378"/>
      <c r="BS132" s="1378"/>
      <c r="BT132" s="1378"/>
    </row>
    <row r="133" spans="1:72" ht="12" customHeight="1">
      <c r="A133" s="492"/>
      <c r="B133" s="493"/>
      <c r="C133" s="478"/>
      <c r="D133" s="478"/>
      <c r="E133" s="479"/>
      <c r="F133" s="493"/>
      <c r="G133" s="478"/>
      <c r="H133" s="478"/>
      <c r="I133" s="479"/>
      <c r="J133" s="493"/>
      <c r="K133" s="478"/>
      <c r="L133" s="478"/>
      <c r="M133" s="479"/>
      <c r="N133" s="493"/>
      <c r="O133" s="478"/>
      <c r="P133" s="478"/>
      <c r="Q133" s="479"/>
      <c r="R133" s="493"/>
      <c r="S133" s="478"/>
      <c r="T133" s="478"/>
      <c r="U133" s="479"/>
      <c r="V133" s="478"/>
      <c r="W133" s="478"/>
      <c r="X133" s="1240"/>
      <c r="Y133" s="479"/>
      <c r="Z133" s="1240"/>
      <c r="AA133" s="478"/>
      <c r="AB133" s="478"/>
      <c r="AC133" s="479"/>
      <c r="AD133" s="493"/>
      <c r="AE133" s="478"/>
      <c r="AF133" s="478"/>
      <c r="AG133" s="479"/>
      <c r="AH133" s="1370"/>
      <c r="AI133" s="478"/>
      <c r="AJ133" s="478"/>
      <c r="AK133" s="479"/>
      <c r="AL133" s="493"/>
      <c r="AM133" s="1240"/>
      <c r="AN133" s="478"/>
      <c r="AO133" s="479"/>
      <c r="AP133" s="493"/>
      <c r="AQ133" s="1240"/>
      <c r="AR133" s="478"/>
      <c r="AS133" s="479"/>
      <c r="AT133" s="493"/>
      <c r="AU133" s="478"/>
      <c r="AV133" s="478"/>
      <c r="AW133" s="479"/>
      <c r="AX133" s="493"/>
      <c r="AY133" s="478"/>
      <c r="AZ133" s="478"/>
      <c r="BA133" s="479"/>
      <c r="BC133" s="481"/>
      <c r="BD133" s="481"/>
      <c r="BE133" s="494"/>
      <c r="BF133" s="494"/>
      <c r="BG133" s="481"/>
      <c r="BH133" s="481"/>
      <c r="BI133" s="481"/>
      <c r="BJ133" s="481"/>
      <c r="BK133" s="481"/>
      <c r="BL133" s="481"/>
      <c r="BM133" s="481"/>
      <c r="BN133" s="481"/>
      <c r="BO133" s="481"/>
      <c r="BP133" s="481"/>
    </row>
    <row r="134" spans="1:72" ht="12" hidden="1" customHeight="1" outlineLevel="1">
      <c r="A134" s="558" t="s">
        <v>307</v>
      </c>
      <c r="B134" s="2086">
        <v>0</v>
      </c>
      <c r="C134" s="2082">
        <v>-5</v>
      </c>
      <c r="D134" s="2082">
        <v>178</v>
      </c>
      <c r="E134" s="2083">
        <v>0</v>
      </c>
      <c r="F134" s="2086">
        <v>0</v>
      </c>
      <c r="G134" s="2082">
        <v>0</v>
      </c>
      <c r="H134" s="2082">
        <v>0</v>
      </c>
      <c r="I134" s="2083">
        <v>0</v>
      </c>
      <c r="J134" s="2086">
        <v>0</v>
      </c>
      <c r="K134" s="2082">
        <v>0</v>
      </c>
      <c r="L134" s="2082">
        <v>0</v>
      </c>
      <c r="M134" s="2083">
        <v>0</v>
      </c>
      <c r="N134" s="2086">
        <v>0</v>
      </c>
      <c r="O134" s="2082">
        <v>0</v>
      </c>
      <c r="P134" s="2082">
        <v>0</v>
      </c>
      <c r="Q134" s="2083">
        <v>0</v>
      </c>
      <c r="R134" s="2086">
        <v>0</v>
      </c>
      <c r="S134" s="2082">
        <v>0</v>
      </c>
      <c r="T134" s="2082">
        <v>0</v>
      </c>
      <c r="U134" s="2083">
        <v>0</v>
      </c>
      <c r="V134" s="2086">
        <v>0</v>
      </c>
      <c r="W134" s="2082">
        <v>0</v>
      </c>
      <c r="X134" s="2082">
        <v>0</v>
      </c>
      <c r="Y134" s="2083">
        <v>0</v>
      </c>
      <c r="Z134" s="2087">
        <v>0</v>
      </c>
      <c r="AA134" s="307"/>
      <c r="AB134" s="2082">
        <v>0</v>
      </c>
      <c r="AC134" s="308"/>
      <c r="AD134" s="307"/>
      <c r="AE134" s="307"/>
      <c r="AF134" s="307"/>
      <c r="AG134" s="308"/>
      <c r="AH134" s="1277"/>
      <c r="AI134" s="307"/>
      <c r="AJ134" s="307"/>
      <c r="AK134" s="308"/>
      <c r="AL134" s="309"/>
      <c r="AM134" s="508"/>
      <c r="AN134" s="307"/>
      <c r="AO134" s="308"/>
      <c r="AP134" s="309"/>
      <c r="AQ134" s="508"/>
      <c r="AR134" s="307"/>
      <c r="AS134" s="308"/>
      <c r="AT134" s="309"/>
      <c r="AU134" s="307"/>
      <c r="AV134" s="307"/>
      <c r="AW134" s="308"/>
      <c r="AX134" s="309"/>
      <c r="AY134" s="307"/>
      <c r="AZ134" s="307"/>
      <c r="BA134" s="308"/>
      <c r="BC134" s="368"/>
      <c r="BD134" s="368"/>
      <c r="BE134" s="368"/>
      <c r="BF134" s="368"/>
      <c r="BG134" s="368"/>
      <c r="BH134" s="368"/>
      <c r="BI134" s="368"/>
      <c r="BJ134" s="368"/>
      <c r="BK134" s="368"/>
      <c r="BL134" s="368"/>
      <c r="BM134" s="368"/>
      <c r="BN134" s="368"/>
      <c r="BO134" s="368"/>
      <c r="BP134" s="368"/>
    </row>
    <row r="135" spans="1:72" s="288" customFormat="1" ht="12" hidden="1" customHeight="1" outlineLevel="1">
      <c r="A135" s="491" t="s">
        <v>308</v>
      </c>
      <c r="B135" s="313">
        <f>+B132+B134</f>
        <v>-31</v>
      </c>
      <c r="C135" s="311">
        <f t="shared" ref="C135:V135" si="871">+C132+C134</f>
        <v>24</v>
      </c>
      <c r="D135" s="311">
        <f t="shared" si="871"/>
        <v>1026</v>
      </c>
      <c r="E135" s="312">
        <f t="shared" si="871"/>
        <v>-40</v>
      </c>
      <c r="F135" s="313">
        <f t="shared" si="871"/>
        <v>-30</v>
      </c>
      <c r="G135" s="311">
        <f t="shared" si="871"/>
        <v>13</v>
      </c>
      <c r="H135" s="311">
        <f t="shared" si="871"/>
        <v>964</v>
      </c>
      <c r="I135" s="312">
        <f t="shared" si="871"/>
        <v>24</v>
      </c>
      <c r="J135" s="313">
        <f t="shared" si="871"/>
        <v>-2</v>
      </c>
      <c r="K135" s="311">
        <f t="shared" si="871"/>
        <v>183</v>
      </c>
      <c r="L135" s="311">
        <f t="shared" si="871"/>
        <v>1186</v>
      </c>
      <c r="M135" s="312">
        <f t="shared" si="871"/>
        <v>-38</v>
      </c>
      <c r="N135" s="313">
        <f t="shared" si="871"/>
        <v>34</v>
      </c>
      <c r="O135" s="311">
        <f t="shared" si="871"/>
        <v>189</v>
      </c>
      <c r="P135" s="311">
        <f t="shared" si="871"/>
        <v>1378</v>
      </c>
      <c r="Q135" s="312">
        <f t="shared" si="871"/>
        <v>-44</v>
      </c>
      <c r="R135" s="313">
        <f t="shared" si="871"/>
        <v>57</v>
      </c>
      <c r="S135" s="311">
        <f t="shared" si="871"/>
        <v>240</v>
      </c>
      <c r="T135" s="311">
        <f t="shared" si="871"/>
        <v>1084</v>
      </c>
      <c r="U135" s="312">
        <f t="shared" si="871"/>
        <v>445</v>
      </c>
      <c r="V135" s="313">
        <f t="shared" si="871"/>
        <v>198</v>
      </c>
      <c r="W135" s="311">
        <f t="shared" ref="W135:AC135" si="872">+W132+W134</f>
        <v>20</v>
      </c>
      <c r="X135" s="311">
        <f t="shared" si="872"/>
        <v>1464</v>
      </c>
      <c r="Y135" s="312">
        <f t="shared" si="872"/>
        <v>380</v>
      </c>
      <c r="Z135" s="1278">
        <f t="shared" si="872"/>
        <v>228</v>
      </c>
      <c r="AA135" s="311">
        <f t="shared" si="872"/>
        <v>100</v>
      </c>
      <c r="AB135" s="311">
        <f t="shared" ref="AB135" si="873">+AB132+AB134</f>
        <v>1793.9999999999991</v>
      </c>
      <c r="AC135" s="312">
        <f t="shared" si="872"/>
        <v>-56</v>
      </c>
      <c r="AD135" s="311">
        <f t="shared" ref="AD135:AJ135" si="874">+AD132+AD134</f>
        <v>40</v>
      </c>
      <c r="AE135" s="311">
        <f t="shared" si="874"/>
        <v>168</v>
      </c>
      <c r="AF135" s="311">
        <f t="shared" si="874"/>
        <v>2087</v>
      </c>
      <c r="AG135" s="312">
        <f t="shared" si="874"/>
        <v>89</v>
      </c>
      <c r="AH135" s="1238">
        <f t="shared" ref="AH135" si="875">+AH132+AH134</f>
        <v>241</v>
      </c>
      <c r="AI135" s="311">
        <f t="shared" si="874"/>
        <v>353</v>
      </c>
      <c r="AJ135" s="311">
        <f t="shared" si="874"/>
        <v>2388.9999999999991</v>
      </c>
      <c r="AK135" s="312">
        <f t="shared" ref="AK135:AN135" si="876">+AK132+AK134</f>
        <v>-19.999999999999545</v>
      </c>
      <c r="AL135" s="1238">
        <f t="shared" si="876"/>
        <v>197</v>
      </c>
      <c r="AM135" s="1238">
        <f t="shared" si="876"/>
        <v>471</v>
      </c>
      <c r="AN135" s="573">
        <f t="shared" si="876"/>
        <v>2820</v>
      </c>
      <c r="AO135" s="312">
        <f t="shared" ref="AO135:AQ135" si="877">+AO132+AO134</f>
        <v>381</v>
      </c>
      <c r="AP135" s="1238">
        <f t="shared" si="877"/>
        <v>446</v>
      </c>
      <c r="AQ135" s="1238">
        <f t="shared" si="877"/>
        <v>693</v>
      </c>
      <c r="AR135" s="311"/>
      <c r="AS135" s="312"/>
      <c r="AT135" s="313"/>
      <c r="AU135" s="311"/>
      <c r="AV135" s="311"/>
      <c r="AW135" s="312"/>
      <c r="AX135" s="313"/>
      <c r="AY135" s="311"/>
      <c r="AZ135" s="311"/>
      <c r="BA135" s="312"/>
      <c r="BC135" s="372"/>
      <c r="BD135" s="372"/>
      <c r="BE135" s="372"/>
      <c r="BF135" s="372"/>
      <c r="BG135" s="372"/>
      <c r="BH135" s="372"/>
      <c r="BI135" s="372"/>
      <c r="BJ135" s="372"/>
      <c r="BK135" s="372"/>
      <c r="BL135" s="372"/>
      <c r="BM135" s="372"/>
      <c r="BN135" s="372"/>
      <c r="BO135" s="372"/>
      <c r="BP135" s="372"/>
      <c r="BR135" s="1378"/>
      <c r="BS135" s="1378"/>
      <c r="BT135" s="1378"/>
    </row>
    <row r="136" spans="1:72" ht="12" hidden="1" customHeight="1" outlineLevel="1">
      <c r="A136" s="492"/>
      <c r="B136" s="477"/>
      <c r="C136" s="478"/>
      <c r="D136" s="478"/>
      <c r="E136" s="479"/>
      <c r="F136" s="478"/>
      <c r="G136" s="478"/>
      <c r="H136" s="478"/>
      <c r="I136" s="479"/>
      <c r="J136" s="478"/>
      <c r="K136" s="478"/>
      <c r="L136" s="478"/>
      <c r="M136" s="479"/>
      <c r="N136" s="477"/>
      <c r="O136" s="478"/>
      <c r="P136" s="478"/>
      <c r="Q136" s="479"/>
      <c r="R136" s="477"/>
      <c r="S136" s="478"/>
      <c r="T136" s="478"/>
      <c r="U136" s="479"/>
      <c r="V136" s="478"/>
      <c r="W136" s="478"/>
      <c r="X136" s="1240"/>
      <c r="Y136" s="479"/>
      <c r="Z136" s="1240"/>
      <c r="AA136" s="478"/>
      <c r="AB136" s="478"/>
      <c r="AC136" s="479"/>
      <c r="AD136" s="478"/>
      <c r="AE136" s="478"/>
      <c r="AF136" s="478"/>
      <c r="AG136" s="479"/>
      <c r="AH136" s="1240"/>
      <c r="AI136" s="478"/>
      <c r="AJ136" s="478"/>
      <c r="AK136" s="479"/>
      <c r="AL136" s="478"/>
      <c r="AM136" s="1240"/>
      <c r="AN136" s="478"/>
      <c r="AO136" s="479"/>
      <c r="AP136" s="478"/>
      <c r="AQ136" s="1240"/>
      <c r="AR136" s="478"/>
      <c r="AS136" s="479"/>
      <c r="AT136" s="478"/>
      <c r="AU136" s="478"/>
      <c r="AV136" s="478"/>
      <c r="AW136" s="479"/>
      <c r="AX136" s="478"/>
      <c r="AY136" s="478"/>
      <c r="AZ136" s="478"/>
      <c r="BA136" s="479"/>
      <c r="BC136" s="481"/>
      <c r="BD136" s="481"/>
      <c r="BE136" s="494"/>
      <c r="BF136" s="494"/>
      <c r="BG136" s="481"/>
      <c r="BH136" s="481"/>
      <c r="BI136" s="481"/>
      <c r="BJ136" s="481"/>
      <c r="BK136" s="481"/>
      <c r="BL136" s="481"/>
      <c r="BM136" s="481"/>
      <c r="BN136" s="481"/>
      <c r="BO136" s="481"/>
      <c r="BP136" s="481"/>
    </row>
    <row r="137" spans="1:72" ht="12" customHeight="1" collapsed="1">
      <c r="A137" s="414" t="s">
        <v>38</v>
      </c>
      <c r="B137" s="495">
        <f>+B135/B140</f>
        <v>-0.11397058823529412</v>
      </c>
      <c r="C137" s="496">
        <f t="shared" ref="C137:V137" si="878">+C135/C140</f>
        <v>9.0225563909774431E-2</v>
      </c>
      <c r="D137" s="496">
        <f t="shared" si="878"/>
        <v>3.9461538461538463</v>
      </c>
      <c r="E137" s="497">
        <f t="shared" si="878"/>
        <v>-0.1556420233463035</v>
      </c>
      <c r="F137" s="496">
        <f t="shared" si="878"/>
        <v>-0.11627906976744186</v>
      </c>
      <c r="G137" s="496">
        <f t="shared" si="878"/>
        <v>0.05</v>
      </c>
      <c r="H137" s="496">
        <f t="shared" si="878"/>
        <v>3.7076923076923078</v>
      </c>
      <c r="I137" s="497">
        <f t="shared" si="878"/>
        <v>9.1954022988505746E-2</v>
      </c>
      <c r="J137" s="496">
        <f t="shared" si="878"/>
        <v>-7.8125E-3</v>
      </c>
      <c r="K137" s="496">
        <f t="shared" si="878"/>
        <v>0.7038461538461539</v>
      </c>
      <c r="L137" s="496">
        <f t="shared" si="878"/>
        <v>4.5267175572519083</v>
      </c>
      <c r="M137" s="497">
        <f t="shared" si="878"/>
        <v>-0.14728682170542637</v>
      </c>
      <c r="N137" s="495">
        <f t="shared" si="878"/>
        <v>0.12878787878787878</v>
      </c>
      <c r="O137" s="496">
        <f t="shared" si="878"/>
        <v>0.71590909090909094</v>
      </c>
      <c r="P137" s="496">
        <f t="shared" si="878"/>
        <v>5.2196969696969697</v>
      </c>
      <c r="Q137" s="497">
        <f t="shared" si="878"/>
        <v>-0.16666666666666666</v>
      </c>
      <c r="R137" s="495">
        <f t="shared" si="878"/>
        <v>0.21590909090909091</v>
      </c>
      <c r="S137" s="496">
        <f t="shared" si="878"/>
        <v>0.90909090909090906</v>
      </c>
      <c r="T137" s="496">
        <f t="shared" si="878"/>
        <v>4.1138519924098675</v>
      </c>
      <c r="U137" s="497">
        <f t="shared" si="878"/>
        <v>1.6856060606060606</v>
      </c>
      <c r="V137" s="495">
        <f t="shared" si="878"/>
        <v>0.74716981132075466</v>
      </c>
      <c r="W137" s="496">
        <f t="shared" ref="W137:Z137" si="879">+W135/W140</f>
        <v>7.3260073260073263E-2</v>
      </c>
      <c r="X137" s="1241">
        <f t="shared" si="879"/>
        <v>5.3043478260869561</v>
      </c>
      <c r="Y137" s="497">
        <f t="shared" si="879"/>
        <v>1.371841155234657</v>
      </c>
      <c r="Z137" s="1280">
        <f t="shared" si="879"/>
        <v>0.82310469314079426</v>
      </c>
      <c r="AA137" s="1241">
        <f t="shared" ref="AA137:AD137" si="880">+AA135/AA140</f>
        <v>0.34843205574912894</v>
      </c>
      <c r="AB137" s="1241">
        <f t="shared" si="880"/>
        <v>6.2727272727272698</v>
      </c>
      <c r="AC137" s="497">
        <f t="shared" si="880"/>
        <v>-0.19858156028368795</v>
      </c>
      <c r="AD137" s="1280">
        <f t="shared" si="880"/>
        <v>0.14234875444839859</v>
      </c>
      <c r="AE137" s="1241">
        <f t="shared" ref="AE137:AH137" si="881">+AE135/AE140</f>
        <v>0.58536585365853655</v>
      </c>
      <c r="AF137" s="1241">
        <f t="shared" si="881"/>
        <v>7.3745583038869258</v>
      </c>
      <c r="AG137" s="497">
        <f t="shared" si="881"/>
        <v>0.32129963898916969</v>
      </c>
      <c r="AH137" s="1280">
        <f t="shared" si="881"/>
        <v>0.86071428571428577</v>
      </c>
      <c r="AI137" s="1241">
        <f t="shared" ref="AI137:AL137" si="882">+AI135/AI140</f>
        <v>1.2607142857142857</v>
      </c>
      <c r="AJ137" s="1241">
        <f t="shared" si="882"/>
        <v>8.532142857142853</v>
      </c>
      <c r="AK137" s="497">
        <f t="shared" si="882"/>
        <v>-7.1428571428569801E-2</v>
      </c>
      <c r="AL137" s="1280">
        <f t="shared" si="882"/>
        <v>0.70357142857142863</v>
      </c>
      <c r="AM137" s="1241">
        <f t="shared" ref="AM137:AP137" si="883">+AM135/AM140</f>
        <v>1.6821428571428572</v>
      </c>
      <c r="AN137" s="1241">
        <f t="shared" si="883"/>
        <v>10.071428571428571</v>
      </c>
      <c r="AO137" s="497">
        <f t="shared" si="883"/>
        <v>1.3655913978494623</v>
      </c>
      <c r="AP137" s="1280">
        <f t="shared" si="883"/>
        <v>1.5871886120996441</v>
      </c>
      <c r="AQ137" s="1241">
        <f t="shared" ref="AQ137" si="884">+AQ135/AQ140</f>
        <v>2.4928057553956835</v>
      </c>
      <c r="AR137" s="496"/>
      <c r="AS137" s="497"/>
      <c r="AT137" s="496"/>
      <c r="AU137" s="496"/>
      <c r="AV137" s="496"/>
      <c r="AW137" s="497"/>
      <c r="AX137" s="496"/>
      <c r="AY137" s="496"/>
      <c r="AZ137" s="496"/>
      <c r="BA137" s="497"/>
      <c r="BC137" s="498"/>
      <c r="BD137" s="498">
        <f>+BD132/BD140</f>
        <v>3.0559241706161138</v>
      </c>
      <c r="BE137" s="498">
        <f t="shared" ref="BE137:BM137" si="885">+BE132/BE140</f>
        <v>3.7382098171318576</v>
      </c>
      <c r="BF137" s="498">
        <f t="shared" si="885"/>
        <v>5.1312741312741315</v>
      </c>
      <c r="BG137" s="498">
        <f t="shared" si="885"/>
        <v>5.8977272727272725</v>
      </c>
      <c r="BH137" s="498">
        <f t="shared" si="885"/>
        <v>6.9199431549028896</v>
      </c>
      <c r="BI137" s="498">
        <f t="shared" si="885"/>
        <v>7.5600366636113661</v>
      </c>
      <c r="BJ137" s="498">
        <f t="shared" si="885"/>
        <v>7.3003533568904562</v>
      </c>
      <c r="BK137" s="498">
        <f t="shared" si="885"/>
        <v>8.4539007092198588</v>
      </c>
      <c r="BL137" s="498">
        <f t="shared" si="885"/>
        <v>10.582142857142856</v>
      </c>
      <c r="BM137" s="498">
        <f t="shared" si="885"/>
        <v>13.830205540661305</v>
      </c>
      <c r="BN137" s="498">
        <f t="shared" ref="BN137:BO137" si="886">+BN132/BN140</f>
        <v>4.0751341681574242</v>
      </c>
      <c r="BO137" s="498" t="e">
        <f t="shared" si="886"/>
        <v>#DIV/0!</v>
      </c>
      <c r="BP137" s="498" t="e">
        <f t="shared" ref="BP137" si="887">+BP132/BP140</f>
        <v>#DIV/0!</v>
      </c>
    </row>
    <row r="138" spans="1:72" s="288" customFormat="1" ht="12" customHeight="1">
      <c r="A138" s="492" t="s">
        <v>304</v>
      </c>
      <c r="B138" s="345">
        <f>+B135/B141</f>
        <v>-0.11397058823529412</v>
      </c>
      <c r="C138" s="344">
        <f t="shared" ref="C138:V138" si="888">+C135/C141</f>
        <v>9.0225563909774431E-2</v>
      </c>
      <c r="D138" s="344">
        <f t="shared" si="888"/>
        <v>3.9461538461538463</v>
      </c>
      <c r="E138" s="346">
        <f t="shared" si="888"/>
        <v>-0.15384615384615385</v>
      </c>
      <c r="F138" s="344">
        <f t="shared" si="888"/>
        <v>-0.11627906976744186</v>
      </c>
      <c r="G138" s="344">
        <f t="shared" si="888"/>
        <v>0.05</v>
      </c>
      <c r="H138" s="344">
        <f t="shared" si="888"/>
        <v>3.7076923076923078</v>
      </c>
      <c r="I138" s="346">
        <f t="shared" si="888"/>
        <v>9.2307692307692313E-2</v>
      </c>
      <c r="J138" s="344">
        <f t="shared" si="888"/>
        <v>-7.7220077220077222E-3</v>
      </c>
      <c r="K138" s="344">
        <f t="shared" si="888"/>
        <v>0.7038461538461539</v>
      </c>
      <c r="L138" s="344">
        <f t="shared" si="888"/>
        <v>4.5267175572519083</v>
      </c>
      <c r="M138" s="346">
        <f t="shared" si="888"/>
        <v>-0.14728682170542637</v>
      </c>
      <c r="N138" s="345">
        <f t="shared" si="888"/>
        <v>0.12878787878787878</v>
      </c>
      <c r="O138" s="344">
        <f t="shared" si="888"/>
        <v>0.71590909090909094</v>
      </c>
      <c r="P138" s="344">
        <f t="shared" si="888"/>
        <v>5.2196969696969697</v>
      </c>
      <c r="Q138" s="346">
        <f t="shared" si="888"/>
        <v>-0.16923076923076924</v>
      </c>
      <c r="R138" s="345">
        <f t="shared" si="888"/>
        <v>0.21590909090909091</v>
      </c>
      <c r="S138" s="344">
        <f t="shared" si="888"/>
        <v>0.90909090909090906</v>
      </c>
      <c r="T138" s="344">
        <f t="shared" si="888"/>
        <v>4.1138519924098675</v>
      </c>
      <c r="U138" s="346">
        <f t="shared" si="888"/>
        <v>1.6856060606060606</v>
      </c>
      <c r="V138" s="345">
        <f t="shared" si="888"/>
        <v>0.74716981132075466</v>
      </c>
      <c r="W138" s="344">
        <f t="shared" ref="W138:Z138" si="889">+W135/W141</f>
        <v>7.3260073260073263E-2</v>
      </c>
      <c r="X138" s="388">
        <f t="shared" si="889"/>
        <v>5.3043478260869561</v>
      </c>
      <c r="Y138" s="346">
        <f t="shared" si="889"/>
        <v>1.371841155234657</v>
      </c>
      <c r="Z138" s="1281">
        <f t="shared" si="889"/>
        <v>0.82310469314079426</v>
      </c>
      <c r="AA138" s="388">
        <f t="shared" ref="AA138:AD138" si="890">+AA135/AA141</f>
        <v>0.34843205574912894</v>
      </c>
      <c r="AB138" s="388">
        <f t="shared" si="890"/>
        <v>6.2727272727272698</v>
      </c>
      <c r="AC138" s="346">
        <f t="shared" si="890"/>
        <v>-0.19858156028368795</v>
      </c>
      <c r="AD138" s="1281">
        <f t="shared" si="890"/>
        <v>0.14094432699083861</v>
      </c>
      <c r="AE138" s="388">
        <f t="shared" ref="AE138:AH138" si="891">+AE135/AE141</f>
        <v>0.59490084985835701</v>
      </c>
      <c r="AF138" s="388">
        <f t="shared" si="891"/>
        <v>7.3641496118560346</v>
      </c>
      <c r="AG138" s="346">
        <f t="shared" si="891"/>
        <v>0.3143321325139507</v>
      </c>
      <c r="AH138" s="1281">
        <f t="shared" si="891"/>
        <v>0.85159010600706708</v>
      </c>
      <c r="AI138" s="388">
        <f t="shared" ref="AI138:AL138" si="892">+AI135/AI141</f>
        <v>1.2429577464788732</v>
      </c>
      <c r="AJ138" s="388">
        <f t="shared" si="892"/>
        <v>8.420867113147688</v>
      </c>
      <c r="AK138" s="346">
        <f t="shared" si="892"/>
        <v>-7.0671378091871184E-2</v>
      </c>
      <c r="AL138" s="1281">
        <f t="shared" si="892"/>
        <v>0.69611307420494695</v>
      </c>
      <c r="AM138" s="388">
        <f t="shared" ref="AM138:AP138" si="893">+AM135/AM141</f>
        <v>1.6643109540636043</v>
      </c>
      <c r="AN138" s="388">
        <f t="shared" si="893"/>
        <v>10.017761989342807</v>
      </c>
      <c r="AO138" s="346">
        <f t="shared" si="893"/>
        <v>1.3510638297872339</v>
      </c>
      <c r="AP138" s="1281">
        <f t="shared" si="893"/>
        <v>1.5871886120996441</v>
      </c>
      <c r="AQ138" s="388">
        <f t="shared" ref="AQ138" si="894">+AQ135/AQ141</f>
        <v>2.4776546299606723</v>
      </c>
      <c r="AR138" s="499"/>
      <c r="AS138" s="500"/>
      <c r="AT138" s="499"/>
      <c r="AU138" s="499"/>
      <c r="AV138" s="499"/>
      <c r="AW138" s="500"/>
      <c r="AX138" s="499"/>
      <c r="AY138" s="499"/>
      <c r="AZ138" s="499"/>
      <c r="BA138" s="500"/>
      <c r="BC138" s="501"/>
      <c r="BD138" s="501">
        <f>+BD132/BD141</f>
        <v>3.0472589792060489</v>
      </c>
      <c r="BE138" s="501">
        <f t="shared" ref="BE138:BM138" si="895">+BE132/BE141</f>
        <v>3.7418111753371868</v>
      </c>
      <c r="BF138" s="501">
        <f t="shared" si="895"/>
        <v>5.1164581328200196</v>
      </c>
      <c r="BG138" s="501">
        <f t="shared" si="895"/>
        <v>5.9201520912547529</v>
      </c>
      <c r="BH138" s="501">
        <f t="shared" si="895"/>
        <v>6.9199431549028896</v>
      </c>
      <c r="BI138" s="501">
        <f t="shared" si="895"/>
        <v>7.5600366636113661</v>
      </c>
      <c r="BJ138" s="501">
        <f t="shared" si="895"/>
        <v>7.3003533568904562</v>
      </c>
      <c r="BK138" s="501">
        <f t="shared" si="895"/>
        <v>8.4185249924960708</v>
      </c>
      <c r="BL138" s="501">
        <f t="shared" si="895"/>
        <v>10.454264796683423</v>
      </c>
      <c r="BM138" s="501">
        <f t="shared" si="895"/>
        <v>13.701637892872952</v>
      </c>
      <c r="BN138" s="501">
        <f t="shared" ref="BN138:BO138" si="896">+BN132/BN141</f>
        <v>4.0627786695202426</v>
      </c>
      <c r="BO138" s="501" t="e">
        <f t="shared" si="896"/>
        <v>#DIV/0!</v>
      </c>
      <c r="BP138" s="501" t="e">
        <f t="shared" ref="BP138" si="897">+BP132/BP141</f>
        <v>#DIV/0!</v>
      </c>
      <c r="BR138" s="1378"/>
      <c r="BS138" s="1378"/>
      <c r="BT138" s="1378"/>
    </row>
    <row r="139" spans="1:72" ht="12" customHeight="1">
      <c r="A139" s="492"/>
      <c r="B139" s="345"/>
      <c r="C139" s="344"/>
      <c r="D139" s="344"/>
      <c r="E139" s="346"/>
      <c r="F139" s="344"/>
      <c r="G139" s="344"/>
      <c r="H139" s="344"/>
      <c r="I139" s="346"/>
      <c r="J139" s="344"/>
      <c r="K139" s="344"/>
      <c r="L139" s="344"/>
      <c r="M139" s="346"/>
      <c r="N139" s="345"/>
      <c r="O139" s="344"/>
      <c r="P139" s="344"/>
      <c r="Q139" s="346"/>
      <c r="R139" s="344"/>
      <c r="S139" s="344"/>
      <c r="T139" s="344"/>
      <c r="U139" s="346"/>
      <c r="V139" s="344"/>
      <c r="W139" s="344"/>
      <c r="X139" s="344"/>
      <c r="Y139" s="346"/>
      <c r="Z139" s="388"/>
      <c r="AA139" s="344"/>
      <c r="AB139" s="344"/>
      <c r="AC139" s="346"/>
      <c r="AD139" s="344"/>
      <c r="AE139" s="344"/>
      <c r="AF139" s="344"/>
      <c r="AG139" s="346"/>
      <c r="AH139" s="388"/>
      <c r="AI139" s="344"/>
      <c r="AJ139" s="344"/>
      <c r="AK139" s="346"/>
      <c r="AL139" s="344"/>
      <c r="AM139" s="388"/>
      <c r="AN139" s="344"/>
      <c r="AO139" s="346"/>
      <c r="AP139" s="344"/>
      <c r="AQ139" s="388"/>
      <c r="AR139" s="344"/>
      <c r="AS139" s="346"/>
      <c r="AT139" s="344"/>
      <c r="AU139" s="344"/>
      <c r="AV139" s="344"/>
      <c r="AW139" s="346"/>
      <c r="AX139" s="344"/>
      <c r="AY139" s="344"/>
      <c r="AZ139" s="344"/>
      <c r="BA139" s="346"/>
      <c r="BC139" s="481"/>
      <c r="BD139" s="481"/>
      <c r="BE139" s="494"/>
      <c r="BF139" s="494"/>
      <c r="BG139" s="481"/>
      <c r="BH139" s="481"/>
      <c r="BI139" s="481"/>
      <c r="BJ139" s="481"/>
      <c r="BK139" s="481"/>
      <c r="BL139" s="481"/>
      <c r="BM139" s="481"/>
      <c r="BN139" s="481"/>
      <c r="BO139" s="481"/>
      <c r="BP139" s="481"/>
    </row>
    <row r="140" spans="1:72" ht="12" customHeight="1">
      <c r="A140" s="414" t="s">
        <v>305</v>
      </c>
      <c r="B140" s="2141">
        <v>272</v>
      </c>
      <c r="C140" s="2142">
        <v>266</v>
      </c>
      <c r="D140" s="2142">
        <v>260</v>
      </c>
      <c r="E140" s="2143">
        <v>257</v>
      </c>
      <c r="F140" s="2142">
        <v>258</v>
      </c>
      <c r="G140" s="2142">
        <v>260</v>
      </c>
      <c r="H140" s="2142">
        <v>260</v>
      </c>
      <c r="I140" s="2143">
        <v>261</v>
      </c>
      <c r="J140" s="2142">
        <v>256</v>
      </c>
      <c r="K140" s="2142">
        <v>260</v>
      </c>
      <c r="L140" s="2142">
        <v>262</v>
      </c>
      <c r="M140" s="2143">
        <v>258</v>
      </c>
      <c r="N140" s="2141">
        <v>264</v>
      </c>
      <c r="O140" s="2142">
        <v>264</v>
      </c>
      <c r="P140" s="2142">
        <v>264</v>
      </c>
      <c r="Q140" s="2143">
        <v>264</v>
      </c>
      <c r="R140" s="2142">
        <v>264</v>
      </c>
      <c r="S140" s="2142">
        <v>264</v>
      </c>
      <c r="T140" s="2142">
        <v>263.5</v>
      </c>
      <c r="U140" s="2143">
        <v>264</v>
      </c>
      <c r="V140" s="2142">
        <v>265</v>
      </c>
      <c r="W140" s="2142">
        <v>273</v>
      </c>
      <c r="X140" s="2144">
        <v>276</v>
      </c>
      <c r="Y140" s="2143">
        <v>277</v>
      </c>
      <c r="Z140" s="2144">
        <v>277</v>
      </c>
      <c r="AA140" s="2144">
        <v>287</v>
      </c>
      <c r="AB140" s="2144">
        <v>286</v>
      </c>
      <c r="AC140" s="2143">
        <v>282</v>
      </c>
      <c r="AD140" s="2144">
        <v>281</v>
      </c>
      <c r="AE140" s="2144">
        <v>287</v>
      </c>
      <c r="AF140" s="2144">
        <v>283</v>
      </c>
      <c r="AG140" s="2143">
        <v>277</v>
      </c>
      <c r="AH140" s="2144">
        <v>280</v>
      </c>
      <c r="AI140" s="2144">
        <v>280</v>
      </c>
      <c r="AJ140" s="2144">
        <v>280</v>
      </c>
      <c r="AK140" s="2145">
        <v>280</v>
      </c>
      <c r="AL140" s="2144">
        <v>280</v>
      </c>
      <c r="AM140" s="2144">
        <v>280</v>
      </c>
      <c r="AN140" s="2144">
        <v>280</v>
      </c>
      <c r="AO140" s="2145">
        <v>279</v>
      </c>
      <c r="AP140" s="2144">
        <v>281</v>
      </c>
      <c r="AQ140" s="2144">
        <v>278</v>
      </c>
      <c r="AR140" s="503"/>
      <c r="AS140" s="502"/>
      <c r="AT140" s="503"/>
      <c r="AU140" s="503"/>
      <c r="AV140" s="503"/>
      <c r="AW140" s="502"/>
      <c r="AX140" s="503"/>
      <c r="AY140" s="503"/>
      <c r="AZ140" s="503"/>
      <c r="BA140" s="502"/>
      <c r="BB140" s="414"/>
      <c r="BC140" s="504"/>
      <c r="BD140" s="643">
        <f t="shared" ref="BD140:BD141" si="898">AVERAGE(B140:E140)</f>
        <v>263.75</v>
      </c>
      <c r="BE140" s="643">
        <f t="shared" ref="BE140:BE141" si="899">+AVERAGE(F140:I140)</f>
        <v>259.75</v>
      </c>
      <c r="BF140" s="643">
        <f t="shared" ref="BF140:BF141" si="900">+AVERAGE(J140:M140)</f>
        <v>259</v>
      </c>
      <c r="BG140" s="643">
        <f t="shared" ref="BG140:BG141" si="901">AVERAGE(N140:Q140)</f>
        <v>264</v>
      </c>
      <c r="BH140" s="643">
        <f t="shared" ref="BH140:BH141" si="902">+AVERAGE(R140:U140)</f>
        <v>263.875</v>
      </c>
      <c r="BI140" s="643">
        <f t="shared" ref="BI140:BI141" si="903">AVERAGE(V140:Y140)</f>
        <v>272.75</v>
      </c>
      <c r="BJ140" s="643">
        <f t="shared" ref="BJ140:BJ141" si="904">+AVERAGE(Z140:AC140)</f>
        <v>283</v>
      </c>
      <c r="BK140" s="643">
        <f t="shared" ref="BK140:BK141" si="905">+AVERAGE(AD140:AG140)</f>
        <v>282</v>
      </c>
      <c r="BL140" s="643">
        <f t="shared" ref="BL140:BL141" si="906">+AVERAGE(AH140:AK140)</f>
        <v>280</v>
      </c>
      <c r="BM140" s="643">
        <f t="shared" ref="BM140:BM141" si="907">+AVERAGE(AL140:AO140)</f>
        <v>279.75</v>
      </c>
      <c r="BN140" s="643">
        <f>+AVERAGE(AP140:AS140)</f>
        <v>279.5</v>
      </c>
      <c r="BO140" s="643" t="e">
        <f>+AVERAGE(AT140:AW140)</f>
        <v>#DIV/0!</v>
      </c>
      <c r="BP140" s="643" t="e">
        <f>+AVERAGE(AX140:BA140)</f>
        <v>#DIV/0!</v>
      </c>
      <c r="BQ140" s="414"/>
    </row>
    <row r="141" spans="1:72" s="288" customFormat="1" ht="12" customHeight="1">
      <c r="A141" s="505" t="s">
        <v>306</v>
      </c>
      <c r="B141" s="2146">
        <v>272</v>
      </c>
      <c r="C141" s="2147">
        <v>266</v>
      </c>
      <c r="D141" s="2147">
        <v>260</v>
      </c>
      <c r="E141" s="2148">
        <v>260</v>
      </c>
      <c r="F141" s="2147">
        <v>258</v>
      </c>
      <c r="G141" s="2147">
        <v>260</v>
      </c>
      <c r="H141" s="2147">
        <v>260</v>
      </c>
      <c r="I141" s="2148">
        <v>260</v>
      </c>
      <c r="J141" s="2147">
        <v>259</v>
      </c>
      <c r="K141" s="2147">
        <v>260</v>
      </c>
      <c r="L141" s="2147">
        <v>262</v>
      </c>
      <c r="M141" s="2148">
        <v>258</v>
      </c>
      <c r="N141" s="2146">
        <v>264</v>
      </c>
      <c r="O141" s="2147">
        <v>264</v>
      </c>
      <c r="P141" s="2147">
        <v>264</v>
      </c>
      <c r="Q141" s="2148">
        <v>260</v>
      </c>
      <c r="R141" s="2147">
        <v>264</v>
      </c>
      <c r="S141" s="2147">
        <v>264</v>
      </c>
      <c r="T141" s="2147">
        <v>263.5</v>
      </c>
      <c r="U141" s="2148">
        <v>264</v>
      </c>
      <c r="V141" s="2147">
        <v>265</v>
      </c>
      <c r="W141" s="2147">
        <v>273</v>
      </c>
      <c r="X141" s="2149">
        <v>276</v>
      </c>
      <c r="Y141" s="2148">
        <v>277</v>
      </c>
      <c r="Z141" s="2149">
        <v>277</v>
      </c>
      <c r="AA141" s="2149">
        <v>287</v>
      </c>
      <c r="AB141" s="2149">
        <v>286</v>
      </c>
      <c r="AC141" s="2150">
        <v>282</v>
      </c>
      <c r="AD141" s="2149">
        <v>283.8</v>
      </c>
      <c r="AE141" s="2149">
        <v>282.39999999999998</v>
      </c>
      <c r="AF141" s="2149">
        <v>283.39999999999998</v>
      </c>
      <c r="AG141" s="2150">
        <v>283.14</v>
      </c>
      <c r="AH141" s="2149">
        <v>283</v>
      </c>
      <c r="AI141" s="2149">
        <v>284</v>
      </c>
      <c r="AJ141" s="2149">
        <v>283.7</v>
      </c>
      <c r="AK141" s="2150">
        <v>283</v>
      </c>
      <c r="AL141" s="2149">
        <v>283</v>
      </c>
      <c r="AM141" s="2149">
        <v>283</v>
      </c>
      <c r="AN141" s="2149">
        <v>281.5</v>
      </c>
      <c r="AO141" s="2150">
        <v>282</v>
      </c>
      <c r="AP141" s="2149">
        <v>281</v>
      </c>
      <c r="AQ141" s="2149">
        <v>279.7</v>
      </c>
      <c r="AR141" s="507"/>
      <c r="AS141" s="506"/>
      <c r="AT141" s="507"/>
      <c r="AU141" s="507"/>
      <c r="AV141" s="507"/>
      <c r="AW141" s="506"/>
      <c r="AX141" s="507"/>
      <c r="AY141" s="507"/>
      <c r="AZ141" s="507"/>
      <c r="BA141" s="506"/>
      <c r="BB141" s="492"/>
      <c r="BC141" s="548"/>
      <c r="BD141" s="531">
        <f t="shared" si="898"/>
        <v>264.5</v>
      </c>
      <c r="BE141" s="531">
        <f t="shared" si="899"/>
        <v>259.5</v>
      </c>
      <c r="BF141" s="531">
        <f t="shared" si="900"/>
        <v>259.75</v>
      </c>
      <c r="BG141" s="531">
        <f t="shared" si="901"/>
        <v>263</v>
      </c>
      <c r="BH141" s="531">
        <f t="shared" si="902"/>
        <v>263.875</v>
      </c>
      <c r="BI141" s="531">
        <f t="shared" si="903"/>
        <v>272.75</v>
      </c>
      <c r="BJ141" s="531">
        <f t="shared" si="904"/>
        <v>283</v>
      </c>
      <c r="BK141" s="531">
        <f t="shared" si="905"/>
        <v>283.185</v>
      </c>
      <c r="BL141" s="531">
        <f t="shared" si="906"/>
        <v>283.42500000000001</v>
      </c>
      <c r="BM141" s="531">
        <f t="shared" si="907"/>
        <v>282.375</v>
      </c>
      <c r="BN141" s="531">
        <f>+AVERAGE(AP141:AS141)</f>
        <v>280.35000000000002</v>
      </c>
      <c r="BO141" s="531" t="e">
        <f>+AVERAGE(AT141:AW141)</f>
        <v>#DIV/0!</v>
      </c>
      <c r="BP141" s="531" t="e">
        <f>+AVERAGE(AX141:BA141)</f>
        <v>#DIV/0!</v>
      </c>
      <c r="BQ141" s="492"/>
      <c r="BR141" s="1378"/>
      <c r="BS141" s="1378"/>
      <c r="BT141" s="1378"/>
    </row>
    <row r="142" spans="1:72" ht="12" customHeight="1">
      <c r="A142" s="414"/>
      <c r="B142" s="508"/>
      <c r="C142" s="508"/>
      <c r="D142" s="508"/>
      <c r="E142" s="508"/>
      <c r="F142" s="508"/>
      <c r="G142" s="508"/>
      <c r="K142" s="508"/>
      <c r="L142" s="167"/>
      <c r="M142" s="509"/>
      <c r="Q142" s="509"/>
      <c r="U142" s="510"/>
      <c r="BG142" s="511"/>
      <c r="BH142" s="511"/>
    </row>
    <row r="143" spans="1:72" ht="12" customHeight="1">
      <c r="A143" s="492" t="s">
        <v>309</v>
      </c>
      <c r="B143" s="512"/>
      <c r="C143" s="512"/>
      <c r="D143" s="512"/>
      <c r="E143" s="512"/>
      <c r="F143" s="512"/>
      <c r="G143" s="512"/>
      <c r="H143" s="509"/>
      <c r="I143" s="509"/>
      <c r="J143" s="512"/>
      <c r="K143" s="512"/>
      <c r="L143" s="512"/>
      <c r="M143" s="512"/>
      <c r="N143" s="512"/>
      <c r="O143" s="512"/>
      <c r="P143" s="512"/>
      <c r="Q143" s="512"/>
      <c r="R143" s="512"/>
      <c r="S143" s="512"/>
      <c r="T143" s="513"/>
      <c r="U143" s="512"/>
      <c r="V143" s="512"/>
      <c r="W143" s="512"/>
      <c r="X143" s="512"/>
      <c r="Y143" s="512"/>
      <c r="Z143" s="512"/>
      <c r="AA143" s="512"/>
      <c r="AB143" s="512"/>
      <c r="AC143" s="512"/>
      <c r="AD143" s="512"/>
      <c r="AE143" s="512"/>
      <c r="AF143" s="512"/>
      <c r="AG143" s="512"/>
      <c r="AH143" s="512"/>
      <c r="AI143" s="512"/>
      <c r="AJ143" s="512"/>
      <c r="AK143" s="512"/>
      <c r="AL143" s="512"/>
      <c r="AM143" s="512"/>
      <c r="AN143" s="512"/>
      <c r="AO143" s="512"/>
      <c r="AP143" s="512"/>
      <c r="AQ143" s="512"/>
      <c r="AR143" s="512"/>
      <c r="AS143" s="512"/>
      <c r="AT143" s="512"/>
      <c r="AU143" s="512"/>
      <c r="AV143" s="512"/>
      <c r="AW143" s="512"/>
      <c r="AX143" s="512"/>
      <c r="AY143" s="512"/>
      <c r="AZ143" s="512"/>
      <c r="BA143" s="512"/>
    </row>
    <row r="144" spans="1:72" ht="12" customHeight="1">
      <c r="A144" s="938" t="s">
        <v>310</v>
      </c>
      <c r="B144" s="937">
        <f t="shared" ref="B144:AO144" si="908">+B4</f>
        <v>42308</v>
      </c>
      <c r="C144" s="515">
        <f t="shared" si="908"/>
        <v>42400</v>
      </c>
      <c r="D144" s="515">
        <f t="shared" si="908"/>
        <v>42490</v>
      </c>
      <c r="E144" s="549">
        <f t="shared" si="908"/>
        <v>42582</v>
      </c>
      <c r="F144" s="515">
        <f t="shared" si="908"/>
        <v>42674</v>
      </c>
      <c r="G144" s="515">
        <f t="shared" si="908"/>
        <v>42766</v>
      </c>
      <c r="H144" s="515">
        <f t="shared" si="908"/>
        <v>42855</v>
      </c>
      <c r="I144" s="549">
        <f t="shared" si="908"/>
        <v>42947</v>
      </c>
      <c r="J144" s="514">
        <f t="shared" si="908"/>
        <v>43039</v>
      </c>
      <c r="K144" s="515">
        <f t="shared" si="908"/>
        <v>43131</v>
      </c>
      <c r="L144" s="515">
        <f t="shared" si="908"/>
        <v>43220</v>
      </c>
      <c r="M144" s="549">
        <f t="shared" si="908"/>
        <v>43312</v>
      </c>
      <c r="N144" s="514">
        <f t="shared" si="908"/>
        <v>43404</v>
      </c>
      <c r="O144" s="515">
        <f t="shared" si="908"/>
        <v>43496</v>
      </c>
      <c r="P144" s="515">
        <f t="shared" si="908"/>
        <v>43585</v>
      </c>
      <c r="Q144" s="549">
        <f t="shared" si="908"/>
        <v>43677</v>
      </c>
      <c r="R144" s="514">
        <f t="shared" si="908"/>
        <v>43769</v>
      </c>
      <c r="S144" s="515">
        <f t="shared" si="908"/>
        <v>43861</v>
      </c>
      <c r="T144" s="515">
        <f t="shared" si="908"/>
        <v>43951</v>
      </c>
      <c r="U144" s="549">
        <f t="shared" si="908"/>
        <v>44043</v>
      </c>
      <c r="V144" s="514">
        <f t="shared" si="908"/>
        <v>44135</v>
      </c>
      <c r="W144" s="515" t="str">
        <f t="shared" si="908"/>
        <v>Jan-21</v>
      </c>
      <c r="X144" s="515" t="str">
        <f t="shared" si="908"/>
        <v>Apr-21</v>
      </c>
      <c r="Y144" s="549" t="str">
        <f t="shared" si="908"/>
        <v>Jul-21</v>
      </c>
      <c r="Z144" s="1282" t="str">
        <f t="shared" si="908"/>
        <v>Oct-21</v>
      </c>
      <c r="AA144" s="515" t="str">
        <f t="shared" si="908"/>
        <v>Jan-22</v>
      </c>
      <c r="AB144" s="515" t="str">
        <f t="shared" si="908"/>
        <v>Apr-22</v>
      </c>
      <c r="AC144" s="549" t="str">
        <f t="shared" si="908"/>
        <v>Jul-22</v>
      </c>
      <c r="AD144" s="514" t="str">
        <f t="shared" si="908"/>
        <v>Oct-22</v>
      </c>
      <c r="AE144" s="515" t="str">
        <f t="shared" si="908"/>
        <v>Jan-23</v>
      </c>
      <c r="AF144" s="515" t="str">
        <f t="shared" si="908"/>
        <v>Apr-23</v>
      </c>
      <c r="AG144" s="549" t="str">
        <f t="shared" si="908"/>
        <v>Jul-23</v>
      </c>
      <c r="AH144" s="514" t="str">
        <f t="shared" si="908"/>
        <v>Oct-23</v>
      </c>
      <c r="AI144" s="515" t="str">
        <f t="shared" si="908"/>
        <v>Jan-24</v>
      </c>
      <c r="AJ144" s="515" t="str">
        <f t="shared" si="908"/>
        <v>Apr-24</v>
      </c>
      <c r="AK144" s="549" t="str">
        <f t="shared" si="908"/>
        <v>Jul-24</v>
      </c>
      <c r="AL144" s="514" t="str">
        <f t="shared" si="908"/>
        <v>Oct-24</v>
      </c>
      <c r="AM144" s="515" t="str">
        <f t="shared" ref="AM144:AN144" si="909">+AM4</f>
        <v>Jan-25</v>
      </c>
      <c r="AN144" s="515" t="str">
        <f t="shared" si="909"/>
        <v>Apr-25</v>
      </c>
      <c r="AO144" s="549" t="str">
        <f t="shared" si="908"/>
        <v>Jul-25</v>
      </c>
      <c r="AP144" s="514" t="str">
        <f t="shared" ref="AP144:AQ144" si="910">+AP4</f>
        <v>Oct-25</v>
      </c>
      <c r="AQ144" s="515" t="str">
        <f t="shared" si="910"/>
        <v>Jan-26</v>
      </c>
      <c r="AR144" s="515" t="str">
        <f t="shared" ref="AR144:AS144" si="911">+AR4</f>
        <v>Apr-26E</v>
      </c>
      <c r="AS144" s="549" t="str">
        <f t="shared" si="911"/>
        <v>Jul-26E</v>
      </c>
      <c r="AT144" s="514" t="str">
        <f t="shared" ref="AT144:AW144" si="912">+AT4</f>
        <v>Oct-26E</v>
      </c>
      <c r="AU144" s="515" t="str">
        <f t="shared" si="912"/>
        <v>Jan-27E</v>
      </c>
      <c r="AV144" s="515" t="str">
        <f t="shared" si="912"/>
        <v>Apr-27E</v>
      </c>
      <c r="AW144" s="549" t="str">
        <f t="shared" si="912"/>
        <v>Jul-27E</v>
      </c>
      <c r="AX144" s="514" t="str">
        <f t="shared" ref="AX144:BA144" si="913">+AX4</f>
        <v>Oct-27E</v>
      </c>
      <c r="AY144" s="515" t="str">
        <f t="shared" si="913"/>
        <v>Jan-28E</v>
      </c>
      <c r="AZ144" s="515" t="str">
        <f t="shared" si="913"/>
        <v>Apr-28E</v>
      </c>
      <c r="BA144" s="549" t="str">
        <f t="shared" si="913"/>
        <v>Jul-28E</v>
      </c>
      <c r="BC144" s="516"/>
      <c r="BD144" s="516"/>
      <c r="BE144" s="516"/>
      <c r="BF144" s="516"/>
      <c r="BG144" s="516"/>
      <c r="BH144" s="516"/>
      <c r="BI144" s="516"/>
      <c r="BJ144" s="516"/>
      <c r="BK144" s="516"/>
      <c r="BL144" s="516"/>
      <c r="BM144" s="516"/>
      <c r="BN144" s="516"/>
      <c r="BO144" s="516"/>
      <c r="BP144" s="516"/>
    </row>
    <row r="145" spans="1:72" ht="12" customHeight="1">
      <c r="A145" s="939" t="s">
        <v>276</v>
      </c>
      <c r="B145" s="439"/>
      <c r="C145" s="439"/>
      <c r="D145" s="439"/>
      <c r="E145" s="441"/>
      <c r="F145" s="439"/>
      <c r="G145" s="439"/>
      <c r="H145" s="439"/>
      <c r="I145" s="441"/>
      <c r="J145" s="439"/>
      <c r="K145" s="439"/>
      <c r="L145" s="439"/>
      <c r="M145" s="441"/>
      <c r="N145" s="517"/>
      <c r="O145" s="439"/>
      <c r="P145" s="439"/>
      <c r="Q145" s="441"/>
      <c r="R145" s="439"/>
      <c r="S145" s="439"/>
      <c r="T145" s="439"/>
      <c r="U145" s="441"/>
      <c r="V145" s="439"/>
      <c r="W145" s="439"/>
      <c r="X145" s="439"/>
      <c r="Y145" s="441"/>
      <c r="Z145" s="414"/>
      <c r="AA145" s="439"/>
      <c r="AB145" s="439"/>
      <c r="AC145" s="441"/>
      <c r="AD145" s="439"/>
      <c r="AE145" s="439"/>
      <c r="AF145" s="439"/>
      <c r="AG145" s="441"/>
      <c r="AH145" s="439"/>
      <c r="AI145" s="439"/>
      <c r="AJ145" s="439"/>
      <c r="AK145" s="441"/>
      <c r="AL145" s="439"/>
      <c r="AM145" s="414"/>
      <c r="AN145" s="439"/>
      <c r="AO145" s="441"/>
      <c r="AP145" s="439"/>
      <c r="AQ145" s="414"/>
      <c r="AR145" s="439"/>
      <c r="AS145" s="441"/>
      <c r="AT145" s="439"/>
      <c r="AU145" s="439"/>
      <c r="AV145" s="439"/>
      <c r="AW145" s="441"/>
      <c r="AX145" s="439"/>
      <c r="AY145" s="439"/>
      <c r="AZ145" s="439"/>
      <c r="BA145" s="441"/>
      <c r="BC145" s="481"/>
      <c r="BD145" s="481"/>
      <c r="BE145" s="481"/>
      <c r="BF145" s="481"/>
      <c r="BG145" s="481"/>
      <c r="BH145" s="481"/>
      <c r="BI145" s="481"/>
      <c r="BJ145" s="481"/>
      <c r="BK145" s="1498"/>
      <c r="BL145" s="481"/>
      <c r="BM145" s="481"/>
      <c r="BN145" s="481"/>
      <c r="BO145" s="481"/>
      <c r="BP145" s="481"/>
    </row>
    <row r="146" spans="1:72" s="288" customFormat="1" ht="12" customHeight="1">
      <c r="A146" s="955" t="s">
        <v>59</v>
      </c>
      <c r="B146" s="2095">
        <v>2</v>
      </c>
      <c r="C146" s="2095">
        <v>2</v>
      </c>
      <c r="D146" s="2095">
        <v>2</v>
      </c>
      <c r="E146" s="2096">
        <v>2</v>
      </c>
      <c r="F146" s="2095">
        <v>2</v>
      </c>
      <c r="G146" s="2095">
        <v>2</v>
      </c>
      <c r="H146" s="2095">
        <v>2</v>
      </c>
      <c r="I146" s="2096">
        <v>2</v>
      </c>
      <c r="J146" s="2095">
        <v>3</v>
      </c>
      <c r="K146" s="2095">
        <v>13</v>
      </c>
      <c r="L146" s="2095">
        <v>14</v>
      </c>
      <c r="M146" s="2096">
        <v>13</v>
      </c>
      <c r="N146" s="2097">
        <v>14</v>
      </c>
      <c r="O146" s="2095">
        <v>15</v>
      </c>
      <c r="P146" s="2095">
        <v>15</v>
      </c>
      <c r="Q146" s="2096">
        <v>14</v>
      </c>
      <c r="R146" s="2095">
        <v>15</v>
      </c>
      <c r="S146" s="2095">
        <v>14</v>
      </c>
      <c r="T146" s="2095">
        <v>15</v>
      </c>
      <c r="U146" s="2096">
        <v>16</v>
      </c>
      <c r="V146" s="2095">
        <v>15</v>
      </c>
      <c r="W146" s="2095">
        <v>16</v>
      </c>
      <c r="X146" s="2098">
        <v>16</v>
      </c>
      <c r="Y146" s="2099">
        <v>22</v>
      </c>
      <c r="Z146" s="2098">
        <v>27</v>
      </c>
      <c r="AA146" s="2098">
        <v>38</v>
      </c>
      <c r="AB146" s="2098">
        <v>40</v>
      </c>
      <c r="AC146" s="2099">
        <v>41</v>
      </c>
      <c r="AD146" s="2098">
        <v>86</v>
      </c>
      <c r="AE146" s="2098">
        <v>91</v>
      </c>
      <c r="AF146" s="2098">
        <v>114</v>
      </c>
      <c r="AG146" s="2099">
        <v>83</v>
      </c>
      <c r="AH146" s="2098">
        <v>101</v>
      </c>
      <c r="AI146" s="2098">
        <v>101</v>
      </c>
      <c r="AJ146" s="2098">
        <v>98</v>
      </c>
      <c r="AK146" s="2099">
        <v>102</v>
      </c>
      <c r="AL146" s="2098">
        <v>111</v>
      </c>
      <c r="AM146" s="2098">
        <v>110</v>
      </c>
      <c r="AN146" s="2098">
        <v>101</v>
      </c>
      <c r="AO146" s="2099">
        <v>101</v>
      </c>
      <c r="AP146" s="2098">
        <v>97</v>
      </c>
      <c r="AQ146" s="2098">
        <v>94</v>
      </c>
      <c r="AR146" s="1237"/>
      <c r="AS146" s="1317"/>
      <c r="AT146" s="1237"/>
      <c r="AU146" s="1237"/>
      <c r="AV146" s="1237"/>
      <c r="AW146" s="1317"/>
      <c r="AX146" s="1237"/>
      <c r="AY146" s="1237"/>
      <c r="AZ146" s="1237"/>
      <c r="BA146" s="1317"/>
      <c r="BC146" s="372"/>
      <c r="BD146" s="372">
        <f t="shared" ref="BD146:BD151" si="914">+SUM(B146:E146)</f>
        <v>8</v>
      </c>
      <c r="BE146" s="372">
        <f t="shared" ref="BE146:BE151" si="915">+SUM(F146:I146)</f>
        <v>8</v>
      </c>
      <c r="BF146" s="372">
        <f t="shared" ref="BF146:BF151" si="916">+SUM(J146:M146)</f>
        <v>43</v>
      </c>
      <c r="BG146" s="372">
        <f t="shared" ref="BG146:BG151" si="917">SUM(N146:Q146)</f>
        <v>58</v>
      </c>
      <c r="BH146" s="372">
        <f t="shared" ref="BH146:BH151" si="918">+SUM(R146:U146)</f>
        <v>60</v>
      </c>
      <c r="BI146" s="372">
        <f t="shared" ref="BI146:BI151" si="919">SUM(V146:Y146)</f>
        <v>69</v>
      </c>
      <c r="BJ146" s="372">
        <f t="shared" ref="BJ146:BJ151" si="920">+SUM(Z146:AC146)</f>
        <v>146</v>
      </c>
      <c r="BK146" s="1499">
        <f t="shared" ref="BK146:BK151" si="921">+SUM(AD146:AG146)</f>
        <v>374</v>
      </c>
      <c r="BL146" s="372">
        <f t="shared" ref="BL146:BL151" si="922">+SUM(AH146:AK146)</f>
        <v>402</v>
      </c>
      <c r="BM146" s="372">
        <f t="shared" ref="BM146:BM151" si="923">+SUM(AL146:AO146)</f>
        <v>423</v>
      </c>
      <c r="BN146" s="372">
        <f t="shared" ref="BN146:BN151" si="924">+SUM(AP146:AS146)</f>
        <v>191</v>
      </c>
      <c r="BO146" s="372">
        <f t="shared" ref="BO146:BO151" si="925">+SUM(AT146:AW146)</f>
        <v>0</v>
      </c>
      <c r="BP146" s="372">
        <f t="shared" ref="BP146:BP151" si="926">+SUM(AX146:BA146)</f>
        <v>0</v>
      </c>
      <c r="BR146" s="1378"/>
      <c r="BS146" s="1378"/>
      <c r="BT146" s="1378"/>
    </row>
    <row r="147" spans="1:72" ht="12" customHeight="1">
      <c r="A147" s="941" t="s">
        <v>298</v>
      </c>
      <c r="B147" s="2072">
        <v>19</v>
      </c>
      <c r="C147" s="2072">
        <v>18</v>
      </c>
      <c r="D147" s="2072">
        <v>18</v>
      </c>
      <c r="E147" s="2073">
        <v>22</v>
      </c>
      <c r="F147" s="2072">
        <v>25</v>
      </c>
      <c r="G147" s="2072">
        <v>22</v>
      </c>
      <c r="H147" s="2072">
        <v>19</v>
      </c>
      <c r="I147" s="2073">
        <v>22</v>
      </c>
      <c r="J147" s="2072">
        <v>25</v>
      </c>
      <c r="K147" s="2072">
        <v>25</v>
      </c>
      <c r="L147" s="2072">
        <v>25</v>
      </c>
      <c r="M147" s="2073">
        <v>26</v>
      </c>
      <c r="N147" s="2074">
        <v>30</v>
      </c>
      <c r="O147" s="2072">
        <v>25</v>
      </c>
      <c r="P147" s="2072">
        <v>23</v>
      </c>
      <c r="Q147" s="2073">
        <v>25</v>
      </c>
      <c r="R147" s="2072">
        <v>30</v>
      </c>
      <c r="S147" s="2072">
        <v>29</v>
      </c>
      <c r="T147" s="2072">
        <v>27</v>
      </c>
      <c r="U147" s="2073">
        <v>30</v>
      </c>
      <c r="V147" s="2072">
        <v>32</v>
      </c>
      <c r="W147" s="2072">
        <v>44</v>
      </c>
      <c r="X147" s="2075">
        <v>51</v>
      </c>
      <c r="Y147" s="2076">
        <v>56</v>
      </c>
      <c r="Z147" s="2075">
        <v>64</v>
      </c>
      <c r="AA147" s="2075">
        <v>83</v>
      </c>
      <c r="AB147" s="2075">
        <v>85</v>
      </c>
      <c r="AC147" s="2076">
        <v>77</v>
      </c>
      <c r="AD147" s="2075">
        <v>106</v>
      </c>
      <c r="AE147" s="2075">
        <v>108</v>
      </c>
      <c r="AF147" s="2075">
        <v>96</v>
      </c>
      <c r="AG147" s="2076">
        <v>119</v>
      </c>
      <c r="AH147" s="2075">
        <v>123</v>
      </c>
      <c r="AI147" s="2075">
        <v>125</v>
      </c>
      <c r="AJ147" s="2075">
        <v>121</v>
      </c>
      <c r="AK147" s="2076">
        <v>137</v>
      </c>
      <c r="AL147" s="2075">
        <v>137</v>
      </c>
      <c r="AM147" s="2075">
        <v>136</v>
      </c>
      <c r="AN147" s="2075">
        <v>131</v>
      </c>
      <c r="AO147" s="2076">
        <v>137</v>
      </c>
      <c r="AP147" s="2075">
        <v>156</v>
      </c>
      <c r="AQ147" s="2075">
        <v>150</v>
      </c>
      <c r="AR147" s="917"/>
      <c r="AS147" s="918"/>
      <c r="AT147" s="917"/>
      <c r="AU147" s="917"/>
      <c r="AV147" s="917"/>
      <c r="AW147" s="918"/>
      <c r="AX147" s="917"/>
      <c r="AY147" s="917"/>
      <c r="AZ147" s="917"/>
      <c r="BA147" s="918"/>
      <c r="BC147" s="368"/>
      <c r="BD147" s="368">
        <f t="shared" si="914"/>
        <v>77</v>
      </c>
      <c r="BE147" s="368">
        <f t="shared" si="915"/>
        <v>88</v>
      </c>
      <c r="BF147" s="368">
        <f t="shared" si="916"/>
        <v>101</v>
      </c>
      <c r="BG147" s="368">
        <f t="shared" si="917"/>
        <v>103</v>
      </c>
      <c r="BH147" s="368">
        <f t="shared" si="918"/>
        <v>116</v>
      </c>
      <c r="BI147" s="368">
        <f t="shared" si="919"/>
        <v>183</v>
      </c>
      <c r="BJ147" s="368">
        <f t="shared" si="920"/>
        <v>309</v>
      </c>
      <c r="BK147" s="1345">
        <f t="shared" si="921"/>
        <v>429</v>
      </c>
      <c r="BL147" s="368">
        <f t="shared" si="922"/>
        <v>506</v>
      </c>
      <c r="BM147" s="368">
        <f t="shared" si="923"/>
        <v>541</v>
      </c>
      <c r="BN147" s="368">
        <f t="shared" si="924"/>
        <v>306</v>
      </c>
      <c r="BO147" s="368">
        <f t="shared" si="925"/>
        <v>0</v>
      </c>
      <c r="BP147" s="368">
        <f t="shared" si="926"/>
        <v>0</v>
      </c>
    </row>
    <row r="148" spans="1:72" ht="12" customHeight="1">
      <c r="A148" s="941" t="s">
        <v>37</v>
      </c>
      <c r="B148" s="2072">
        <v>21</v>
      </c>
      <c r="C148" s="2072">
        <v>21</v>
      </c>
      <c r="D148" s="2072">
        <v>21</v>
      </c>
      <c r="E148" s="2073">
        <v>27</v>
      </c>
      <c r="F148" s="2072">
        <v>36</v>
      </c>
      <c r="G148" s="2072">
        <v>29</v>
      </c>
      <c r="H148" s="2072">
        <v>24</v>
      </c>
      <c r="I148" s="2073">
        <v>33</v>
      </c>
      <c r="J148" s="2072">
        <v>39</v>
      </c>
      <c r="K148" s="2072">
        <v>30</v>
      </c>
      <c r="L148" s="2072">
        <v>30</v>
      </c>
      <c r="M148" s="2073">
        <v>34</v>
      </c>
      <c r="N148" s="2074">
        <v>35</v>
      </c>
      <c r="O148" s="2072">
        <v>34</v>
      </c>
      <c r="P148" s="2072">
        <v>32</v>
      </c>
      <c r="Q148" s="2073">
        <v>35</v>
      </c>
      <c r="R148" s="2072">
        <v>38</v>
      </c>
      <c r="S148" s="2072">
        <v>37</v>
      </c>
      <c r="T148" s="2072">
        <v>36</v>
      </c>
      <c r="U148" s="2073">
        <v>40</v>
      </c>
      <c r="V148" s="2072">
        <v>38</v>
      </c>
      <c r="W148" s="2072">
        <v>67</v>
      </c>
      <c r="X148" s="2075">
        <v>82</v>
      </c>
      <c r="Y148" s="2076">
        <v>94</v>
      </c>
      <c r="Z148" s="2075">
        <v>109</v>
      </c>
      <c r="AA148" s="2075">
        <v>132</v>
      </c>
      <c r="AB148" s="2075">
        <v>138</v>
      </c>
      <c r="AC148" s="2076">
        <v>142</v>
      </c>
      <c r="AD148" s="2075">
        <v>136</v>
      </c>
      <c r="AE148" s="2075">
        <v>132</v>
      </c>
      <c r="AF148" s="2075">
        <v>116</v>
      </c>
      <c r="AG148" s="2076">
        <v>148</v>
      </c>
      <c r="AH148" s="2075">
        <v>161</v>
      </c>
      <c r="AI148" s="2075">
        <v>162</v>
      </c>
      <c r="AJ148" s="2075">
        <v>155</v>
      </c>
      <c r="AK148" s="2076">
        <v>161</v>
      </c>
      <c r="AL148" s="2075">
        <v>161</v>
      </c>
      <c r="AM148" s="2075">
        <v>161</v>
      </c>
      <c r="AN148" s="2075">
        <v>148</v>
      </c>
      <c r="AO148" s="2076">
        <v>159</v>
      </c>
      <c r="AP148" s="2075">
        <v>185</v>
      </c>
      <c r="AQ148" s="2075">
        <v>178</v>
      </c>
      <c r="AR148" s="917"/>
      <c r="AS148" s="918"/>
      <c r="AT148" s="917"/>
      <c r="AU148" s="917"/>
      <c r="AV148" s="917"/>
      <c r="AW148" s="918"/>
      <c r="AX148" s="917"/>
      <c r="AY148" s="917"/>
      <c r="AZ148" s="917"/>
      <c r="BA148" s="918"/>
      <c r="BC148" s="368"/>
      <c r="BD148" s="368">
        <f t="shared" si="914"/>
        <v>90</v>
      </c>
      <c r="BE148" s="368">
        <f t="shared" si="915"/>
        <v>122</v>
      </c>
      <c r="BF148" s="368">
        <f t="shared" si="916"/>
        <v>133</v>
      </c>
      <c r="BG148" s="368">
        <f t="shared" si="917"/>
        <v>136</v>
      </c>
      <c r="BH148" s="368">
        <f t="shared" si="918"/>
        <v>151</v>
      </c>
      <c r="BI148" s="368">
        <f t="shared" si="919"/>
        <v>281</v>
      </c>
      <c r="BJ148" s="368">
        <f t="shared" si="920"/>
        <v>521</v>
      </c>
      <c r="BK148" s="1345">
        <f t="shared" si="921"/>
        <v>532</v>
      </c>
      <c r="BL148" s="368">
        <f t="shared" si="922"/>
        <v>639</v>
      </c>
      <c r="BM148" s="368">
        <f t="shared" si="923"/>
        <v>629</v>
      </c>
      <c r="BN148" s="368">
        <f t="shared" si="924"/>
        <v>363</v>
      </c>
      <c r="BO148" s="368">
        <f t="shared" si="925"/>
        <v>0</v>
      </c>
      <c r="BP148" s="368">
        <f t="shared" si="926"/>
        <v>0</v>
      </c>
    </row>
    <row r="149" spans="1:72" ht="12" customHeight="1">
      <c r="A149" s="940" t="s">
        <v>30</v>
      </c>
      <c r="B149" s="2072">
        <v>25</v>
      </c>
      <c r="C149" s="2072">
        <v>24</v>
      </c>
      <c r="D149" s="2072">
        <v>24</v>
      </c>
      <c r="E149" s="2073">
        <v>30</v>
      </c>
      <c r="F149" s="2072">
        <v>26</v>
      </c>
      <c r="G149" s="2072">
        <v>28</v>
      </c>
      <c r="H149" s="2072">
        <v>26</v>
      </c>
      <c r="I149" s="2073">
        <v>28</v>
      </c>
      <c r="J149" s="2072">
        <v>30</v>
      </c>
      <c r="K149" s="2072">
        <v>26</v>
      </c>
      <c r="L149" s="2072">
        <v>23</v>
      </c>
      <c r="M149" s="2073">
        <v>26</v>
      </c>
      <c r="N149" s="2074">
        <v>26</v>
      </c>
      <c r="O149" s="2072">
        <v>26</v>
      </c>
      <c r="P149" s="2072">
        <v>28</v>
      </c>
      <c r="Q149" s="2073">
        <v>24</v>
      </c>
      <c r="R149" s="2072">
        <v>28</v>
      </c>
      <c r="S149" s="2072">
        <v>27</v>
      </c>
      <c r="T149" s="2072">
        <v>25</v>
      </c>
      <c r="U149" s="2073">
        <v>28</v>
      </c>
      <c r="V149" s="2072">
        <v>26</v>
      </c>
      <c r="W149" s="2072">
        <v>53</v>
      </c>
      <c r="X149" s="2075">
        <v>69</v>
      </c>
      <c r="Y149" s="2076">
        <v>72</v>
      </c>
      <c r="Z149" s="2075">
        <v>80</v>
      </c>
      <c r="AA149" s="2075">
        <v>83</v>
      </c>
      <c r="AB149" s="2075">
        <v>83</v>
      </c>
      <c r="AC149" s="2076">
        <v>86</v>
      </c>
      <c r="AD149" s="2075">
        <v>94</v>
      </c>
      <c r="AE149" s="2075">
        <v>92</v>
      </c>
      <c r="AF149" s="2075">
        <v>93</v>
      </c>
      <c r="AG149" s="2076">
        <v>98</v>
      </c>
      <c r="AH149" s="2075">
        <v>110</v>
      </c>
      <c r="AI149" s="2075">
        <v>87</v>
      </c>
      <c r="AJ149" s="2075">
        <v>77</v>
      </c>
      <c r="AK149" s="2076">
        <f>94</f>
        <v>94</v>
      </c>
      <c r="AL149" s="2075">
        <v>102</v>
      </c>
      <c r="AM149" s="2075">
        <v>91</v>
      </c>
      <c r="AN149" s="2075">
        <v>89</v>
      </c>
      <c r="AO149" s="2076">
        <v>93</v>
      </c>
      <c r="AP149" s="2075">
        <v>105</v>
      </c>
      <c r="AQ149" s="2075">
        <v>99</v>
      </c>
      <c r="AR149" s="917"/>
      <c r="AS149" s="918"/>
      <c r="AT149" s="917"/>
      <c r="AU149" s="917"/>
      <c r="AV149" s="917"/>
      <c r="AW149" s="918"/>
      <c r="AX149" s="917"/>
      <c r="AY149" s="917"/>
      <c r="AZ149" s="917"/>
      <c r="BA149" s="918"/>
      <c r="BC149" s="368"/>
      <c r="BD149" s="368">
        <f t="shared" si="914"/>
        <v>103</v>
      </c>
      <c r="BE149" s="368">
        <f t="shared" si="915"/>
        <v>108</v>
      </c>
      <c r="BF149" s="368">
        <f t="shared" si="916"/>
        <v>105</v>
      </c>
      <c r="BG149" s="368">
        <f t="shared" si="917"/>
        <v>104</v>
      </c>
      <c r="BH149" s="368">
        <f t="shared" si="918"/>
        <v>108</v>
      </c>
      <c r="BI149" s="368">
        <f t="shared" si="919"/>
        <v>220</v>
      </c>
      <c r="BJ149" s="368">
        <f t="shared" si="920"/>
        <v>332</v>
      </c>
      <c r="BK149" s="1345">
        <f t="shared" si="921"/>
        <v>377</v>
      </c>
      <c r="BL149" s="368">
        <f t="shared" si="922"/>
        <v>368</v>
      </c>
      <c r="BM149" s="368">
        <f t="shared" si="923"/>
        <v>375</v>
      </c>
      <c r="BN149" s="368">
        <f t="shared" si="924"/>
        <v>204</v>
      </c>
      <c r="BO149" s="368">
        <f t="shared" si="925"/>
        <v>0</v>
      </c>
      <c r="BP149" s="368">
        <f t="shared" si="926"/>
        <v>0</v>
      </c>
    </row>
    <row r="150" spans="1:72" s="288" customFormat="1" ht="12" customHeight="1">
      <c r="A150" s="942" t="s">
        <v>311</v>
      </c>
      <c r="B150" s="562">
        <f>+SUM(B147:B149)</f>
        <v>65</v>
      </c>
      <c r="C150" s="562">
        <f t="shared" ref="C150:AO150" si="927">+SUM(C147:C149)</f>
        <v>63</v>
      </c>
      <c r="D150" s="562">
        <f t="shared" si="927"/>
        <v>63</v>
      </c>
      <c r="E150" s="563">
        <f t="shared" si="927"/>
        <v>79</v>
      </c>
      <c r="F150" s="562">
        <f t="shared" si="927"/>
        <v>87</v>
      </c>
      <c r="G150" s="377">
        <f t="shared" si="927"/>
        <v>79</v>
      </c>
      <c r="H150" s="562">
        <f t="shared" si="927"/>
        <v>69</v>
      </c>
      <c r="I150" s="563">
        <f t="shared" si="927"/>
        <v>83</v>
      </c>
      <c r="J150" s="562">
        <f t="shared" si="927"/>
        <v>94</v>
      </c>
      <c r="K150" s="562">
        <f t="shared" si="927"/>
        <v>81</v>
      </c>
      <c r="L150" s="562">
        <f t="shared" si="927"/>
        <v>78</v>
      </c>
      <c r="M150" s="563">
        <f t="shared" si="927"/>
        <v>86</v>
      </c>
      <c r="N150" s="561">
        <f t="shared" si="927"/>
        <v>91</v>
      </c>
      <c r="O150" s="562">
        <f t="shared" si="927"/>
        <v>85</v>
      </c>
      <c r="P150" s="562">
        <f t="shared" si="927"/>
        <v>83</v>
      </c>
      <c r="Q150" s="563">
        <f t="shared" si="927"/>
        <v>84</v>
      </c>
      <c r="R150" s="562">
        <f t="shared" si="927"/>
        <v>96</v>
      </c>
      <c r="S150" s="562">
        <f t="shared" si="927"/>
        <v>93</v>
      </c>
      <c r="T150" s="562">
        <f t="shared" si="927"/>
        <v>88</v>
      </c>
      <c r="U150" s="563">
        <f t="shared" si="927"/>
        <v>98</v>
      </c>
      <c r="V150" s="562">
        <f t="shared" si="927"/>
        <v>96</v>
      </c>
      <c r="W150" s="645">
        <f t="shared" si="927"/>
        <v>164</v>
      </c>
      <c r="X150" s="645">
        <f t="shared" si="927"/>
        <v>202</v>
      </c>
      <c r="Y150" s="646">
        <f t="shared" si="927"/>
        <v>222</v>
      </c>
      <c r="Z150" s="645">
        <f t="shared" si="927"/>
        <v>253</v>
      </c>
      <c r="AA150" s="645">
        <f t="shared" si="927"/>
        <v>298</v>
      </c>
      <c r="AB150" s="645">
        <f t="shared" si="927"/>
        <v>306</v>
      </c>
      <c r="AC150" s="646">
        <f t="shared" si="927"/>
        <v>305</v>
      </c>
      <c r="AD150" s="645">
        <f t="shared" si="927"/>
        <v>336</v>
      </c>
      <c r="AE150" s="645">
        <f t="shared" si="927"/>
        <v>332</v>
      </c>
      <c r="AF150" s="645">
        <f t="shared" si="927"/>
        <v>305</v>
      </c>
      <c r="AG150" s="646">
        <f t="shared" si="927"/>
        <v>365</v>
      </c>
      <c r="AH150" s="645">
        <f t="shared" si="927"/>
        <v>394</v>
      </c>
      <c r="AI150" s="645">
        <f t="shared" si="927"/>
        <v>374</v>
      </c>
      <c r="AJ150" s="645">
        <f t="shared" si="927"/>
        <v>353</v>
      </c>
      <c r="AK150" s="646">
        <f t="shared" si="927"/>
        <v>392</v>
      </c>
      <c r="AL150" s="645">
        <f t="shared" si="927"/>
        <v>400</v>
      </c>
      <c r="AM150" s="645">
        <f t="shared" ref="AM150:AN150" si="928">+SUM(AM147:AM149)</f>
        <v>388</v>
      </c>
      <c r="AN150" s="645">
        <f t="shared" si="928"/>
        <v>368</v>
      </c>
      <c r="AO150" s="646">
        <f t="shared" si="927"/>
        <v>389</v>
      </c>
      <c r="AP150" s="645">
        <f t="shared" ref="AP150:AQ150" si="929">+SUM(AP147:AP149)</f>
        <v>446</v>
      </c>
      <c r="AQ150" s="645">
        <f t="shared" si="929"/>
        <v>427</v>
      </c>
      <c r="AR150" s="645">
        <f t="shared" ref="AR150:AS150" si="930">+SUM(AR147:AR149)</f>
        <v>0</v>
      </c>
      <c r="AS150" s="646">
        <f t="shared" si="930"/>
        <v>0</v>
      </c>
      <c r="AT150" s="645">
        <f t="shared" ref="AT150:AW150" si="931">+SUM(AT147:AT149)</f>
        <v>0</v>
      </c>
      <c r="AU150" s="645">
        <f t="shared" si="931"/>
        <v>0</v>
      </c>
      <c r="AV150" s="645">
        <f t="shared" si="931"/>
        <v>0</v>
      </c>
      <c r="AW150" s="646">
        <f t="shared" si="931"/>
        <v>0</v>
      </c>
      <c r="AX150" s="645">
        <f t="shared" ref="AX150:BA150" si="932">+SUM(AX147:AX149)</f>
        <v>0</v>
      </c>
      <c r="AY150" s="645">
        <f t="shared" si="932"/>
        <v>0</v>
      </c>
      <c r="AZ150" s="645">
        <f t="shared" si="932"/>
        <v>0</v>
      </c>
      <c r="BA150" s="646">
        <f t="shared" si="932"/>
        <v>0</v>
      </c>
      <c r="BC150" s="372"/>
      <c r="BD150" s="372">
        <f t="shared" si="914"/>
        <v>270</v>
      </c>
      <c r="BE150" s="372">
        <f t="shared" si="915"/>
        <v>318</v>
      </c>
      <c r="BF150" s="372">
        <f t="shared" si="916"/>
        <v>339</v>
      </c>
      <c r="BG150" s="372">
        <f t="shared" si="917"/>
        <v>343</v>
      </c>
      <c r="BH150" s="372">
        <f t="shared" si="918"/>
        <v>375</v>
      </c>
      <c r="BI150" s="372">
        <f t="shared" si="919"/>
        <v>684</v>
      </c>
      <c r="BJ150" s="372">
        <f t="shared" si="920"/>
        <v>1162</v>
      </c>
      <c r="BK150" s="1499">
        <f t="shared" si="921"/>
        <v>1338</v>
      </c>
      <c r="BL150" s="372">
        <f t="shared" si="922"/>
        <v>1513</v>
      </c>
      <c r="BM150" s="372">
        <f t="shared" si="923"/>
        <v>1545</v>
      </c>
      <c r="BN150" s="372">
        <f t="shared" si="924"/>
        <v>873</v>
      </c>
      <c r="BO150" s="372">
        <f t="shared" si="925"/>
        <v>0</v>
      </c>
      <c r="BP150" s="372">
        <f t="shared" si="926"/>
        <v>0</v>
      </c>
      <c r="BR150" s="1378"/>
      <c r="BS150" s="1378"/>
      <c r="BT150" s="1378"/>
    </row>
    <row r="151" spans="1:72" ht="12" customHeight="1">
      <c r="A151" s="943" t="s">
        <v>312</v>
      </c>
      <c r="B151" s="377">
        <f>+B150+B146</f>
        <v>67</v>
      </c>
      <c r="C151" s="377">
        <f t="shared" ref="C151:AO151" si="933">+C150+C146</f>
        <v>65</v>
      </c>
      <c r="D151" s="377">
        <f t="shared" si="933"/>
        <v>65</v>
      </c>
      <c r="E151" s="565">
        <f t="shared" si="933"/>
        <v>81</v>
      </c>
      <c r="F151" s="377">
        <f t="shared" si="933"/>
        <v>89</v>
      </c>
      <c r="G151" s="566">
        <f t="shared" si="933"/>
        <v>81</v>
      </c>
      <c r="H151" s="377">
        <f t="shared" si="933"/>
        <v>71</v>
      </c>
      <c r="I151" s="565">
        <f t="shared" si="933"/>
        <v>85</v>
      </c>
      <c r="J151" s="377">
        <f t="shared" si="933"/>
        <v>97</v>
      </c>
      <c r="K151" s="377">
        <f t="shared" si="933"/>
        <v>94</v>
      </c>
      <c r="L151" s="377">
        <f t="shared" si="933"/>
        <v>92</v>
      </c>
      <c r="M151" s="565">
        <f t="shared" si="933"/>
        <v>99</v>
      </c>
      <c r="N151" s="564">
        <f t="shared" si="933"/>
        <v>105</v>
      </c>
      <c r="O151" s="377">
        <f t="shared" si="933"/>
        <v>100</v>
      </c>
      <c r="P151" s="377">
        <f t="shared" si="933"/>
        <v>98</v>
      </c>
      <c r="Q151" s="565">
        <f t="shared" si="933"/>
        <v>98</v>
      </c>
      <c r="R151" s="377">
        <f t="shared" si="933"/>
        <v>111</v>
      </c>
      <c r="S151" s="377">
        <f t="shared" si="933"/>
        <v>107</v>
      </c>
      <c r="T151" s="377">
        <f t="shared" si="933"/>
        <v>103</v>
      </c>
      <c r="U151" s="565">
        <f t="shared" si="933"/>
        <v>114</v>
      </c>
      <c r="V151" s="377">
        <f t="shared" si="933"/>
        <v>111</v>
      </c>
      <c r="W151" s="377">
        <f t="shared" si="933"/>
        <v>180</v>
      </c>
      <c r="X151" s="1237">
        <f t="shared" si="933"/>
        <v>218</v>
      </c>
      <c r="Y151" s="565">
        <f t="shared" si="933"/>
        <v>244</v>
      </c>
      <c r="Z151" s="1237">
        <f t="shared" si="933"/>
        <v>280</v>
      </c>
      <c r="AA151" s="377">
        <f t="shared" si="933"/>
        <v>336</v>
      </c>
      <c r="AB151" s="1237">
        <f t="shared" si="933"/>
        <v>346</v>
      </c>
      <c r="AC151" s="1317">
        <f t="shared" si="933"/>
        <v>346</v>
      </c>
      <c r="AD151" s="1237">
        <f t="shared" si="933"/>
        <v>422</v>
      </c>
      <c r="AE151" s="1237">
        <f t="shared" si="933"/>
        <v>423</v>
      </c>
      <c r="AF151" s="1237">
        <f t="shared" si="933"/>
        <v>419</v>
      </c>
      <c r="AG151" s="1317">
        <f t="shared" si="933"/>
        <v>448</v>
      </c>
      <c r="AH151" s="1237">
        <f t="shared" si="933"/>
        <v>495</v>
      </c>
      <c r="AI151" s="1237">
        <f t="shared" si="933"/>
        <v>475</v>
      </c>
      <c r="AJ151" s="1237">
        <f t="shared" si="933"/>
        <v>451</v>
      </c>
      <c r="AK151" s="565">
        <f t="shared" si="933"/>
        <v>494</v>
      </c>
      <c r="AL151" s="1237">
        <f t="shared" si="933"/>
        <v>511</v>
      </c>
      <c r="AM151" s="1237">
        <f t="shared" ref="AM151:AN151" si="934">+AM150+AM146</f>
        <v>498</v>
      </c>
      <c r="AN151" s="1237">
        <f t="shared" si="934"/>
        <v>469</v>
      </c>
      <c r="AO151" s="565">
        <f t="shared" si="933"/>
        <v>490</v>
      </c>
      <c r="AP151" s="1237">
        <f t="shared" ref="AP151:AQ151" si="935">+AP150+AP146</f>
        <v>543</v>
      </c>
      <c r="AQ151" s="1237">
        <f t="shared" si="935"/>
        <v>521</v>
      </c>
      <c r="AR151" s="377">
        <f t="shared" ref="AR151:AS151" si="936">+AR150+AR146</f>
        <v>0</v>
      </c>
      <c r="AS151" s="565">
        <f t="shared" si="936"/>
        <v>0</v>
      </c>
      <c r="AT151" s="377">
        <f t="shared" ref="AT151:AW151" si="937">+AT150+AT146</f>
        <v>0</v>
      </c>
      <c r="AU151" s="377">
        <f t="shared" si="937"/>
        <v>0</v>
      </c>
      <c r="AV151" s="377">
        <f t="shared" si="937"/>
        <v>0</v>
      </c>
      <c r="AW151" s="565">
        <f t="shared" si="937"/>
        <v>0</v>
      </c>
      <c r="AX151" s="377">
        <f t="shared" ref="AX151:BA151" si="938">+AX150+AX146</f>
        <v>0</v>
      </c>
      <c r="AY151" s="377">
        <f t="shared" si="938"/>
        <v>0</v>
      </c>
      <c r="AZ151" s="377">
        <f t="shared" si="938"/>
        <v>0</v>
      </c>
      <c r="BA151" s="565">
        <f t="shared" si="938"/>
        <v>0</v>
      </c>
      <c r="BC151" s="525"/>
      <c r="BD151" s="525">
        <f t="shared" si="914"/>
        <v>278</v>
      </c>
      <c r="BE151" s="525">
        <f t="shared" si="915"/>
        <v>326</v>
      </c>
      <c r="BF151" s="525">
        <f t="shared" si="916"/>
        <v>382</v>
      </c>
      <c r="BG151" s="525">
        <f t="shared" si="917"/>
        <v>401</v>
      </c>
      <c r="BH151" s="525">
        <f t="shared" si="918"/>
        <v>435</v>
      </c>
      <c r="BI151" s="525">
        <f t="shared" si="919"/>
        <v>753</v>
      </c>
      <c r="BJ151" s="525">
        <f t="shared" si="920"/>
        <v>1308</v>
      </c>
      <c r="BK151" s="1343">
        <f t="shared" si="921"/>
        <v>1712</v>
      </c>
      <c r="BL151" s="525">
        <f t="shared" si="922"/>
        <v>1915</v>
      </c>
      <c r="BM151" s="525">
        <f t="shared" si="923"/>
        <v>1968</v>
      </c>
      <c r="BN151" s="525">
        <f t="shared" si="924"/>
        <v>1064</v>
      </c>
      <c r="BO151" s="525">
        <f t="shared" si="925"/>
        <v>0</v>
      </c>
      <c r="BP151" s="525">
        <f t="shared" si="926"/>
        <v>0</v>
      </c>
    </row>
    <row r="152" spans="1:72" ht="12" customHeight="1">
      <c r="A152" s="939"/>
      <c r="B152" s="439"/>
      <c r="C152" s="439"/>
      <c r="D152" s="439"/>
      <c r="E152" s="441"/>
      <c r="F152" s="439"/>
      <c r="G152" s="439"/>
      <c r="H152" s="439"/>
      <c r="I152" s="441"/>
      <c r="J152" s="439"/>
      <c r="K152" s="439"/>
      <c r="L152" s="439"/>
      <c r="M152" s="441"/>
      <c r="N152" s="517"/>
      <c r="O152" s="439"/>
      <c r="P152" s="439"/>
      <c r="Q152" s="441"/>
      <c r="R152" s="439"/>
      <c r="S152" s="439"/>
      <c r="T152" s="439"/>
      <c r="U152" s="441"/>
      <c r="V152" s="439"/>
      <c r="W152" s="439"/>
      <c r="X152" s="439"/>
      <c r="Y152" s="441"/>
      <c r="Z152" s="414"/>
      <c r="AA152" s="439"/>
      <c r="AB152" s="439"/>
      <c r="AC152" s="441"/>
      <c r="AD152" s="439"/>
      <c r="AE152" s="439"/>
      <c r="AF152" s="439"/>
      <c r="AG152" s="441"/>
      <c r="AH152" s="439"/>
      <c r="AI152" s="439"/>
      <c r="AJ152" s="439"/>
      <c r="AK152" s="441"/>
      <c r="AL152" s="439"/>
      <c r="AM152" s="414"/>
      <c r="AN152" s="439"/>
      <c r="AO152" s="441"/>
      <c r="AP152" s="439"/>
      <c r="AQ152" s="414"/>
      <c r="AR152" s="439"/>
      <c r="AS152" s="441"/>
      <c r="AT152" s="439"/>
      <c r="AU152" s="439"/>
      <c r="AV152" s="439"/>
      <c r="AW152" s="441"/>
      <c r="AX152" s="439"/>
      <c r="AY152" s="439"/>
      <c r="AZ152" s="439"/>
      <c r="BA152" s="441"/>
      <c r="BC152" s="481"/>
      <c r="BD152" s="481"/>
      <c r="BE152" s="481"/>
      <c r="BF152" s="481"/>
      <c r="BG152" s="368"/>
      <c r="BH152" s="368"/>
      <c r="BI152" s="368"/>
      <c r="BJ152" s="368"/>
      <c r="BK152" s="1345"/>
      <c r="BL152" s="481"/>
      <c r="BM152" s="481"/>
      <c r="BN152" s="481"/>
      <c r="BO152" s="481"/>
      <c r="BP152" s="481"/>
    </row>
    <row r="153" spans="1:72" ht="12" customHeight="1">
      <c r="A153" s="939" t="s">
        <v>316</v>
      </c>
      <c r="B153" s="439"/>
      <c r="C153" s="439"/>
      <c r="D153" s="439"/>
      <c r="E153" s="441"/>
      <c r="F153" s="439"/>
      <c r="G153" s="439"/>
      <c r="H153" s="439"/>
      <c r="I153" s="441"/>
      <c r="J153" s="439"/>
      <c r="K153" s="439"/>
      <c r="L153" s="439"/>
      <c r="M153" s="441"/>
      <c r="N153" s="517"/>
      <c r="O153" s="439"/>
      <c r="P153" s="439"/>
      <c r="Q153" s="441"/>
      <c r="R153" s="439"/>
      <c r="S153" s="439"/>
      <c r="T153" s="439"/>
      <c r="U153" s="441"/>
      <c r="V153" s="439"/>
      <c r="W153" s="439"/>
      <c r="X153" s="439"/>
      <c r="Y153" s="441"/>
      <c r="Z153" s="414"/>
      <c r="AA153" s="439"/>
      <c r="AB153" s="439"/>
      <c r="AC153" s="441"/>
      <c r="AD153" s="439"/>
      <c r="AE153" s="439"/>
      <c r="AF153" s="439"/>
      <c r="AG153" s="441"/>
      <c r="AH153" s="439"/>
      <c r="AI153" s="439"/>
      <c r="AJ153" s="439"/>
      <c r="AK153" s="441"/>
      <c r="AL153" s="439"/>
      <c r="AM153" s="414"/>
      <c r="AN153" s="439"/>
      <c r="AO153" s="441"/>
      <c r="AP153" s="439"/>
      <c r="AQ153" s="414"/>
      <c r="AR153" s="439"/>
      <c r="AS153" s="441"/>
      <c r="AT153" s="439"/>
      <c r="AU153" s="439"/>
      <c r="AV153" s="439"/>
      <c r="AW153" s="441"/>
      <c r="AX153" s="439"/>
      <c r="AY153" s="439"/>
      <c r="AZ153" s="439"/>
      <c r="BA153" s="441"/>
      <c r="BC153" s="481"/>
      <c r="BD153" s="481"/>
      <c r="BE153" s="481"/>
      <c r="BF153" s="526"/>
      <c r="BG153" s="481"/>
      <c r="BH153" s="481"/>
      <c r="BI153" s="481"/>
      <c r="BJ153" s="481"/>
      <c r="BK153" s="1498"/>
      <c r="BL153" s="481"/>
      <c r="BM153" s="481"/>
      <c r="BN153" s="481"/>
      <c r="BO153" s="481"/>
      <c r="BP153" s="481"/>
    </row>
    <row r="154" spans="1:72" s="288" customFormat="1" ht="12" customHeight="1">
      <c r="A154" s="940" t="s">
        <v>59</v>
      </c>
      <c r="B154" s="2072"/>
      <c r="C154" s="2072"/>
      <c r="D154" s="2072"/>
      <c r="E154" s="2073"/>
      <c r="F154" s="2072"/>
      <c r="G154" s="2072"/>
      <c r="H154" s="2072"/>
      <c r="I154" s="2073"/>
      <c r="J154" s="2072"/>
      <c r="K154" s="2072"/>
      <c r="L154" s="2072"/>
      <c r="M154" s="2073"/>
      <c r="N154" s="2074"/>
      <c r="O154" s="2072"/>
      <c r="P154" s="2072"/>
      <c r="Q154" s="2073"/>
      <c r="R154" s="2072"/>
      <c r="S154" s="2072"/>
      <c r="T154" s="2072"/>
      <c r="U154" s="2073"/>
      <c r="V154" s="2072"/>
      <c r="W154" s="2072"/>
      <c r="X154" s="917"/>
      <c r="Y154" s="560"/>
      <c r="Z154" s="917"/>
      <c r="AA154" s="559"/>
      <c r="AB154" s="917"/>
      <c r="AC154" s="560"/>
      <c r="AD154" s="518"/>
      <c r="AE154" s="518"/>
      <c r="AF154" s="518"/>
      <c r="AG154" s="519"/>
      <c r="AH154" s="518"/>
      <c r="AI154" s="518"/>
      <c r="AJ154" s="518"/>
      <c r="AK154" s="519"/>
      <c r="AL154" s="518"/>
      <c r="AM154" s="1338"/>
      <c r="AN154" s="518"/>
      <c r="AO154" s="519"/>
      <c r="AP154" s="518"/>
      <c r="AQ154" s="1338"/>
      <c r="AR154" s="518"/>
      <c r="AS154" s="519"/>
      <c r="AT154" s="518"/>
      <c r="AU154" s="518"/>
      <c r="AV154" s="518"/>
      <c r="AW154" s="519"/>
      <c r="AX154" s="518"/>
      <c r="AY154" s="518"/>
      <c r="AZ154" s="518"/>
      <c r="BA154" s="519"/>
      <c r="BC154" s="483"/>
      <c r="BD154" s="368">
        <f t="shared" ref="BD154:BD159" si="939">+SUM(B154:E154)</f>
        <v>0</v>
      </c>
      <c r="BE154" s="368">
        <f t="shared" ref="BE154:BE159" si="940">+SUM(F154:I154)</f>
        <v>0</v>
      </c>
      <c r="BF154" s="368">
        <f t="shared" ref="BF154:BF159" si="941">+SUM(J154:M154)</f>
        <v>0</v>
      </c>
      <c r="BG154" s="368">
        <f t="shared" ref="BG154:BG159" si="942">SUM(N154:Q154)</f>
        <v>0</v>
      </c>
      <c r="BH154" s="368">
        <f t="shared" ref="BH154:BH159" si="943">+SUM(R154:U154)</f>
        <v>0</v>
      </c>
      <c r="BI154" s="368">
        <f t="shared" ref="BI154:BI159" si="944">SUM(V154:Y154)</f>
        <v>0</v>
      </c>
      <c r="BJ154" s="368">
        <f t="shared" ref="BJ154:BJ159" si="945">+SUM(Z154:AC154)</f>
        <v>0</v>
      </c>
      <c r="BK154" s="1345">
        <f t="shared" ref="BK154:BK159" si="946">+SUM(AD154:AG154)</f>
        <v>0</v>
      </c>
      <c r="BL154" s="368">
        <f t="shared" ref="BL154:BL159" si="947">+SUM(AH154:AK154)</f>
        <v>0</v>
      </c>
      <c r="BM154" s="368">
        <f t="shared" ref="BM154:BM159" si="948">+SUM(AL154:AO154)</f>
        <v>0</v>
      </c>
      <c r="BN154" s="368">
        <f t="shared" ref="BN154:BN159" si="949">+SUM(AP154:AS154)</f>
        <v>0</v>
      </c>
      <c r="BO154" s="368">
        <f t="shared" ref="BO154:BO159" si="950">+SUM(AT154:AW154)</f>
        <v>0</v>
      </c>
      <c r="BP154" s="368">
        <f t="shared" ref="BP154:BP159" si="951">+SUM(AX154:BA154)</f>
        <v>0</v>
      </c>
      <c r="BR154" s="1378"/>
      <c r="BS154" s="1378"/>
      <c r="BT154" s="1378"/>
    </row>
    <row r="155" spans="1:72" s="288" customFormat="1" ht="12" customHeight="1">
      <c r="A155" s="941" t="s">
        <v>298</v>
      </c>
      <c r="B155" s="2072"/>
      <c r="C155" s="2072"/>
      <c r="D155" s="2072"/>
      <c r="E155" s="2073"/>
      <c r="F155" s="2072"/>
      <c r="G155" s="2072"/>
      <c r="H155" s="2072"/>
      <c r="I155" s="2073"/>
      <c r="J155" s="2072"/>
      <c r="K155" s="2072"/>
      <c r="L155" s="2072"/>
      <c r="M155" s="2073"/>
      <c r="N155" s="2074"/>
      <c r="O155" s="2072"/>
      <c r="P155" s="2072"/>
      <c r="Q155" s="2073"/>
      <c r="R155" s="2072"/>
      <c r="S155" s="2072"/>
      <c r="T155" s="2072"/>
      <c r="U155" s="2073"/>
      <c r="V155" s="2072"/>
      <c r="W155" s="2072"/>
      <c r="X155" s="917"/>
      <c r="Y155" s="560"/>
      <c r="Z155" s="917"/>
      <c r="AA155" s="559"/>
      <c r="AB155" s="917"/>
      <c r="AC155" s="560"/>
      <c r="AD155" s="518"/>
      <c r="AE155" s="518"/>
      <c r="AF155" s="518"/>
      <c r="AG155" s="1369"/>
      <c r="AH155" s="1338"/>
      <c r="AI155" s="518"/>
      <c r="AJ155" s="518"/>
      <c r="AK155" s="519"/>
      <c r="AL155" s="518"/>
      <c r="AM155" s="1338"/>
      <c r="AN155" s="518"/>
      <c r="AO155" s="519"/>
      <c r="AP155" s="518"/>
      <c r="AQ155" s="1338"/>
      <c r="AR155" s="518"/>
      <c r="AS155" s="519"/>
      <c r="AT155" s="518"/>
      <c r="AU155" s="518"/>
      <c r="AV155" s="518"/>
      <c r="AW155" s="519"/>
      <c r="AX155" s="518"/>
      <c r="AY155" s="518"/>
      <c r="AZ155" s="518"/>
      <c r="BA155" s="519"/>
      <c r="BC155" s="483"/>
      <c r="BD155" s="368">
        <f t="shared" si="939"/>
        <v>0</v>
      </c>
      <c r="BE155" s="368">
        <f t="shared" si="940"/>
        <v>0</v>
      </c>
      <c r="BF155" s="368">
        <f t="shared" si="941"/>
        <v>0</v>
      </c>
      <c r="BG155" s="368">
        <f t="shared" si="942"/>
        <v>0</v>
      </c>
      <c r="BH155" s="368">
        <f t="shared" si="943"/>
        <v>0</v>
      </c>
      <c r="BI155" s="368">
        <f t="shared" si="944"/>
        <v>0</v>
      </c>
      <c r="BJ155" s="368">
        <f t="shared" si="945"/>
        <v>0</v>
      </c>
      <c r="BK155" s="1345">
        <f t="shared" si="946"/>
        <v>0</v>
      </c>
      <c r="BL155" s="368">
        <f t="shared" si="947"/>
        <v>0</v>
      </c>
      <c r="BM155" s="368">
        <f t="shared" si="948"/>
        <v>0</v>
      </c>
      <c r="BN155" s="368">
        <f t="shared" si="949"/>
        <v>0</v>
      </c>
      <c r="BO155" s="368">
        <f t="shared" si="950"/>
        <v>0</v>
      </c>
      <c r="BP155" s="368">
        <f t="shared" si="951"/>
        <v>0</v>
      </c>
      <c r="BR155" s="1378"/>
      <c r="BS155" s="1378"/>
      <c r="BT155" s="1378"/>
    </row>
    <row r="156" spans="1:72" ht="12" customHeight="1">
      <c r="A156" s="941" t="s">
        <v>37</v>
      </c>
      <c r="B156" s="2072"/>
      <c r="C156" s="2072"/>
      <c r="D156" s="2072"/>
      <c r="E156" s="2073"/>
      <c r="F156" s="2072"/>
      <c r="G156" s="2072"/>
      <c r="H156" s="2072"/>
      <c r="I156" s="2073"/>
      <c r="J156" s="2072"/>
      <c r="K156" s="2072"/>
      <c r="L156" s="2072"/>
      <c r="M156" s="2073"/>
      <c r="N156" s="2074"/>
      <c r="O156" s="2072"/>
      <c r="P156" s="2072"/>
      <c r="Q156" s="2073"/>
      <c r="R156" s="2072"/>
      <c r="S156" s="2072"/>
      <c r="T156" s="2072"/>
      <c r="U156" s="2073"/>
      <c r="V156" s="2072"/>
      <c r="W156" s="2072"/>
      <c r="X156" s="917"/>
      <c r="Y156" s="560"/>
      <c r="Z156" s="917"/>
      <c r="AA156" s="559"/>
      <c r="AB156" s="917"/>
      <c r="AC156" s="560"/>
      <c r="AD156" s="518"/>
      <c r="AE156" s="518"/>
      <c r="AF156" s="518"/>
      <c r="AG156" s="1369"/>
      <c r="AH156" s="1338"/>
      <c r="AI156" s="518"/>
      <c r="AJ156" s="518"/>
      <c r="AK156" s="519"/>
      <c r="AL156" s="518"/>
      <c r="AM156" s="1338"/>
      <c r="AN156" s="518"/>
      <c r="AO156" s="519"/>
      <c r="AP156" s="518"/>
      <c r="AQ156" s="1338"/>
      <c r="AR156" s="518"/>
      <c r="AS156" s="519"/>
      <c r="AT156" s="518"/>
      <c r="AU156" s="518"/>
      <c r="AV156" s="518"/>
      <c r="AW156" s="519"/>
      <c r="AX156" s="518"/>
      <c r="AY156" s="518"/>
      <c r="AZ156" s="518"/>
      <c r="BA156" s="519"/>
      <c r="BC156" s="481"/>
      <c r="BD156" s="368">
        <f t="shared" si="939"/>
        <v>0</v>
      </c>
      <c r="BE156" s="368">
        <f t="shared" si="940"/>
        <v>0</v>
      </c>
      <c r="BF156" s="368">
        <f t="shared" si="941"/>
        <v>0</v>
      </c>
      <c r="BG156" s="368">
        <f t="shared" si="942"/>
        <v>0</v>
      </c>
      <c r="BH156" s="368">
        <f t="shared" si="943"/>
        <v>0</v>
      </c>
      <c r="BI156" s="368">
        <f t="shared" si="944"/>
        <v>0</v>
      </c>
      <c r="BJ156" s="368">
        <f t="shared" si="945"/>
        <v>0</v>
      </c>
      <c r="BK156" s="1345">
        <f t="shared" si="946"/>
        <v>0</v>
      </c>
      <c r="BL156" s="1345">
        <f t="shared" si="947"/>
        <v>0</v>
      </c>
      <c r="BM156" s="368">
        <f t="shared" si="948"/>
        <v>0</v>
      </c>
      <c r="BN156" s="368">
        <f t="shared" si="949"/>
        <v>0</v>
      </c>
      <c r="BO156" s="368">
        <f t="shared" si="950"/>
        <v>0</v>
      </c>
      <c r="BP156" s="368">
        <f t="shared" si="951"/>
        <v>0</v>
      </c>
    </row>
    <row r="157" spans="1:72" ht="12" customHeight="1">
      <c r="A157" s="940" t="s">
        <v>30</v>
      </c>
      <c r="B157" s="2072">
        <v>0</v>
      </c>
      <c r="C157" s="2072">
        <v>0</v>
      </c>
      <c r="D157" s="2072">
        <v>1</v>
      </c>
      <c r="E157" s="2073">
        <v>0</v>
      </c>
      <c r="F157" s="2072"/>
      <c r="G157" s="2072"/>
      <c r="H157" s="2072"/>
      <c r="I157" s="2073"/>
      <c r="J157" s="2072">
        <v>0</v>
      </c>
      <c r="K157" s="2072">
        <v>2</v>
      </c>
      <c r="L157" s="2072">
        <v>0</v>
      </c>
      <c r="M157" s="2073">
        <v>79</v>
      </c>
      <c r="N157" s="2074">
        <v>0</v>
      </c>
      <c r="O157" s="2072">
        <v>0</v>
      </c>
      <c r="P157" s="2072">
        <v>0</v>
      </c>
      <c r="Q157" s="2073">
        <v>1</v>
      </c>
      <c r="R157" s="2072"/>
      <c r="S157" s="2072"/>
      <c r="T157" s="2072">
        <v>16</v>
      </c>
      <c r="U157" s="2073">
        <v>13</v>
      </c>
      <c r="V157" s="2072">
        <v>5</v>
      </c>
      <c r="W157" s="2072">
        <v>30</v>
      </c>
      <c r="X157" s="2075">
        <v>1</v>
      </c>
      <c r="Y157" s="2073">
        <v>0</v>
      </c>
      <c r="Z157" s="2075">
        <v>12</v>
      </c>
      <c r="AA157" s="2075">
        <v>57</v>
      </c>
      <c r="AB157" s="2075">
        <v>0</v>
      </c>
      <c r="AC157" s="2076">
        <v>0</v>
      </c>
      <c r="AD157" s="2075">
        <v>2</v>
      </c>
      <c r="AE157" s="2077">
        <v>1</v>
      </c>
      <c r="AF157" s="2077">
        <v>1</v>
      </c>
      <c r="AG157" s="2078">
        <v>0</v>
      </c>
      <c r="AH157" s="1338"/>
      <c r="AI157" s="1338"/>
      <c r="AJ157" s="518"/>
      <c r="AK157" s="2079">
        <v>5</v>
      </c>
      <c r="AL157" s="2077"/>
      <c r="AM157" s="2077"/>
      <c r="AN157" s="2080">
        <v>2</v>
      </c>
      <c r="AO157" s="2079"/>
      <c r="AP157" s="2077"/>
      <c r="AQ157" s="2077"/>
      <c r="AR157" s="518"/>
      <c r="AS157" s="519"/>
      <c r="AT157" s="518"/>
      <c r="AU157" s="518"/>
      <c r="AV157" s="518"/>
      <c r="AW157" s="519"/>
      <c r="AX157" s="518"/>
      <c r="AY157" s="518"/>
      <c r="AZ157" s="518"/>
      <c r="BA157" s="519"/>
      <c r="BC157" s="481"/>
      <c r="BD157" s="368">
        <f t="shared" si="939"/>
        <v>1</v>
      </c>
      <c r="BE157" s="368">
        <f t="shared" si="940"/>
        <v>0</v>
      </c>
      <c r="BF157" s="368">
        <f t="shared" si="941"/>
        <v>81</v>
      </c>
      <c r="BG157" s="368">
        <f t="shared" si="942"/>
        <v>1</v>
      </c>
      <c r="BH157" s="368">
        <f t="shared" si="943"/>
        <v>29</v>
      </c>
      <c r="BI157" s="368">
        <f t="shared" si="944"/>
        <v>36</v>
      </c>
      <c r="BJ157" s="368">
        <f t="shared" si="945"/>
        <v>69</v>
      </c>
      <c r="BK157" s="1345">
        <f t="shared" si="946"/>
        <v>4</v>
      </c>
      <c r="BL157" s="1345">
        <f t="shared" si="947"/>
        <v>5</v>
      </c>
      <c r="BM157" s="368">
        <f t="shared" si="948"/>
        <v>2</v>
      </c>
      <c r="BN157" s="368">
        <f t="shared" si="949"/>
        <v>0</v>
      </c>
      <c r="BO157" s="368">
        <f t="shared" si="950"/>
        <v>0</v>
      </c>
      <c r="BP157" s="368">
        <f t="shared" si="951"/>
        <v>0</v>
      </c>
    </row>
    <row r="158" spans="1:72" s="288" customFormat="1" ht="12" customHeight="1">
      <c r="A158" s="942" t="s">
        <v>313</v>
      </c>
      <c r="B158" s="562">
        <f>+SUM(B155:B157)</f>
        <v>0</v>
      </c>
      <c r="C158" s="562">
        <f t="shared" ref="C158" si="952">+SUM(C155:C157)</f>
        <v>0</v>
      </c>
      <c r="D158" s="562">
        <f t="shared" ref="D158" si="953">+SUM(D155:D157)</f>
        <v>1</v>
      </c>
      <c r="E158" s="563">
        <f t="shared" ref="E158" si="954">+SUM(E155:E157)</f>
        <v>0</v>
      </c>
      <c r="F158" s="562">
        <f t="shared" ref="F158" si="955">+SUM(F155:F157)</f>
        <v>0</v>
      </c>
      <c r="G158" s="377">
        <f t="shared" ref="G158" si="956">+SUM(G155:G157)</f>
        <v>0</v>
      </c>
      <c r="H158" s="562">
        <f t="shared" ref="H158" si="957">+SUM(H155:H157)</f>
        <v>0</v>
      </c>
      <c r="I158" s="563">
        <f t="shared" ref="I158" si="958">+SUM(I155:I157)</f>
        <v>0</v>
      </c>
      <c r="J158" s="562">
        <f t="shared" ref="J158" si="959">+SUM(J155:J157)</f>
        <v>0</v>
      </c>
      <c r="K158" s="562">
        <f t="shared" ref="K158" si="960">+SUM(K155:K157)</f>
        <v>2</v>
      </c>
      <c r="L158" s="562">
        <f t="shared" ref="L158" si="961">+SUM(L155:L157)</f>
        <v>0</v>
      </c>
      <c r="M158" s="563">
        <f t="shared" ref="M158" si="962">+SUM(M155:M157)</f>
        <v>79</v>
      </c>
      <c r="N158" s="561">
        <f t="shared" ref="N158" si="963">+SUM(N155:N157)</f>
        <v>0</v>
      </c>
      <c r="O158" s="562">
        <f t="shared" ref="O158" si="964">+SUM(O155:O157)</f>
        <v>0</v>
      </c>
      <c r="P158" s="562">
        <f t="shared" ref="P158" si="965">+SUM(P155:P157)</f>
        <v>0</v>
      </c>
      <c r="Q158" s="563">
        <f t="shared" ref="Q158" si="966">+SUM(Q155:Q157)</f>
        <v>1</v>
      </c>
      <c r="R158" s="562">
        <f t="shared" ref="R158" si="967">+SUM(R155:R157)</f>
        <v>0</v>
      </c>
      <c r="S158" s="562">
        <f t="shared" ref="S158" si="968">+SUM(S155:S157)</f>
        <v>0</v>
      </c>
      <c r="T158" s="562">
        <f t="shared" ref="T158" si="969">+SUM(T155:T157)</f>
        <v>16</v>
      </c>
      <c r="U158" s="563">
        <f t="shared" ref="U158" si="970">+SUM(U155:U157)</f>
        <v>13</v>
      </c>
      <c r="V158" s="562">
        <f t="shared" ref="V158" si="971">+SUM(V155:V157)</f>
        <v>5</v>
      </c>
      <c r="W158" s="562">
        <f t="shared" ref="W158" si="972">+SUM(W155:W157)</f>
        <v>30</v>
      </c>
      <c r="X158" s="645">
        <f t="shared" ref="X158:Y158" si="973">+SUM(X155:X157)</f>
        <v>1</v>
      </c>
      <c r="Y158" s="563">
        <f t="shared" si="973"/>
        <v>0</v>
      </c>
      <c r="Z158" s="645">
        <f t="shared" ref="Z158" si="974">+SUM(Z155:Z157)</f>
        <v>12</v>
      </c>
      <c r="AA158" s="645">
        <f t="shared" ref="AA158" si="975">+SUM(AA155:AA157)</f>
        <v>57</v>
      </c>
      <c r="AB158" s="645">
        <f t="shared" ref="AB158" si="976">+SUM(AB155:AB157)</f>
        <v>0</v>
      </c>
      <c r="AC158" s="563">
        <f t="shared" ref="AC158" si="977">+SUM(AC155:AC157)</f>
        <v>0</v>
      </c>
      <c r="AD158" s="562">
        <f t="shared" ref="AD158" si="978">+SUM(AD155:AD157)</f>
        <v>2</v>
      </c>
      <c r="AE158" s="1341">
        <f t="shared" ref="AE158" si="979">+SUM(AE155:AE157)</f>
        <v>1</v>
      </c>
      <c r="AF158" s="520">
        <f t="shared" ref="AF158" si="980">+SUM(AF155:AF157)</f>
        <v>1</v>
      </c>
      <c r="AG158" s="1372">
        <f t="shared" ref="AG158" si="981">+SUM(AG155:AG157)</f>
        <v>0</v>
      </c>
      <c r="AH158" s="1341">
        <f t="shared" ref="AH158" si="982">+SUM(AH155:AH157)</f>
        <v>0</v>
      </c>
      <c r="AI158" s="1341">
        <f t="shared" ref="AI158" si="983">+SUM(AI155:AI157)</f>
        <v>0</v>
      </c>
      <c r="AJ158" s="520">
        <f t="shared" ref="AJ158" si="984">+SUM(AJ155:AJ157)</f>
        <v>0</v>
      </c>
      <c r="AK158" s="522">
        <f t="shared" ref="AK158" si="985">+SUM(AK155:AK157)</f>
        <v>5</v>
      </c>
      <c r="AL158" s="520">
        <f t="shared" ref="AL158:AM158" si="986">+SUM(AL155:AL157)</f>
        <v>0</v>
      </c>
      <c r="AM158" s="1341">
        <f t="shared" si="986"/>
        <v>0</v>
      </c>
      <c r="AN158" s="520">
        <f>+SUM(AN155:AN157)</f>
        <v>2</v>
      </c>
      <c r="AO158" s="522">
        <f t="shared" ref="AO158:AR158" si="987">+SUM(AO155:AO157)</f>
        <v>0</v>
      </c>
      <c r="AP158" s="520">
        <f t="shared" si="987"/>
        <v>0</v>
      </c>
      <c r="AQ158" s="1341">
        <f t="shared" si="987"/>
        <v>0</v>
      </c>
      <c r="AR158" s="520">
        <f t="shared" si="987"/>
        <v>0</v>
      </c>
      <c r="AS158" s="522">
        <f t="shared" ref="AS158:AV158" si="988">+SUM(AS155:AS157)</f>
        <v>0</v>
      </c>
      <c r="AT158" s="520">
        <f t="shared" si="988"/>
        <v>0</v>
      </c>
      <c r="AU158" s="520">
        <f t="shared" si="988"/>
        <v>0</v>
      </c>
      <c r="AV158" s="520">
        <f t="shared" si="988"/>
        <v>0</v>
      </c>
      <c r="AW158" s="522">
        <f t="shared" ref="AW158:AZ158" si="989">+SUM(AW155:AW157)</f>
        <v>0</v>
      </c>
      <c r="AX158" s="520">
        <f t="shared" si="989"/>
        <v>0</v>
      </c>
      <c r="AY158" s="520">
        <f t="shared" si="989"/>
        <v>0</v>
      </c>
      <c r="AZ158" s="520">
        <f t="shared" si="989"/>
        <v>0</v>
      </c>
      <c r="BA158" s="522">
        <f t="shared" ref="BA158" si="990">+SUM(BA155:BA157)</f>
        <v>0</v>
      </c>
      <c r="BC158" s="372"/>
      <c r="BD158" s="372">
        <f t="shared" si="939"/>
        <v>1</v>
      </c>
      <c r="BE158" s="372">
        <f t="shared" si="940"/>
        <v>0</v>
      </c>
      <c r="BF158" s="372">
        <f t="shared" si="941"/>
        <v>81</v>
      </c>
      <c r="BG158" s="372">
        <f t="shared" si="942"/>
        <v>1</v>
      </c>
      <c r="BH158" s="372">
        <f t="shared" si="943"/>
        <v>29</v>
      </c>
      <c r="BI158" s="372">
        <f t="shared" si="944"/>
        <v>36</v>
      </c>
      <c r="BJ158" s="372">
        <f t="shared" si="945"/>
        <v>69</v>
      </c>
      <c r="BK158" s="1499">
        <f t="shared" si="946"/>
        <v>4</v>
      </c>
      <c r="BL158" s="1499">
        <f t="shared" si="947"/>
        <v>5</v>
      </c>
      <c r="BM158" s="372">
        <f t="shared" si="948"/>
        <v>2</v>
      </c>
      <c r="BN158" s="372">
        <f t="shared" si="949"/>
        <v>0</v>
      </c>
      <c r="BO158" s="372">
        <f t="shared" si="950"/>
        <v>0</v>
      </c>
      <c r="BP158" s="372">
        <f t="shared" si="951"/>
        <v>0</v>
      </c>
      <c r="BR158" s="1378"/>
      <c r="BS158" s="1378"/>
      <c r="BT158" s="1378"/>
    </row>
    <row r="159" spans="1:72" s="288" customFormat="1" ht="12" customHeight="1">
      <c r="A159" s="943" t="s">
        <v>314</v>
      </c>
      <c r="B159" s="377">
        <f>+B158+B154</f>
        <v>0</v>
      </c>
      <c r="C159" s="377">
        <f t="shared" ref="C159" si="991">+C158+C154</f>
        <v>0</v>
      </c>
      <c r="D159" s="377">
        <f t="shared" ref="D159" si="992">+D158+D154</f>
        <v>1</v>
      </c>
      <c r="E159" s="565">
        <f t="shared" ref="E159" si="993">+E158+E154</f>
        <v>0</v>
      </c>
      <c r="F159" s="377">
        <f t="shared" ref="F159" si="994">+F158+F154</f>
        <v>0</v>
      </c>
      <c r="G159" s="566">
        <f t="shared" ref="G159" si="995">+G158+G154</f>
        <v>0</v>
      </c>
      <c r="H159" s="377">
        <f t="shared" ref="H159" si="996">+H158+H154</f>
        <v>0</v>
      </c>
      <c r="I159" s="565">
        <f t="shared" ref="I159" si="997">+I158+I154</f>
        <v>0</v>
      </c>
      <c r="J159" s="377">
        <f t="shared" ref="J159" si="998">+J158+J154</f>
        <v>0</v>
      </c>
      <c r="K159" s="377">
        <f t="shared" ref="K159" si="999">+K158+K154</f>
        <v>2</v>
      </c>
      <c r="L159" s="377">
        <f t="shared" ref="L159" si="1000">+L158+L154</f>
        <v>0</v>
      </c>
      <c r="M159" s="565">
        <f t="shared" ref="M159" si="1001">+M158+M154</f>
        <v>79</v>
      </c>
      <c r="N159" s="564">
        <f t="shared" ref="N159" si="1002">+N158+N154</f>
        <v>0</v>
      </c>
      <c r="O159" s="377">
        <f t="shared" ref="O159" si="1003">+O158+O154</f>
        <v>0</v>
      </c>
      <c r="P159" s="377">
        <f t="shared" ref="P159" si="1004">+P158+P154</f>
        <v>0</v>
      </c>
      <c r="Q159" s="565">
        <f t="shared" ref="Q159" si="1005">+Q158+Q154</f>
        <v>1</v>
      </c>
      <c r="R159" s="377">
        <f t="shared" ref="R159" si="1006">+R158+R154</f>
        <v>0</v>
      </c>
      <c r="S159" s="377">
        <f t="shared" ref="S159" si="1007">+S158+S154</f>
        <v>0</v>
      </c>
      <c r="T159" s="377">
        <f t="shared" ref="T159" si="1008">+T158+T154</f>
        <v>16</v>
      </c>
      <c r="U159" s="565">
        <f t="shared" ref="U159" si="1009">+U158+U154</f>
        <v>13</v>
      </c>
      <c r="V159" s="377">
        <f t="shared" ref="V159" si="1010">+V158+V154</f>
        <v>5</v>
      </c>
      <c r="W159" s="377">
        <f t="shared" ref="W159" si="1011">+W158+W154</f>
        <v>30</v>
      </c>
      <c r="X159" s="1237">
        <f t="shared" ref="X159:Y159" si="1012">+X158+X154</f>
        <v>1</v>
      </c>
      <c r="Y159" s="565">
        <f t="shared" si="1012"/>
        <v>0</v>
      </c>
      <c r="Z159" s="1237">
        <f t="shared" ref="Z159" si="1013">+Z158+Z154</f>
        <v>12</v>
      </c>
      <c r="AA159" s="377">
        <f t="shared" ref="AA159" si="1014">+AA158+AA154</f>
        <v>57</v>
      </c>
      <c r="AB159" s="1237">
        <f t="shared" ref="AB159" si="1015">+AB158+AB154</f>
        <v>0</v>
      </c>
      <c r="AC159" s="565">
        <f t="shared" ref="AC159" si="1016">+AC158+AC154</f>
        <v>0</v>
      </c>
      <c r="AD159" s="377">
        <f t="shared" ref="AD159" si="1017">+AD158+AD154</f>
        <v>2</v>
      </c>
      <c r="AE159" s="1283">
        <f t="shared" ref="AE159" si="1018">+AE158+AE154</f>
        <v>1</v>
      </c>
      <c r="AF159" s="521">
        <f t="shared" ref="AF159" si="1019">+AF158+AF154</f>
        <v>1</v>
      </c>
      <c r="AG159" s="1373">
        <f t="shared" ref="AG159" si="1020">+AG158+AG154</f>
        <v>0</v>
      </c>
      <c r="AH159" s="1283">
        <f t="shared" ref="AH159" si="1021">+AH158+AH154</f>
        <v>0</v>
      </c>
      <c r="AI159" s="1283">
        <f t="shared" ref="AI159" si="1022">+AI158+AI154</f>
        <v>0</v>
      </c>
      <c r="AJ159" s="521">
        <f t="shared" ref="AJ159" si="1023">+AJ158+AJ154</f>
        <v>0</v>
      </c>
      <c r="AK159" s="523">
        <f t="shared" ref="AK159" si="1024">+AK158+AK154</f>
        <v>5</v>
      </c>
      <c r="AL159" s="521">
        <f t="shared" ref="AL159:AN159" si="1025">+AL158+AL154</f>
        <v>0</v>
      </c>
      <c r="AM159" s="1283">
        <f t="shared" si="1025"/>
        <v>0</v>
      </c>
      <c r="AN159" s="521">
        <f t="shared" si="1025"/>
        <v>2</v>
      </c>
      <c r="AO159" s="523">
        <f t="shared" ref="AO159:AR159" si="1026">+AO158+AO154</f>
        <v>0</v>
      </c>
      <c r="AP159" s="521">
        <f t="shared" si="1026"/>
        <v>0</v>
      </c>
      <c r="AQ159" s="1283">
        <f t="shared" si="1026"/>
        <v>0</v>
      </c>
      <c r="AR159" s="521">
        <f t="shared" si="1026"/>
        <v>0</v>
      </c>
      <c r="AS159" s="523">
        <f t="shared" ref="AS159:AV159" si="1027">+AS158+AS154</f>
        <v>0</v>
      </c>
      <c r="AT159" s="521">
        <f t="shared" si="1027"/>
        <v>0</v>
      </c>
      <c r="AU159" s="521">
        <f t="shared" si="1027"/>
        <v>0</v>
      </c>
      <c r="AV159" s="521">
        <f t="shared" si="1027"/>
        <v>0</v>
      </c>
      <c r="AW159" s="523">
        <f t="shared" ref="AW159:AZ159" si="1028">+AW158+AW154</f>
        <v>0</v>
      </c>
      <c r="AX159" s="521">
        <f t="shared" si="1028"/>
        <v>0</v>
      </c>
      <c r="AY159" s="521">
        <f t="shared" si="1028"/>
        <v>0</v>
      </c>
      <c r="AZ159" s="521">
        <f t="shared" si="1028"/>
        <v>0</v>
      </c>
      <c r="BA159" s="523">
        <f t="shared" ref="BA159" si="1029">+BA158+BA154</f>
        <v>0</v>
      </c>
      <c r="BC159" s="525"/>
      <c r="BD159" s="525">
        <f t="shared" si="939"/>
        <v>1</v>
      </c>
      <c r="BE159" s="525">
        <f t="shared" si="940"/>
        <v>0</v>
      </c>
      <c r="BF159" s="525">
        <f t="shared" si="941"/>
        <v>81</v>
      </c>
      <c r="BG159" s="525">
        <f t="shared" si="942"/>
        <v>1</v>
      </c>
      <c r="BH159" s="525">
        <f t="shared" si="943"/>
        <v>29</v>
      </c>
      <c r="BI159" s="1343">
        <f t="shared" si="944"/>
        <v>36</v>
      </c>
      <c r="BJ159" s="525">
        <f t="shared" si="945"/>
        <v>69</v>
      </c>
      <c r="BK159" s="1343">
        <f t="shared" si="946"/>
        <v>4</v>
      </c>
      <c r="BL159" s="1343">
        <f t="shared" si="947"/>
        <v>5</v>
      </c>
      <c r="BM159" s="525">
        <f t="shared" si="948"/>
        <v>2</v>
      </c>
      <c r="BN159" s="525">
        <f t="shared" si="949"/>
        <v>0</v>
      </c>
      <c r="BO159" s="525">
        <f t="shared" si="950"/>
        <v>0</v>
      </c>
      <c r="BP159" s="525">
        <f t="shared" si="951"/>
        <v>0</v>
      </c>
      <c r="BR159" s="1378"/>
      <c r="BS159" s="1378"/>
      <c r="BT159" s="1378"/>
    </row>
    <row r="160" spans="1:72" s="288" customFormat="1" ht="12" customHeight="1">
      <c r="A160" s="944"/>
      <c r="B160" s="527"/>
      <c r="C160" s="527"/>
      <c r="D160" s="527"/>
      <c r="E160" s="528"/>
      <c r="F160" s="521"/>
      <c r="G160" s="521"/>
      <c r="H160" s="521"/>
      <c r="I160" s="523"/>
      <c r="J160" s="521"/>
      <c r="K160" s="521"/>
      <c r="L160" s="521"/>
      <c r="M160" s="523"/>
      <c r="N160" s="524"/>
      <c r="O160" s="521"/>
      <c r="P160" s="521"/>
      <c r="Q160" s="523"/>
      <c r="R160" s="521"/>
      <c r="S160" s="521"/>
      <c r="T160" s="521"/>
      <c r="U160" s="523"/>
      <c r="V160" s="521"/>
      <c r="W160" s="521"/>
      <c r="X160" s="521"/>
      <c r="Y160" s="523"/>
      <c r="Z160" s="1283"/>
      <c r="AA160" s="521"/>
      <c r="AB160" s="521"/>
      <c r="AC160" s="523"/>
      <c r="AD160" s="521"/>
      <c r="AE160" s="1283"/>
      <c r="AF160" s="521"/>
      <c r="AG160" s="1373"/>
      <c r="AH160" s="1283"/>
      <c r="AI160" s="1283"/>
      <c r="AJ160" s="521"/>
      <c r="AK160" s="523"/>
      <c r="AL160" s="521"/>
      <c r="AM160" s="1283"/>
      <c r="AN160" s="521"/>
      <c r="AO160" s="523"/>
      <c r="AP160" s="521"/>
      <c r="AQ160" s="1283"/>
      <c r="AR160" s="521"/>
      <c r="AS160" s="523"/>
      <c r="AT160" s="521"/>
      <c r="AU160" s="521"/>
      <c r="AV160" s="521"/>
      <c r="AW160" s="523"/>
      <c r="AX160" s="521"/>
      <c r="AY160" s="521"/>
      <c r="AZ160" s="521"/>
      <c r="BA160" s="523"/>
      <c r="BC160" s="483"/>
      <c r="BD160" s="483"/>
      <c r="BE160" s="483"/>
      <c r="BF160" s="529"/>
      <c r="BG160" s="529"/>
      <c r="BH160" s="523"/>
      <c r="BI160" s="1344"/>
      <c r="BJ160" s="523"/>
      <c r="BK160" s="1344"/>
      <c r="BL160" s="1344"/>
      <c r="BM160" s="523"/>
      <c r="BN160" s="523"/>
      <c r="BO160" s="523"/>
      <c r="BP160" s="523"/>
      <c r="BR160" s="1378"/>
      <c r="BS160" s="1378"/>
      <c r="BT160" s="1378"/>
    </row>
    <row r="161" spans="1:72" s="288" customFormat="1" ht="12" customHeight="1">
      <c r="A161" s="945" t="s">
        <v>315</v>
      </c>
      <c r="B161" s="377"/>
      <c r="C161" s="377"/>
      <c r="D161" s="377"/>
      <c r="E161" s="565"/>
      <c r="F161" s="377"/>
      <c r="G161" s="377"/>
      <c r="H161" s="377"/>
      <c r="I161" s="565"/>
      <c r="J161" s="377"/>
      <c r="K161" s="377"/>
      <c r="L161" s="377"/>
      <c r="M161" s="565"/>
      <c r="N161" s="564"/>
      <c r="O161" s="377"/>
      <c r="P161" s="377"/>
      <c r="Q161" s="565"/>
      <c r="R161" s="377"/>
      <c r="S161" s="377"/>
      <c r="T161" s="377"/>
      <c r="U161" s="565"/>
      <c r="V161" s="377"/>
      <c r="W161" s="377"/>
      <c r="X161" s="377"/>
      <c r="Y161" s="565"/>
      <c r="Z161" s="1237"/>
      <c r="AA161" s="377"/>
      <c r="AB161" s="377"/>
      <c r="AC161" s="523"/>
      <c r="AD161" s="521"/>
      <c r="AE161" s="1283"/>
      <c r="AF161" s="521"/>
      <c r="AG161" s="1373"/>
      <c r="AH161" s="1283"/>
      <c r="AI161" s="1283"/>
      <c r="AJ161" s="521"/>
      <c r="AK161" s="523"/>
      <c r="AL161" s="521"/>
      <c r="AM161" s="1283"/>
      <c r="AN161" s="521"/>
      <c r="AO161" s="523"/>
      <c r="AP161" s="521"/>
      <c r="AQ161" s="1283"/>
      <c r="AR161" s="521"/>
      <c r="AS161" s="523"/>
      <c r="AT161" s="521"/>
      <c r="AU161" s="521"/>
      <c r="AV161" s="521"/>
      <c r="AW161" s="523"/>
      <c r="AX161" s="521"/>
      <c r="AY161" s="521"/>
      <c r="AZ161" s="521"/>
      <c r="BA161" s="523"/>
      <c r="BC161" s="483"/>
      <c r="BD161" s="483"/>
      <c r="BE161" s="483"/>
      <c r="BF161" s="529"/>
      <c r="BG161" s="529"/>
      <c r="BH161" s="523"/>
      <c r="BI161" s="1344"/>
      <c r="BJ161" s="523"/>
      <c r="BK161" s="1344"/>
      <c r="BL161" s="1344"/>
      <c r="BM161" s="523"/>
      <c r="BN161" s="523"/>
      <c r="BO161" s="523"/>
      <c r="BP161" s="523"/>
      <c r="BR161" s="1378"/>
      <c r="BS161" s="1378"/>
      <c r="BT161" s="1378"/>
    </row>
    <row r="162" spans="1:72" ht="12" customHeight="1">
      <c r="A162" s="940" t="s">
        <v>727</v>
      </c>
      <c r="B162" s="2072"/>
      <c r="C162" s="2072"/>
      <c r="D162" s="2072"/>
      <c r="E162" s="2073"/>
      <c r="F162" s="2072"/>
      <c r="G162" s="2072"/>
      <c r="H162" s="2072"/>
      <c r="I162" s="2073"/>
      <c r="J162" s="2072"/>
      <c r="K162" s="2072"/>
      <c r="L162" s="2072"/>
      <c r="M162" s="2073"/>
      <c r="N162" s="2074"/>
      <c r="O162" s="2072"/>
      <c r="P162" s="2072"/>
      <c r="Q162" s="2073"/>
      <c r="R162" s="2072"/>
      <c r="S162" s="2072"/>
      <c r="T162" s="2072"/>
      <c r="U162" s="2073"/>
      <c r="V162" s="2072"/>
      <c r="W162" s="2072"/>
      <c r="X162" s="2075"/>
      <c r="Y162" s="2073"/>
      <c r="Z162" s="2075"/>
      <c r="AA162" s="2075"/>
      <c r="AB162" s="2075"/>
      <c r="AC162" s="2076"/>
      <c r="AD162" s="2077"/>
      <c r="AE162" s="2077"/>
      <c r="AF162" s="2077"/>
      <c r="AG162" s="2076"/>
      <c r="AH162" s="2077"/>
      <c r="AI162" s="2077"/>
      <c r="AJ162" s="2075"/>
      <c r="AK162" s="2076"/>
      <c r="AL162" s="2075">
        <v>5</v>
      </c>
      <c r="AM162" s="2075">
        <v>8</v>
      </c>
      <c r="AN162" s="2075">
        <v>-7</v>
      </c>
      <c r="AO162" s="2079">
        <v>21</v>
      </c>
      <c r="AP162" s="2075">
        <v>16</v>
      </c>
      <c r="AQ162" s="2075">
        <v>8</v>
      </c>
      <c r="AR162" s="518"/>
      <c r="AS162" s="519"/>
      <c r="AT162" s="518"/>
      <c r="AU162" s="518"/>
      <c r="AV162" s="518"/>
      <c r="AW162" s="519"/>
      <c r="AX162" s="518"/>
      <c r="AY162" s="518"/>
      <c r="AZ162" s="518"/>
      <c r="BA162" s="519"/>
      <c r="BC162" s="481"/>
      <c r="BD162" s="368">
        <f t="shared" ref="BD162:BD166" si="1030">+SUM(B162:E162)</f>
        <v>0</v>
      </c>
      <c r="BE162" s="368">
        <f t="shared" ref="BE162:BE166" si="1031">+SUM(F162:I162)</f>
        <v>0</v>
      </c>
      <c r="BF162" s="368">
        <f t="shared" ref="BF162:BF166" si="1032">+SUM(J162:M162)</f>
        <v>0</v>
      </c>
      <c r="BG162" s="368">
        <f t="shared" ref="BG162:BG166" si="1033">SUM(N162:Q162)</f>
        <v>0</v>
      </c>
      <c r="BH162" s="368">
        <f t="shared" ref="BH162:BH166" si="1034">+SUM(R162:U162)</f>
        <v>0</v>
      </c>
      <c r="BI162" s="1345">
        <f t="shared" ref="BI162:BI166" si="1035">SUM(V162:Y162)</f>
        <v>0</v>
      </c>
      <c r="BJ162" s="368">
        <f t="shared" ref="BJ162:BJ166" si="1036">+SUM(Z162:AC162)</f>
        <v>0</v>
      </c>
      <c r="BK162" s="1345">
        <f t="shared" ref="BK162:BK166" si="1037">+SUM(AD162:AG162)</f>
        <v>0</v>
      </c>
      <c r="BL162" s="1345">
        <f t="shared" ref="BL162:BL166" si="1038">+SUM(AH162:AK162)</f>
        <v>0</v>
      </c>
      <c r="BM162" s="368">
        <f t="shared" ref="BM162:BM166" si="1039">+SUM(AL162:AO162)</f>
        <v>27</v>
      </c>
      <c r="BN162" s="368">
        <f>+SUM(AP162:AS162)</f>
        <v>24</v>
      </c>
      <c r="BO162" s="368">
        <f>+SUM(AT162:AW162)</f>
        <v>0</v>
      </c>
      <c r="BP162" s="368">
        <f>+SUM(AX162:BA162)</f>
        <v>0</v>
      </c>
    </row>
    <row r="163" spans="1:72" ht="12" customHeight="1">
      <c r="A163" s="2105"/>
      <c r="B163" s="2072"/>
      <c r="C163" s="2072"/>
      <c r="D163" s="2072"/>
      <c r="E163" s="2073"/>
      <c r="F163" s="2072"/>
      <c r="G163" s="2072"/>
      <c r="H163" s="2072"/>
      <c r="I163" s="2073"/>
      <c r="J163" s="2072"/>
      <c r="K163" s="2072"/>
      <c r="L163" s="2072"/>
      <c r="M163" s="2073"/>
      <c r="N163" s="2074"/>
      <c r="O163" s="2072"/>
      <c r="P163" s="2072"/>
      <c r="Q163" s="2073"/>
      <c r="R163" s="2072"/>
      <c r="S163" s="2072"/>
      <c r="T163" s="2072"/>
      <c r="U163" s="2073"/>
      <c r="V163" s="2072"/>
      <c r="W163" s="2072"/>
      <c r="X163" s="2075"/>
      <c r="Y163" s="2073"/>
      <c r="Z163" s="2075"/>
      <c r="AA163" s="2075"/>
      <c r="AB163" s="2075"/>
      <c r="AC163" s="2076"/>
      <c r="AD163" s="2077"/>
      <c r="AE163" s="2077"/>
      <c r="AF163" s="2077"/>
      <c r="AG163" s="2076"/>
      <c r="AH163" s="2077"/>
      <c r="AI163" s="2077"/>
      <c r="AJ163" s="2075"/>
      <c r="AK163" s="2076"/>
      <c r="AL163" s="2075"/>
      <c r="AM163" s="2075"/>
      <c r="AN163" s="2075"/>
      <c r="AO163" s="2079"/>
      <c r="AP163" s="2075"/>
      <c r="AQ163" s="2075"/>
      <c r="AR163" s="518"/>
      <c r="AS163" s="519"/>
      <c r="AT163" s="518"/>
      <c r="AU163" s="518"/>
      <c r="AV163" s="518"/>
      <c r="AW163" s="519"/>
      <c r="AX163" s="518"/>
      <c r="AY163" s="518"/>
      <c r="AZ163" s="518"/>
      <c r="BA163" s="519"/>
      <c r="BC163" s="2106"/>
      <c r="BD163" s="310"/>
      <c r="BE163" s="310"/>
      <c r="BF163" s="310"/>
      <c r="BG163" s="310"/>
      <c r="BH163" s="310"/>
      <c r="BI163" s="310"/>
      <c r="BJ163" s="310"/>
      <c r="BK163" s="310"/>
      <c r="BL163" s="310"/>
      <c r="BM163" s="310"/>
      <c r="BN163" s="310"/>
      <c r="BO163" s="310"/>
      <c r="BP163" s="310"/>
    </row>
    <row r="164" spans="1:72" ht="12" customHeight="1">
      <c r="A164" s="940" t="s">
        <v>317</v>
      </c>
      <c r="B164" s="2072">
        <v>1</v>
      </c>
      <c r="C164" s="2072">
        <v>1</v>
      </c>
      <c r="D164" s="2072">
        <v>2</v>
      </c>
      <c r="E164" s="2073">
        <v>1</v>
      </c>
      <c r="F164" s="2072">
        <v>1</v>
      </c>
      <c r="G164" s="2072">
        <v>6</v>
      </c>
      <c r="H164" s="2072">
        <v>1</v>
      </c>
      <c r="I164" s="2073">
        <v>1</v>
      </c>
      <c r="J164" s="2072">
        <v>2</v>
      </c>
      <c r="K164" s="2072">
        <v>2</v>
      </c>
      <c r="L164" s="2072">
        <v>-8</v>
      </c>
      <c r="M164" s="2073">
        <v>2</v>
      </c>
      <c r="N164" s="2103">
        <v>1</v>
      </c>
      <c r="O164" s="2072">
        <v>2</v>
      </c>
      <c r="P164" s="2072">
        <v>2</v>
      </c>
      <c r="Q164" s="2073">
        <v>1</v>
      </c>
      <c r="R164" s="2072">
        <v>1</v>
      </c>
      <c r="S164" s="2072">
        <v>1</v>
      </c>
      <c r="T164" s="2072">
        <v>2</v>
      </c>
      <c r="U164" s="2073">
        <v>1</v>
      </c>
      <c r="V164" s="2072">
        <v>-7</v>
      </c>
      <c r="W164" s="2072">
        <f>-8-30</f>
        <v>-38</v>
      </c>
      <c r="X164" s="2075"/>
      <c r="Y164" s="2073"/>
      <c r="Z164" s="2075">
        <v>-42</v>
      </c>
      <c r="AA164" s="2075"/>
      <c r="AB164" s="2075">
        <v>-7</v>
      </c>
      <c r="AC164" s="2076"/>
      <c r="AD164" s="2077">
        <v>0</v>
      </c>
      <c r="AE164" s="2077">
        <v>2</v>
      </c>
      <c r="AF164" s="2077">
        <v>6</v>
      </c>
      <c r="AG164" s="2076">
        <f>1+8</f>
        <v>9</v>
      </c>
      <c r="AH164" s="2077">
        <f>1+1</f>
        <v>2</v>
      </c>
      <c r="AI164" s="2077">
        <v>-3</v>
      </c>
      <c r="AJ164" s="2075">
        <f>1+9</f>
        <v>10</v>
      </c>
      <c r="AK164" s="2076">
        <f>-1+1</f>
        <v>0</v>
      </c>
      <c r="AL164" s="2075">
        <v>42</v>
      </c>
      <c r="AM164" s="2075">
        <v>3</v>
      </c>
      <c r="AN164" s="2075">
        <v>2</v>
      </c>
      <c r="AO164" s="2079">
        <v>-2</v>
      </c>
      <c r="AP164" s="2075">
        <v>-34</v>
      </c>
      <c r="AQ164" s="2075">
        <v>-29</v>
      </c>
      <c r="AR164" s="518"/>
      <c r="AS164" s="519"/>
      <c r="AT164" s="518"/>
      <c r="AU164" s="518"/>
      <c r="AV164" s="518"/>
      <c r="AW164" s="519"/>
      <c r="AX164" s="518"/>
      <c r="AY164" s="518"/>
      <c r="AZ164" s="518"/>
      <c r="BA164" s="519"/>
      <c r="BC164" s="2101"/>
      <c r="BD164" s="2102"/>
      <c r="BE164" s="2102"/>
      <c r="BF164" s="2102"/>
      <c r="BG164" s="2102"/>
      <c r="BH164" s="2102"/>
      <c r="BI164" s="2102"/>
      <c r="BJ164" s="2102"/>
      <c r="BK164" s="2102"/>
      <c r="BL164" s="2102"/>
      <c r="BM164" s="2102"/>
      <c r="BN164" s="2102"/>
      <c r="BO164" s="2102"/>
      <c r="BP164" s="2102"/>
    </row>
    <row r="165" spans="1:72" ht="12" customHeight="1">
      <c r="A165" s="940" t="s">
        <v>728</v>
      </c>
      <c r="B165" s="2072"/>
      <c r="C165" s="2072"/>
      <c r="D165" s="2072"/>
      <c r="E165" s="2073"/>
      <c r="F165" s="2072"/>
      <c r="G165" s="2072"/>
      <c r="H165" s="2072"/>
      <c r="I165" s="2073"/>
      <c r="J165" s="2072"/>
      <c r="K165" s="2072"/>
      <c r="L165" s="2072"/>
      <c r="M165" s="2073"/>
      <c r="N165" s="2074"/>
      <c r="O165" s="2072"/>
      <c r="P165" s="2072"/>
      <c r="Q165" s="2073"/>
      <c r="R165" s="2072"/>
      <c r="S165" s="2072"/>
      <c r="T165" s="2072"/>
      <c r="U165" s="2073"/>
      <c r="V165" s="2072"/>
      <c r="W165" s="2072"/>
      <c r="X165" s="2075"/>
      <c r="Y165" s="2073"/>
      <c r="Z165" s="2075"/>
      <c r="AA165" s="2075"/>
      <c r="AB165" s="2075"/>
      <c r="AC165" s="2076"/>
      <c r="AD165" s="2077"/>
      <c r="AE165" s="2077"/>
      <c r="AF165" s="2077"/>
      <c r="AG165" s="2076"/>
      <c r="AH165" s="2077"/>
      <c r="AI165" s="2077"/>
      <c r="AJ165" s="2075"/>
      <c r="AK165" s="2076"/>
      <c r="AL165" s="2075">
        <v>-4</v>
      </c>
      <c r="AM165" s="2075">
        <v>-7</v>
      </c>
      <c r="AN165" s="2075">
        <v>7</v>
      </c>
      <c r="AO165" s="2079">
        <v>-20</v>
      </c>
      <c r="AP165" s="2075">
        <v>-15</v>
      </c>
      <c r="AQ165" s="2075">
        <v>-8</v>
      </c>
      <c r="AR165" s="518"/>
      <c r="AS165" s="519"/>
      <c r="AT165" s="518"/>
      <c r="AU165" s="518"/>
      <c r="AV165" s="518"/>
      <c r="AW165" s="519"/>
      <c r="AX165" s="518"/>
      <c r="AY165" s="518"/>
      <c r="AZ165" s="518"/>
      <c r="BA165" s="519"/>
      <c r="BC165" s="2101"/>
      <c r="BD165" s="2102"/>
      <c r="BE165" s="2102"/>
      <c r="BF165" s="2102"/>
      <c r="BG165" s="2102"/>
      <c r="BH165" s="2102"/>
      <c r="BI165" s="2102"/>
      <c r="BJ165" s="2102"/>
      <c r="BK165" s="2102"/>
      <c r="BL165" s="2102"/>
      <c r="BM165" s="2102"/>
      <c r="BN165" s="2102"/>
      <c r="BO165" s="2102"/>
      <c r="BP165" s="2102"/>
    </row>
    <row r="166" spans="1:72" ht="12" customHeight="1">
      <c r="A166" s="940" t="s">
        <v>318</v>
      </c>
      <c r="B166" s="2072">
        <v>21</v>
      </c>
      <c r="C166" s="2072">
        <v>35</v>
      </c>
      <c r="D166" s="2072">
        <v>31</v>
      </c>
      <c r="E166" s="2073">
        <v>33</v>
      </c>
      <c r="F166" s="2072">
        <v>49</v>
      </c>
      <c r="G166" s="2072">
        <v>36</v>
      </c>
      <c r="H166" s="2072">
        <v>25</v>
      </c>
      <c r="I166" s="2073">
        <v>60</v>
      </c>
      <c r="J166" s="2072">
        <v>56</v>
      </c>
      <c r="K166" s="2072">
        <f>29+37</f>
        <v>66</v>
      </c>
      <c r="L166" s="2072">
        <f>36-10</f>
        <v>26</v>
      </c>
      <c r="M166" s="2073">
        <f>150+2</f>
        <v>152</v>
      </c>
      <c r="N166" s="2074">
        <v>71</v>
      </c>
      <c r="O166" s="2072">
        <v>33</v>
      </c>
      <c r="P166" s="2072">
        <v>19</v>
      </c>
      <c r="Q166" s="2073">
        <v>86</v>
      </c>
      <c r="R166" s="2072">
        <v>68</v>
      </c>
      <c r="S166" s="2072">
        <v>49</v>
      </c>
      <c r="T166" s="2072">
        <v>29</v>
      </c>
      <c r="U166" s="2073">
        <v>102</v>
      </c>
      <c r="V166" s="2072">
        <v>66</v>
      </c>
      <c r="W166" s="2072">
        <v>57</v>
      </c>
      <c r="X166" s="2075">
        <v>73</v>
      </c>
      <c r="Y166" s="2073">
        <v>149</v>
      </c>
      <c r="Z166" s="2075">
        <v>123</v>
      </c>
      <c r="AA166" s="2075">
        <v>210</v>
      </c>
      <c r="AB166" s="2075">
        <v>111</v>
      </c>
      <c r="AC166" s="2076">
        <v>141</v>
      </c>
      <c r="AD166" s="2075">
        <v>156</v>
      </c>
      <c r="AE166" s="2075">
        <v>136</v>
      </c>
      <c r="AF166" s="2075">
        <v>150</v>
      </c>
      <c r="AG166" s="2076">
        <v>241</v>
      </c>
      <c r="AH166" s="2075">
        <v>198</v>
      </c>
      <c r="AI166" s="2075">
        <v>235</v>
      </c>
      <c r="AJ166" s="2075">
        <v>202</v>
      </c>
      <c r="AK166" s="2076">
        <v>298</v>
      </c>
      <c r="AL166" s="2075">
        <v>208</v>
      </c>
      <c r="AM166" s="2075">
        <v>196</v>
      </c>
      <c r="AN166" s="2075">
        <v>172</v>
      </c>
      <c r="AO166" s="2100">
        <v>260</v>
      </c>
      <c r="AP166" s="2075">
        <v>182</v>
      </c>
      <c r="AQ166" s="2075">
        <v>190</v>
      </c>
      <c r="AR166" s="518"/>
      <c r="AS166" s="519"/>
      <c r="AT166" s="518"/>
      <c r="AU166" s="518"/>
      <c r="AV166" s="518"/>
      <c r="AW166" s="519"/>
      <c r="AX166" s="518"/>
      <c r="AY166" s="518"/>
      <c r="AZ166" s="518"/>
      <c r="BA166" s="519"/>
      <c r="BC166" s="481"/>
      <c r="BD166" s="368">
        <f t="shared" si="1030"/>
        <v>120</v>
      </c>
      <c r="BE166" s="368">
        <f t="shared" si="1031"/>
        <v>170</v>
      </c>
      <c r="BF166" s="368">
        <f t="shared" si="1032"/>
        <v>300</v>
      </c>
      <c r="BG166" s="368">
        <f t="shared" si="1033"/>
        <v>209</v>
      </c>
      <c r="BH166" s="368">
        <f t="shared" si="1034"/>
        <v>248</v>
      </c>
      <c r="BI166" s="1345">
        <f t="shared" si="1035"/>
        <v>345</v>
      </c>
      <c r="BJ166" s="368">
        <f t="shared" si="1036"/>
        <v>585</v>
      </c>
      <c r="BK166" s="1345">
        <f t="shared" si="1037"/>
        <v>683</v>
      </c>
      <c r="BL166" s="1345">
        <f t="shared" si="1038"/>
        <v>933</v>
      </c>
      <c r="BM166" s="368">
        <f t="shared" si="1039"/>
        <v>836</v>
      </c>
      <c r="BN166" s="368">
        <f>+SUM(AP166:AS166)</f>
        <v>372</v>
      </c>
      <c r="BO166" s="368">
        <f>+SUM(AT166:AW166)</f>
        <v>0</v>
      </c>
      <c r="BP166" s="368">
        <f>+SUM(AX166:BA166)</f>
        <v>0</v>
      </c>
    </row>
    <row r="167" spans="1:72" s="288" customFormat="1" ht="12" customHeight="1">
      <c r="A167" s="946"/>
      <c r="B167" s="520"/>
      <c r="C167" s="520"/>
      <c r="D167" s="520"/>
      <c r="E167" s="522"/>
      <c r="F167" s="520"/>
      <c r="G167" s="520"/>
      <c r="H167" s="520"/>
      <c r="I167" s="522"/>
      <c r="J167" s="520"/>
      <c r="K167" s="520"/>
      <c r="L167" s="520"/>
      <c r="M167" s="522"/>
      <c r="N167" s="550"/>
      <c r="O167" s="520"/>
      <c r="P167" s="520"/>
      <c r="Q167" s="522"/>
      <c r="R167" s="520"/>
      <c r="S167" s="520"/>
      <c r="T167" s="520"/>
      <c r="U167" s="522"/>
      <c r="V167" s="520"/>
      <c r="W167" s="520"/>
      <c r="X167" s="520"/>
      <c r="Y167" s="522"/>
      <c r="Z167" s="520"/>
      <c r="AA167" s="520"/>
      <c r="AB167" s="520"/>
      <c r="AC167" s="522"/>
      <c r="AD167" s="520"/>
      <c r="AE167" s="520"/>
      <c r="AF167" s="520"/>
      <c r="AG167" s="522"/>
      <c r="AH167" s="520"/>
      <c r="AI167" s="520"/>
      <c r="AJ167" s="520"/>
      <c r="AK167" s="522"/>
      <c r="AL167" s="520"/>
      <c r="AM167" s="520"/>
      <c r="AN167" s="520"/>
      <c r="AO167" s="522"/>
      <c r="AP167" s="520"/>
      <c r="AQ167" s="520"/>
      <c r="AR167" s="520"/>
      <c r="AS167" s="522"/>
      <c r="AT167" s="520"/>
      <c r="AU167" s="520"/>
      <c r="AV167" s="520"/>
      <c r="AW167" s="522"/>
      <c r="AX167" s="520"/>
      <c r="AY167" s="520"/>
      <c r="AZ167" s="520"/>
      <c r="BA167" s="522"/>
      <c r="BC167" s="551"/>
      <c r="BD167" s="551"/>
      <c r="BE167" s="551"/>
      <c r="BF167" s="551"/>
      <c r="BG167" s="552"/>
      <c r="BH167" s="522"/>
      <c r="BI167" s="552"/>
      <c r="BJ167" s="522"/>
      <c r="BK167" s="1500"/>
      <c r="BL167" s="552"/>
      <c r="BM167" s="552"/>
      <c r="BN167" s="552"/>
      <c r="BO167" s="552"/>
      <c r="BP167" s="552"/>
      <c r="BR167" s="1378"/>
      <c r="BS167" s="1378"/>
      <c r="BT167" s="1378"/>
    </row>
    <row r="168" spans="1:72" ht="12" customHeight="1">
      <c r="A168" s="644" t="s">
        <v>324</v>
      </c>
      <c r="B168" s="508"/>
      <c r="C168" s="508"/>
      <c r="D168" s="508"/>
      <c r="E168" s="508"/>
      <c r="F168" s="508"/>
      <c r="G168" s="508"/>
      <c r="H168" s="508"/>
    </row>
    <row r="169" spans="1:72" ht="12" customHeight="1">
      <c r="B169" s="508"/>
      <c r="C169" s="508"/>
      <c r="D169" s="508"/>
      <c r="E169" s="508"/>
      <c r="F169" s="508"/>
      <c r="G169" s="508"/>
      <c r="H169" s="508"/>
    </row>
    <row r="170" spans="1:72" ht="12" customHeight="1">
      <c r="B170" s="508"/>
      <c r="C170" s="508"/>
      <c r="D170" s="508"/>
      <c r="E170" s="508"/>
      <c r="F170" s="508"/>
      <c r="G170" s="508"/>
      <c r="H170" s="508"/>
    </row>
    <row r="171" spans="1:72" ht="12" customHeight="1">
      <c r="B171" s="508"/>
      <c r="C171" s="508"/>
      <c r="D171" s="508"/>
      <c r="E171" s="508"/>
      <c r="F171" s="508"/>
      <c r="G171" s="508"/>
      <c r="H171" s="508"/>
    </row>
    <row r="172" spans="1:72" ht="12" customHeight="1">
      <c r="B172" s="508"/>
      <c r="C172" s="508"/>
      <c r="D172" s="508"/>
      <c r="E172" s="508"/>
      <c r="F172" s="508"/>
      <c r="G172" s="508"/>
      <c r="H172" s="508"/>
    </row>
    <row r="173" spans="1:72" ht="12" customHeight="1">
      <c r="B173" s="508"/>
      <c r="C173" s="508"/>
      <c r="D173" s="508"/>
      <c r="E173" s="508"/>
      <c r="F173" s="508"/>
      <c r="G173" s="508"/>
      <c r="H173" s="508"/>
    </row>
    <row r="174" spans="1:72" ht="12" customHeight="1">
      <c r="B174" s="508"/>
      <c r="C174" s="508"/>
      <c r="D174" s="508"/>
      <c r="E174" s="508"/>
      <c r="F174" s="508"/>
      <c r="G174" s="508"/>
      <c r="H174" s="508"/>
    </row>
    <row r="175" spans="1:72" ht="12" customHeight="1">
      <c r="B175" s="508"/>
      <c r="C175" s="508"/>
      <c r="D175" s="508"/>
      <c r="E175" s="508"/>
      <c r="F175" s="508"/>
      <c r="G175" s="508"/>
      <c r="H175" s="508"/>
    </row>
    <row r="176" spans="1:72" ht="12" customHeight="1">
      <c r="B176" s="508"/>
      <c r="C176" s="508"/>
      <c r="D176" s="508"/>
      <c r="E176" s="508"/>
      <c r="F176" s="508"/>
      <c r="G176" s="508"/>
      <c r="H176" s="508"/>
      <c r="AT176" s="284" t="s">
        <v>460</v>
      </c>
      <c r="AU176" s="284"/>
      <c r="AV176" s="284"/>
      <c r="AW176" s="284"/>
      <c r="AX176" s="284" t="s">
        <v>460</v>
      </c>
      <c r="AY176" s="284"/>
    </row>
    <row r="177" spans="2:51" ht="12" customHeight="1">
      <c r="B177" s="508"/>
      <c r="C177" s="508"/>
      <c r="D177" s="508"/>
      <c r="E177" s="508"/>
      <c r="F177" s="508"/>
      <c r="G177" s="508"/>
      <c r="H177" s="508"/>
      <c r="AT177" s="284" t="s">
        <v>461</v>
      </c>
      <c r="AU177" s="284"/>
      <c r="AV177" s="284"/>
      <c r="AW177" s="284"/>
      <c r="AX177" s="284" t="s">
        <v>461</v>
      </c>
      <c r="AY177" s="284"/>
    </row>
    <row r="178" spans="2:51" ht="12" customHeight="1">
      <c r="B178" s="508"/>
      <c r="C178" s="508"/>
      <c r="D178" s="508"/>
      <c r="E178" s="508"/>
      <c r="F178" s="508"/>
      <c r="G178" s="508"/>
      <c r="H178" s="508"/>
      <c r="AT178" s="284" t="s">
        <v>462</v>
      </c>
      <c r="AU178" s="284"/>
      <c r="AV178" s="284"/>
      <c r="AW178" s="284"/>
      <c r="AX178" s="284" t="s">
        <v>462</v>
      </c>
      <c r="AY178" s="284"/>
    </row>
    <row r="179" spans="2:51" ht="12" customHeight="1">
      <c r="B179" s="508"/>
      <c r="C179" s="508"/>
      <c r="D179" s="508"/>
      <c r="E179" s="508"/>
      <c r="F179" s="508"/>
      <c r="G179" s="508"/>
      <c r="H179" s="508"/>
      <c r="AT179" s="284" t="s">
        <v>463</v>
      </c>
      <c r="AU179" s="284"/>
      <c r="AV179" s="284"/>
      <c r="AW179" s="284"/>
      <c r="AX179" s="284" t="s">
        <v>463</v>
      </c>
      <c r="AY179" s="284"/>
    </row>
    <row r="180" spans="2:51" ht="12" customHeight="1">
      <c r="B180" s="508"/>
      <c r="C180" s="508"/>
      <c r="D180" s="508"/>
      <c r="E180" s="508"/>
      <c r="F180" s="508"/>
      <c r="G180" s="508"/>
      <c r="H180" s="508"/>
      <c r="AT180" s="284" t="s">
        <v>464</v>
      </c>
      <c r="AU180" s="284"/>
      <c r="AV180" s="284"/>
      <c r="AW180" s="284"/>
      <c r="AX180" s="284" t="s">
        <v>464</v>
      </c>
      <c r="AY180" s="284"/>
    </row>
    <row r="181" spans="2:51" ht="12" customHeight="1">
      <c r="B181" s="508"/>
      <c r="C181" s="508"/>
      <c r="D181" s="508"/>
      <c r="E181" s="508"/>
      <c r="F181" s="508"/>
      <c r="G181" s="508"/>
      <c r="H181" s="508"/>
      <c r="AT181" s="284" t="s">
        <v>465</v>
      </c>
      <c r="AU181" s="284"/>
      <c r="AV181" s="284"/>
      <c r="AW181" s="284"/>
      <c r="AX181" s="284" t="s">
        <v>465</v>
      </c>
      <c r="AY181" s="284"/>
    </row>
    <row r="182" spans="2:51" ht="12" customHeight="1">
      <c r="B182" s="508"/>
      <c r="C182" s="508"/>
      <c r="D182" s="508"/>
      <c r="E182" s="508"/>
      <c r="F182" s="508"/>
      <c r="G182" s="508"/>
      <c r="H182" s="508"/>
      <c r="AT182" s="284" t="s">
        <v>466</v>
      </c>
      <c r="AU182" s="284"/>
      <c r="AV182" s="284"/>
      <c r="AW182" s="284"/>
      <c r="AX182" s="284" t="s">
        <v>466</v>
      </c>
      <c r="AY182" s="284"/>
    </row>
    <row r="183" spans="2:51" ht="12" customHeight="1">
      <c r="B183" s="508"/>
      <c r="C183" s="508"/>
      <c r="D183" s="508"/>
      <c r="E183" s="508"/>
      <c r="F183" s="508"/>
      <c r="G183" s="508"/>
      <c r="H183" s="508"/>
      <c r="AT183" s="284" t="s">
        <v>467</v>
      </c>
      <c r="AU183" s="284"/>
      <c r="AV183" s="284"/>
      <c r="AW183" s="284"/>
      <c r="AX183" s="284" t="s">
        <v>467</v>
      </c>
      <c r="AY183" s="284"/>
    </row>
    <row r="184" spans="2:51" ht="12" customHeight="1">
      <c r="B184" s="508"/>
      <c r="C184" s="508"/>
      <c r="D184" s="508"/>
      <c r="E184" s="508"/>
      <c r="F184" s="508"/>
      <c r="G184" s="508"/>
      <c r="H184" s="508"/>
    </row>
    <row r="185" spans="2:51" ht="12" customHeight="1">
      <c r="B185" s="508"/>
      <c r="C185" s="508"/>
      <c r="D185" s="508"/>
      <c r="E185" s="508"/>
      <c r="F185" s="508"/>
      <c r="G185" s="508"/>
      <c r="H185" s="508"/>
    </row>
    <row r="186" spans="2:51" ht="12" customHeight="1">
      <c r="B186" s="508"/>
      <c r="C186" s="508"/>
      <c r="D186" s="508"/>
      <c r="E186" s="508"/>
      <c r="F186" s="508"/>
      <c r="G186" s="508"/>
      <c r="H186" s="508"/>
    </row>
    <row r="187" spans="2:51" ht="12" customHeight="1">
      <c r="B187" s="508"/>
      <c r="C187" s="508"/>
      <c r="D187" s="508"/>
      <c r="E187" s="508"/>
      <c r="F187" s="508"/>
      <c r="G187" s="508"/>
      <c r="H187" s="508"/>
    </row>
    <row r="188" spans="2:51" ht="12" customHeight="1">
      <c r="B188" s="508"/>
      <c r="C188" s="508"/>
      <c r="D188" s="508"/>
      <c r="E188" s="508"/>
      <c r="F188" s="508"/>
      <c r="G188" s="508"/>
      <c r="H188" s="508"/>
    </row>
    <row r="189" spans="2:51" ht="12">
      <c r="B189" s="508"/>
      <c r="C189" s="508"/>
      <c r="D189" s="508"/>
      <c r="E189" s="508"/>
      <c r="F189" s="508"/>
      <c r="G189" s="508"/>
      <c r="H189" s="508"/>
    </row>
    <row r="190" spans="2:51" ht="12">
      <c r="B190" s="508"/>
      <c r="C190" s="508"/>
      <c r="D190" s="508"/>
      <c r="E190" s="508"/>
      <c r="F190" s="508"/>
      <c r="G190" s="508"/>
      <c r="H190" s="508"/>
    </row>
    <row r="191" spans="2:51" ht="12">
      <c r="B191" s="508"/>
      <c r="C191" s="508"/>
      <c r="D191" s="508"/>
      <c r="E191" s="508"/>
      <c r="F191" s="508"/>
      <c r="G191" s="508"/>
      <c r="H191" s="508"/>
    </row>
    <row r="192" spans="2:51" ht="12">
      <c r="B192" s="508"/>
      <c r="C192" s="508"/>
      <c r="D192" s="508"/>
      <c r="E192" s="508"/>
      <c r="F192" s="508"/>
      <c r="G192" s="508"/>
      <c r="H192" s="508"/>
    </row>
    <row r="193" spans="2:8" ht="12">
      <c r="B193" s="508"/>
      <c r="C193" s="508"/>
      <c r="D193" s="508"/>
      <c r="E193" s="508"/>
      <c r="F193" s="508"/>
      <c r="G193" s="508"/>
      <c r="H193" s="508"/>
    </row>
    <row r="194" spans="2:8" ht="12">
      <c r="B194" s="508"/>
      <c r="C194" s="508"/>
      <c r="D194" s="508"/>
      <c r="E194" s="508"/>
      <c r="F194" s="508"/>
      <c r="G194" s="508"/>
      <c r="H194" s="508"/>
    </row>
    <row r="195" spans="2:8" ht="12">
      <c r="B195" s="508"/>
      <c r="C195" s="508"/>
      <c r="D195" s="508"/>
      <c r="E195" s="508"/>
      <c r="F195" s="508"/>
      <c r="G195" s="508"/>
      <c r="H195" s="508"/>
    </row>
    <row r="196" spans="2:8" ht="12">
      <c r="B196" s="508"/>
      <c r="C196" s="508"/>
      <c r="D196" s="508"/>
      <c r="E196" s="508"/>
      <c r="F196" s="508"/>
      <c r="G196" s="508"/>
      <c r="H196" s="508"/>
    </row>
    <row r="197" spans="2:8" ht="12">
      <c r="B197" s="508"/>
      <c r="C197" s="508"/>
      <c r="D197" s="508"/>
      <c r="E197" s="508"/>
      <c r="F197" s="508"/>
      <c r="G197" s="508"/>
      <c r="H197" s="508"/>
    </row>
    <row r="198" spans="2:8" ht="12">
      <c r="B198" s="508"/>
      <c r="C198" s="508"/>
      <c r="D198" s="508"/>
      <c r="E198" s="508"/>
      <c r="F198" s="508"/>
      <c r="G198" s="508"/>
      <c r="H198" s="508"/>
    </row>
    <row r="199" spans="2:8" ht="12">
      <c r="B199" s="508"/>
      <c r="C199" s="508"/>
      <c r="D199" s="508"/>
      <c r="E199" s="508"/>
      <c r="F199" s="508"/>
      <c r="G199" s="508"/>
      <c r="H199" s="508"/>
    </row>
    <row r="200" spans="2:8" ht="12">
      <c r="B200" s="508"/>
      <c r="C200" s="508"/>
      <c r="D200" s="508"/>
      <c r="E200" s="508"/>
      <c r="F200" s="508"/>
      <c r="G200" s="508"/>
      <c r="H200" s="508"/>
    </row>
    <row r="201" spans="2:8" ht="12">
      <c r="B201" s="508"/>
      <c r="C201" s="508"/>
      <c r="D201" s="508"/>
      <c r="E201" s="508"/>
      <c r="F201" s="508"/>
      <c r="G201" s="508"/>
      <c r="H201" s="508"/>
    </row>
    <row r="202" spans="2:8" ht="12">
      <c r="B202" s="508"/>
      <c r="C202" s="508"/>
      <c r="D202" s="508"/>
      <c r="E202" s="508"/>
      <c r="F202" s="508"/>
      <c r="G202" s="508"/>
      <c r="H202" s="508"/>
    </row>
    <row r="203" spans="2:8" ht="12">
      <c r="B203" s="508"/>
      <c r="C203" s="508"/>
      <c r="D203" s="508"/>
      <c r="E203" s="508"/>
      <c r="F203" s="508"/>
      <c r="G203" s="508"/>
      <c r="H203" s="508"/>
    </row>
    <row r="204" spans="2:8" ht="12">
      <c r="B204" s="508"/>
      <c r="C204" s="508"/>
      <c r="D204" s="508"/>
      <c r="E204" s="508"/>
      <c r="F204" s="508"/>
      <c r="G204" s="508"/>
      <c r="H204" s="508"/>
    </row>
    <row r="205" spans="2:8" ht="12">
      <c r="B205" s="508"/>
      <c r="C205" s="508"/>
      <c r="D205" s="508"/>
      <c r="E205" s="508"/>
      <c r="F205" s="508"/>
      <c r="G205" s="508"/>
      <c r="H205" s="508"/>
    </row>
    <row r="206" spans="2:8" ht="12">
      <c r="B206" s="508"/>
      <c r="C206" s="508"/>
      <c r="D206" s="508"/>
      <c r="E206" s="508"/>
      <c r="F206" s="508"/>
      <c r="G206" s="508"/>
      <c r="H206" s="508"/>
    </row>
    <row r="207" spans="2:8" ht="12">
      <c r="B207" s="508"/>
      <c r="C207" s="508"/>
      <c r="D207" s="508"/>
      <c r="E207" s="508"/>
      <c r="F207" s="508"/>
      <c r="G207" s="508"/>
      <c r="H207" s="508"/>
    </row>
    <row r="208" spans="2:8" ht="12">
      <c r="B208" s="508"/>
      <c r="C208" s="508"/>
      <c r="D208" s="508"/>
      <c r="E208" s="508"/>
      <c r="F208" s="508"/>
      <c r="G208" s="508"/>
      <c r="H208" s="508"/>
    </row>
    <row r="209" spans="2:8" ht="12">
      <c r="B209" s="508"/>
      <c r="C209" s="508"/>
      <c r="D209" s="508"/>
      <c r="E209" s="508"/>
      <c r="F209" s="508"/>
      <c r="G209" s="508"/>
      <c r="H209" s="508"/>
    </row>
    <row r="210" spans="2:8" ht="12">
      <c r="B210" s="508"/>
      <c r="C210" s="508"/>
      <c r="D210" s="508"/>
      <c r="E210" s="508"/>
      <c r="F210" s="508"/>
      <c r="G210" s="508"/>
      <c r="H210" s="508"/>
    </row>
    <row r="211" spans="2:8" ht="12">
      <c r="B211" s="508"/>
      <c r="C211" s="508"/>
      <c r="D211" s="508"/>
      <c r="E211" s="508"/>
      <c r="F211" s="508"/>
      <c r="G211" s="508"/>
      <c r="H211" s="508"/>
    </row>
    <row r="212" spans="2:8" ht="12">
      <c r="B212" s="508"/>
      <c r="C212" s="508"/>
      <c r="D212" s="508"/>
      <c r="E212" s="508"/>
      <c r="F212" s="508"/>
      <c r="G212" s="508"/>
      <c r="H212" s="508"/>
    </row>
    <row r="213" spans="2:8" ht="12">
      <c r="B213" s="508"/>
      <c r="C213" s="508"/>
      <c r="D213" s="508"/>
      <c r="E213" s="508"/>
      <c r="F213" s="508"/>
      <c r="G213" s="508"/>
      <c r="H213" s="508"/>
    </row>
    <row r="214" spans="2:8" ht="12">
      <c r="B214" s="508"/>
      <c r="C214" s="508"/>
      <c r="D214" s="508"/>
      <c r="E214" s="508"/>
      <c r="F214" s="508"/>
      <c r="G214" s="508"/>
      <c r="H214" s="508"/>
    </row>
    <row r="215" spans="2:8" ht="12">
      <c r="B215" s="508"/>
      <c r="C215" s="508"/>
      <c r="D215" s="508"/>
      <c r="E215" s="508"/>
      <c r="F215" s="508"/>
      <c r="G215" s="508"/>
      <c r="H215" s="508"/>
    </row>
    <row r="216" spans="2:8" ht="12">
      <c r="B216" s="508"/>
      <c r="C216" s="508"/>
      <c r="D216" s="508"/>
      <c r="E216" s="508"/>
      <c r="F216" s="508"/>
      <c r="G216" s="508"/>
      <c r="H216" s="508"/>
    </row>
    <row r="217" spans="2:8" ht="12">
      <c r="B217" s="508"/>
      <c r="C217" s="508"/>
      <c r="D217" s="508"/>
      <c r="E217" s="508"/>
      <c r="F217" s="508"/>
      <c r="G217" s="508"/>
      <c r="H217" s="508"/>
    </row>
    <row r="218" spans="2:8" ht="12">
      <c r="B218" s="508"/>
      <c r="C218" s="508"/>
      <c r="D218" s="508"/>
      <c r="E218" s="508"/>
      <c r="F218" s="508"/>
      <c r="G218" s="508"/>
      <c r="H218" s="508"/>
    </row>
    <row r="219" spans="2:8" ht="12">
      <c r="B219" s="508"/>
      <c r="C219" s="508"/>
      <c r="D219" s="508"/>
      <c r="E219" s="508"/>
      <c r="F219" s="508"/>
      <c r="G219" s="508"/>
      <c r="H219" s="508"/>
    </row>
    <row r="220" spans="2:8" ht="12">
      <c r="B220" s="508"/>
      <c r="C220" s="508"/>
      <c r="D220" s="508"/>
      <c r="E220" s="508"/>
      <c r="F220" s="508"/>
      <c r="G220" s="508"/>
      <c r="H220" s="508"/>
    </row>
    <row r="221" spans="2:8" ht="12">
      <c r="B221" s="508"/>
      <c r="C221" s="508"/>
      <c r="D221" s="508"/>
      <c r="E221" s="508"/>
      <c r="F221" s="508"/>
      <c r="G221" s="508"/>
      <c r="H221" s="508"/>
    </row>
    <row r="222" spans="2:8" ht="12">
      <c r="B222" s="508"/>
      <c r="C222" s="508"/>
      <c r="D222" s="508"/>
      <c r="E222" s="508"/>
      <c r="F222" s="508"/>
      <c r="G222" s="508"/>
      <c r="H222" s="508"/>
    </row>
    <row r="223" spans="2:8" ht="12">
      <c r="B223" s="508"/>
      <c r="C223" s="508"/>
      <c r="D223" s="508"/>
      <c r="E223" s="508"/>
      <c r="F223" s="508"/>
      <c r="G223" s="508"/>
      <c r="H223" s="508"/>
    </row>
    <row r="224" spans="2:8" ht="12">
      <c r="B224" s="508"/>
      <c r="C224" s="508"/>
      <c r="D224" s="508"/>
      <c r="E224" s="508"/>
      <c r="F224" s="508"/>
      <c r="G224" s="508"/>
      <c r="H224" s="508"/>
    </row>
    <row r="225" spans="2:8" ht="12">
      <c r="B225" s="508"/>
      <c r="C225" s="508"/>
      <c r="D225" s="508"/>
      <c r="E225" s="508"/>
      <c r="F225" s="508"/>
      <c r="G225" s="508"/>
      <c r="H225" s="508"/>
    </row>
    <row r="226" spans="2:8" ht="12">
      <c r="B226" s="508"/>
      <c r="C226" s="508"/>
      <c r="D226" s="508"/>
      <c r="E226" s="508"/>
      <c r="F226" s="508"/>
      <c r="G226" s="508"/>
      <c r="H226" s="508"/>
    </row>
    <row r="227" spans="2:8" ht="12">
      <c r="B227" s="508"/>
      <c r="C227" s="508"/>
      <c r="D227" s="508"/>
      <c r="E227" s="508"/>
      <c r="F227" s="508"/>
      <c r="G227" s="508"/>
      <c r="H227" s="508"/>
    </row>
    <row r="228" spans="2:8" ht="12">
      <c r="B228" s="508"/>
      <c r="C228" s="508"/>
      <c r="D228" s="508"/>
      <c r="E228" s="508"/>
      <c r="F228" s="508"/>
      <c r="G228" s="508"/>
      <c r="H228" s="508"/>
    </row>
    <row r="229" spans="2:8" ht="12">
      <c r="B229" s="508"/>
      <c r="C229" s="508"/>
      <c r="D229" s="508"/>
      <c r="E229" s="508"/>
      <c r="F229" s="508"/>
      <c r="G229" s="508"/>
      <c r="H229" s="508"/>
    </row>
    <row r="230" spans="2:8" ht="12">
      <c r="B230" s="508"/>
      <c r="C230" s="508"/>
      <c r="D230" s="508"/>
      <c r="E230" s="508"/>
      <c r="F230" s="508"/>
      <c r="G230" s="508"/>
      <c r="H230" s="508"/>
    </row>
    <row r="231" spans="2:8" ht="12">
      <c r="B231" s="508"/>
      <c r="C231" s="508"/>
      <c r="D231" s="508"/>
      <c r="E231" s="508"/>
      <c r="F231" s="508"/>
      <c r="G231" s="508"/>
      <c r="H231" s="508"/>
    </row>
    <row r="232" spans="2:8" ht="12">
      <c r="B232" s="508"/>
      <c r="C232" s="508"/>
      <c r="D232" s="508"/>
      <c r="E232" s="508"/>
      <c r="F232" s="508"/>
      <c r="G232" s="508"/>
      <c r="H232" s="508"/>
    </row>
    <row r="233" spans="2:8" ht="12">
      <c r="B233" s="508"/>
      <c r="C233" s="508"/>
      <c r="D233" s="508"/>
      <c r="E233" s="508"/>
      <c r="F233" s="508"/>
      <c r="G233" s="508"/>
      <c r="H233" s="508"/>
    </row>
    <row r="234" spans="2:8" ht="12">
      <c r="B234" s="508"/>
      <c r="C234" s="508"/>
      <c r="D234" s="508"/>
      <c r="E234" s="508"/>
      <c r="F234" s="508"/>
      <c r="G234" s="508"/>
      <c r="H234" s="508"/>
    </row>
    <row r="235" spans="2:8" ht="12">
      <c r="B235" s="508"/>
      <c r="C235" s="508"/>
      <c r="D235" s="508"/>
      <c r="E235" s="508"/>
      <c r="F235" s="508"/>
      <c r="G235" s="508"/>
      <c r="H235" s="508"/>
    </row>
    <row r="236" spans="2:8" ht="12">
      <c r="B236" s="508"/>
      <c r="C236" s="508"/>
      <c r="D236" s="508"/>
      <c r="E236" s="508"/>
      <c r="F236" s="508"/>
      <c r="G236" s="508"/>
      <c r="H236" s="508"/>
    </row>
    <row r="237" spans="2:8" ht="12">
      <c r="B237" s="508"/>
      <c r="C237" s="508"/>
      <c r="D237" s="508"/>
      <c r="E237" s="508"/>
      <c r="F237" s="508"/>
      <c r="G237" s="508"/>
      <c r="H237" s="508"/>
    </row>
    <row r="238" spans="2:8" ht="12">
      <c r="B238" s="508"/>
      <c r="C238" s="508"/>
      <c r="D238" s="508"/>
      <c r="E238" s="508"/>
      <c r="F238" s="508"/>
      <c r="G238" s="508"/>
      <c r="H238" s="508"/>
    </row>
    <row r="239" spans="2:8" ht="12">
      <c r="B239" s="508"/>
      <c r="C239" s="508"/>
      <c r="D239" s="508"/>
      <c r="E239" s="508"/>
      <c r="F239" s="508"/>
      <c r="G239" s="508"/>
      <c r="H239" s="508"/>
    </row>
    <row r="240" spans="2:8" ht="12">
      <c r="B240" s="508"/>
      <c r="C240" s="508"/>
      <c r="D240" s="508"/>
      <c r="E240" s="508"/>
      <c r="F240" s="508"/>
      <c r="G240" s="508"/>
      <c r="H240" s="508"/>
    </row>
    <row r="241" spans="2:8" ht="12">
      <c r="B241" s="508"/>
      <c r="C241" s="508"/>
      <c r="D241" s="508"/>
      <c r="E241" s="508"/>
      <c r="F241" s="508"/>
      <c r="G241" s="508"/>
      <c r="H241" s="508"/>
    </row>
    <row r="242" spans="2:8" ht="12">
      <c r="B242" s="508"/>
      <c r="C242" s="508"/>
      <c r="D242" s="508"/>
      <c r="E242" s="508"/>
      <c r="F242" s="508"/>
      <c r="G242" s="508"/>
      <c r="H242" s="508"/>
    </row>
    <row r="243" spans="2:8" ht="12">
      <c r="B243" s="508"/>
      <c r="C243" s="508"/>
      <c r="D243" s="508"/>
      <c r="E243" s="508"/>
      <c r="F243" s="508"/>
      <c r="G243" s="508"/>
      <c r="H243" s="508"/>
    </row>
    <row r="244" spans="2:8" ht="12">
      <c r="B244" s="508"/>
      <c r="C244" s="508"/>
      <c r="D244" s="508"/>
      <c r="E244" s="508"/>
      <c r="F244" s="508"/>
      <c r="G244" s="508"/>
      <c r="H244" s="508"/>
    </row>
    <row r="245" spans="2:8" ht="12">
      <c r="B245" s="508"/>
      <c r="C245" s="508"/>
      <c r="D245" s="508"/>
      <c r="E245" s="508"/>
      <c r="F245" s="508"/>
      <c r="G245" s="508"/>
      <c r="H245" s="508"/>
    </row>
    <row r="246" spans="2:8" ht="12">
      <c r="B246" s="508"/>
      <c r="C246" s="508"/>
      <c r="D246" s="508"/>
      <c r="E246" s="508"/>
      <c r="F246" s="508"/>
      <c r="G246" s="508"/>
      <c r="H246" s="508"/>
    </row>
    <row r="247" spans="2:8" ht="12">
      <c r="B247" s="508"/>
      <c r="C247" s="508"/>
      <c r="D247" s="508"/>
      <c r="E247" s="508"/>
      <c r="F247" s="508"/>
      <c r="G247" s="508"/>
      <c r="H247" s="508"/>
    </row>
    <row r="248" spans="2:8" ht="12">
      <c r="B248" s="508"/>
      <c r="C248" s="508"/>
      <c r="D248" s="508"/>
      <c r="E248" s="508"/>
      <c r="F248" s="508"/>
      <c r="G248" s="508"/>
      <c r="H248" s="508"/>
    </row>
    <row r="249" spans="2:8" ht="12">
      <c r="B249" s="508"/>
      <c r="C249" s="508"/>
      <c r="D249" s="508"/>
      <c r="E249" s="508"/>
      <c r="F249" s="508"/>
      <c r="G249" s="508"/>
      <c r="H249" s="508"/>
    </row>
    <row r="250" spans="2:8" ht="12">
      <c r="B250" s="508"/>
      <c r="C250" s="508"/>
      <c r="D250" s="508"/>
      <c r="E250" s="508"/>
      <c r="F250" s="508"/>
      <c r="G250" s="508"/>
      <c r="H250" s="508"/>
    </row>
    <row r="251" spans="2:8" ht="12">
      <c r="B251" s="508"/>
      <c r="C251" s="508"/>
      <c r="D251" s="508"/>
      <c r="E251" s="508"/>
      <c r="F251" s="508"/>
      <c r="G251" s="508"/>
      <c r="H251" s="508"/>
    </row>
    <row r="252" spans="2:8" ht="12">
      <c r="B252" s="508"/>
      <c r="C252" s="508"/>
      <c r="D252" s="508"/>
      <c r="E252" s="508"/>
      <c r="F252" s="508"/>
      <c r="G252" s="508"/>
      <c r="H252" s="508"/>
    </row>
    <row r="253" spans="2:8" ht="12">
      <c r="B253" s="508"/>
      <c r="C253" s="508"/>
      <c r="D253" s="508"/>
      <c r="E253" s="508"/>
      <c r="F253" s="508"/>
      <c r="G253" s="508"/>
      <c r="H253" s="508"/>
    </row>
    <row r="254" spans="2:8" ht="12">
      <c r="B254" s="508"/>
      <c r="C254" s="508"/>
      <c r="D254" s="508"/>
      <c r="E254" s="508"/>
      <c r="F254" s="508"/>
      <c r="G254" s="508"/>
      <c r="H254" s="508"/>
    </row>
    <row r="255" spans="2:8" ht="12">
      <c r="B255" s="508"/>
      <c r="C255" s="508"/>
      <c r="D255" s="508"/>
      <c r="E255" s="508"/>
      <c r="F255" s="508"/>
      <c r="G255" s="508"/>
      <c r="H255" s="508"/>
    </row>
    <row r="256" spans="2:8" ht="12">
      <c r="B256" s="508"/>
      <c r="C256" s="508"/>
      <c r="D256" s="508"/>
      <c r="E256" s="508"/>
      <c r="F256" s="508"/>
      <c r="G256" s="508"/>
      <c r="H256" s="508"/>
    </row>
    <row r="257" spans="2:8" ht="12">
      <c r="B257" s="508"/>
      <c r="C257" s="508"/>
      <c r="D257" s="508"/>
      <c r="E257" s="508"/>
      <c r="F257" s="508"/>
      <c r="G257" s="508"/>
      <c r="H257" s="508"/>
    </row>
    <row r="258" spans="2:8" ht="12">
      <c r="B258" s="508"/>
      <c r="C258" s="508"/>
      <c r="D258" s="508"/>
      <c r="E258" s="508"/>
      <c r="F258" s="508"/>
      <c r="G258" s="508"/>
      <c r="H258" s="508"/>
    </row>
    <row r="259" spans="2:8" ht="12">
      <c r="B259" s="508"/>
      <c r="C259" s="508"/>
      <c r="D259" s="508"/>
      <c r="E259" s="508"/>
      <c r="F259" s="508"/>
      <c r="G259" s="508"/>
      <c r="H259" s="508"/>
    </row>
    <row r="260" spans="2:8" ht="12">
      <c r="B260" s="508"/>
      <c r="C260" s="508"/>
      <c r="D260" s="508"/>
      <c r="E260" s="508"/>
      <c r="F260" s="508"/>
      <c r="G260" s="508"/>
      <c r="H260" s="508"/>
    </row>
    <row r="261" spans="2:8" ht="12">
      <c r="B261" s="508"/>
      <c r="C261" s="508"/>
      <c r="D261" s="508"/>
      <c r="E261" s="508"/>
      <c r="F261" s="508"/>
      <c r="G261" s="508"/>
      <c r="H261" s="508"/>
    </row>
    <row r="262" spans="2:8" ht="12">
      <c r="B262" s="508"/>
      <c r="C262" s="508"/>
      <c r="D262" s="508"/>
      <c r="E262" s="508"/>
      <c r="F262" s="508"/>
      <c r="G262" s="508"/>
      <c r="H262" s="508"/>
    </row>
    <row r="263" spans="2:8" ht="12">
      <c r="B263" s="508"/>
      <c r="C263" s="508"/>
      <c r="D263" s="508"/>
      <c r="E263" s="508"/>
      <c r="F263" s="508"/>
      <c r="G263" s="508"/>
      <c r="H263" s="508"/>
    </row>
    <row r="264" spans="2:8" ht="12">
      <c r="B264" s="508"/>
      <c r="C264" s="508"/>
      <c r="D264" s="508"/>
      <c r="E264" s="508"/>
      <c r="F264" s="508"/>
      <c r="G264" s="508"/>
      <c r="H264" s="508"/>
    </row>
    <row r="265" spans="2:8" ht="12">
      <c r="B265" s="508"/>
      <c r="C265" s="508"/>
      <c r="D265" s="508"/>
      <c r="E265" s="508"/>
      <c r="F265" s="508"/>
      <c r="G265" s="508"/>
      <c r="H265" s="508"/>
    </row>
    <row r="266" spans="2:8" ht="12">
      <c r="B266" s="508"/>
      <c r="C266" s="508"/>
      <c r="D266" s="508"/>
      <c r="E266" s="508"/>
      <c r="F266" s="508"/>
      <c r="G266" s="508"/>
      <c r="H266" s="508"/>
    </row>
    <row r="267" spans="2:8" ht="12">
      <c r="B267" s="508"/>
      <c r="C267" s="508"/>
      <c r="D267" s="508"/>
      <c r="E267" s="508"/>
      <c r="F267" s="508"/>
      <c r="G267" s="508"/>
      <c r="H267" s="508"/>
    </row>
    <row r="268" spans="2:8" ht="12">
      <c r="B268" s="508"/>
      <c r="C268" s="508"/>
      <c r="D268" s="508"/>
      <c r="E268" s="508"/>
      <c r="F268" s="508"/>
      <c r="G268" s="508"/>
      <c r="H268" s="508"/>
    </row>
    <row r="269" spans="2:8" ht="12">
      <c r="B269" s="508"/>
      <c r="C269" s="508"/>
      <c r="D269" s="508"/>
      <c r="E269" s="508"/>
      <c r="F269" s="508"/>
      <c r="G269" s="508"/>
      <c r="H269" s="508"/>
    </row>
    <row r="270" spans="2:8" ht="12">
      <c r="B270" s="508"/>
      <c r="C270" s="508"/>
      <c r="D270" s="508"/>
      <c r="E270" s="508"/>
      <c r="F270" s="508"/>
      <c r="G270" s="508"/>
      <c r="H270" s="508"/>
    </row>
    <row r="271" spans="2:8" ht="12">
      <c r="B271" s="508"/>
      <c r="C271" s="508"/>
      <c r="D271" s="508"/>
      <c r="E271" s="508"/>
      <c r="F271" s="508"/>
      <c r="G271" s="508"/>
      <c r="H271" s="508"/>
    </row>
    <row r="272" spans="2:8" ht="12">
      <c r="B272" s="508"/>
      <c r="C272" s="508"/>
      <c r="D272" s="508"/>
      <c r="E272" s="508"/>
      <c r="F272" s="508"/>
      <c r="G272" s="508"/>
      <c r="H272" s="508"/>
    </row>
    <row r="273" spans="2:8" ht="12">
      <c r="B273" s="508"/>
      <c r="C273" s="508"/>
      <c r="D273" s="508"/>
      <c r="E273" s="508"/>
      <c r="F273" s="508"/>
      <c r="G273" s="508"/>
      <c r="H273" s="508"/>
    </row>
    <row r="274" spans="2:8" ht="12">
      <c r="B274" s="508"/>
      <c r="C274" s="508"/>
      <c r="D274" s="508"/>
      <c r="E274" s="508"/>
      <c r="F274" s="508"/>
      <c r="G274" s="508"/>
      <c r="H274" s="508"/>
    </row>
    <row r="275" spans="2:8" ht="12">
      <c r="B275" s="508"/>
      <c r="C275" s="508"/>
      <c r="D275" s="508"/>
      <c r="E275" s="508"/>
      <c r="F275" s="508"/>
      <c r="G275" s="508"/>
      <c r="H275" s="508"/>
    </row>
    <row r="276" spans="2:8" ht="12">
      <c r="B276" s="508"/>
      <c r="C276" s="508"/>
      <c r="D276" s="508"/>
      <c r="E276" s="508"/>
      <c r="F276" s="508"/>
      <c r="G276" s="508"/>
      <c r="H276" s="508"/>
    </row>
    <row r="277" spans="2:8" ht="12">
      <c r="B277" s="508"/>
      <c r="C277" s="508"/>
      <c r="D277" s="508"/>
      <c r="E277" s="508"/>
      <c r="F277" s="508"/>
      <c r="G277" s="508"/>
      <c r="H277" s="508"/>
    </row>
    <row r="278" spans="2:8" ht="12">
      <c r="B278" s="508"/>
      <c r="C278" s="508"/>
      <c r="D278" s="508"/>
      <c r="E278" s="508"/>
      <c r="F278" s="508"/>
      <c r="G278" s="508"/>
      <c r="H278" s="508"/>
    </row>
    <row r="279" spans="2:8" ht="12">
      <c r="B279" s="508"/>
      <c r="C279" s="508"/>
      <c r="D279" s="508"/>
      <c r="E279" s="508"/>
      <c r="F279" s="508"/>
      <c r="G279" s="508"/>
      <c r="H279" s="508"/>
    </row>
    <row r="280" spans="2:8" ht="12">
      <c r="B280" s="508"/>
      <c r="C280" s="508"/>
      <c r="D280" s="508"/>
      <c r="E280" s="508"/>
      <c r="F280" s="508"/>
      <c r="G280" s="508"/>
      <c r="H280" s="508"/>
    </row>
    <row r="281" spans="2:8" ht="12">
      <c r="B281" s="508"/>
      <c r="C281" s="508"/>
      <c r="D281" s="508"/>
      <c r="E281" s="508"/>
      <c r="F281" s="508"/>
      <c r="G281" s="508"/>
      <c r="H281" s="508"/>
    </row>
    <row r="282" spans="2:8" ht="12">
      <c r="B282" s="508"/>
      <c r="C282" s="508"/>
      <c r="D282" s="508"/>
      <c r="E282" s="508"/>
      <c r="F282" s="508"/>
      <c r="G282" s="508"/>
      <c r="H282" s="508"/>
    </row>
    <row r="283" spans="2:8" ht="12">
      <c r="B283" s="508"/>
      <c r="C283" s="508"/>
      <c r="D283" s="508"/>
      <c r="E283" s="508"/>
      <c r="F283" s="508"/>
      <c r="G283" s="508"/>
      <c r="H283" s="508"/>
    </row>
    <row r="284" spans="2:8" ht="12">
      <c r="B284" s="508"/>
      <c r="C284" s="508"/>
      <c r="D284" s="508"/>
      <c r="E284" s="508"/>
      <c r="F284" s="508"/>
      <c r="G284" s="508"/>
      <c r="H284" s="508"/>
    </row>
    <row r="285" spans="2:8" ht="12">
      <c r="B285" s="508"/>
      <c r="C285" s="508"/>
      <c r="D285" s="508"/>
      <c r="E285" s="508"/>
      <c r="F285" s="508"/>
      <c r="G285" s="508"/>
      <c r="H285" s="508"/>
    </row>
    <row r="286" spans="2:8" ht="12">
      <c r="B286" s="508"/>
      <c r="C286" s="508"/>
      <c r="D286" s="508"/>
      <c r="E286" s="508"/>
      <c r="F286" s="508"/>
      <c r="G286" s="508"/>
      <c r="H286" s="508"/>
    </row>
    <row r="287" spans="2:8" ht="12">
      <c r="B287" s="508"/>
      <c r="C287" s="508"/>
      <c r="D287" s="508"/>
      <c r="E287" s="508"/>
      <c r="F287" s="508"/>
      <c r="G287" s="508"/>
      <c r="H287" s="508"/>
    </row>
    <row r="288" spans="2:8" ht="12">
      <c r="B288" s="508"/>
      <c r="C288" s="508"/>
      <c r="D288" s="508"/>
      <c r="E288" s="508"/>
      <c r="F288" s="508"/>
      <c r="G288" s="508"/>
      <c r="H288" s="508"/>
    </row>
    <row r="289" spans="2:8" ht="12">
      <c r="B289" s="508"/>
      <c r="C289" s="508"/>
      <c r="D289" s="508"/>
      <c r="E289" s="508"/>
      <c r="F289" s="508"/>
      <c r="G289" s="508"/>
      <c r="H289" s="508"/>
    </row>
    <row r="290" spans="2:8" ht="12">
      <c r="B290" s="508"/>
      <c r="C290" s="508"/>
      <c r="D290" s="508"/>
      <c r="E290" s="508"/>
      <c r="F290" s="508"/>
      <c r="G290" s="508"/>
      <c r="H290" s="508"/>
    </row>
    <row r="291" spans="2:8" ht="12">
      <c r="B291" s="508"/>
      <c r="C291" s="508"/>
      <c r="D291" s="508"/>
      <c r="E291" s="508"/>
      <c r="F291" s="508"/>
      <c r="G291" s="508"/>
      <c r="H291" s="508"/>
    </row>
    <row r="292" spans="2:8" ht="12">
      <c r="B292" s="508"/>
      <c r="C292" s="508"/>
      <c r="D292" s="508"/>
      <c r="E292" s="508"/>
      <c r="F292" s="508"/>
      <c r="G292" s="508"/>
      <c r="H292" s="508"/>
    </row>
    <row r="293" spans="2:8" ht="12">
      <c r="B293" s="508"/>
      <c r="C293" s="508"/>
      <c r="D293" s="508"/>
      <c r="E293" s="508"/>
      <c r="F293" s="508"/>
      <c r="G293" s="508"/>
      <c r="H293" s="508"/>
    </row>
    <row r="294" spans="2:8" ht="12">
      <c r="B294" s="508"/>
      <c r="C294" s="508"/>
      <c r="D294" s="508"/>
      <c r="E294" s="508"/>
      <c r="F294" s="508"/>
      <c r="G294" s="508"/>
      <c r="H294" s="508"/>
    </row>
    <row r="295" spans="2:8" ht="12">
      <c r="B295" s="508"/>
      <c r="C295" s="508"/>
      <c r="D295" s="508"/>
      <c r="E295" s="508"/>
      <c r="F295" s="508"/>
      <c r="G295" s="508"/>
      <c r="H295" s="508"/>
    </row>
    <row r="296" spans="2:8" ht="12">
      <c r="B296" s="508"/>
      <c r="C296" s="508"/>
      <c r="D296" s="508"/>
      <c r="E296" s="508"/>
      <c r="F296" s="508"/>
      <c r="G296" s="508"/>
      <c r="H296" s="508"/>
    </row>
    <row r="297" spans="2:8" ht="12">
      <c r="B297" s="508"/>
      <c r="C297" s="508"/>
      <c r="D297" s="508"/>
      <c r="E297" s="508"/>
      <c r="F297" s="508"/>
      <c r="G297" s="508"/>
      <c r="H297" s="508"/>
    </row>
    <row r="298" spans="2:8" ht="12">
      <c r="B298" s="508"/>
      <c r="C298" s="508"/>
      <c r="D298" s="508"/>
      <c r="E298" s="508"/>
      <c r="F298" s="508"/>
      <c r="G298" s="508"/>
      <c r="H298" s="508"/>
    </row>
    <row r="299" spans="2:8" ht="12">
      <c r="B299" s="508"/>
      <c r="C299" s="508"/>
      <c r="D299" s="508"/>
      <c r="E299" s="508"/>
      <c r="F299" s="508"/>
      <c r="G299" s="508"/>
      <c r="H299" s="508"/>
    </row>
    <row r="300" spans="2:8" ht="12">
      <c r="B300" s="508"/>
      <c r="C300" s="508"/>
      <c r="D300" s="508"/>
      <c r="E300" s="508"/>
      <c r="F300" s="508"/>
      <c r="G300" s="508"/>
      <c r="H300" s="508"/>
    </row>
    <row r="301" spans="2:8" ht="12">
      <c r="B301" s="508"/>
      <c r="C301" s="508"/>
      <c r="D301" s="508"/>
      <c r="E301" s="508"/>
      <c r="F301" s="508"/>
      <c r="G301" s="508"/>
      <c r="H301" s="508"/>
    </row>
    <row r="302" spans="2:8" ht="12">
      <c r="B302" s="508"/>
      <c r="C302" s="508"/>
      <c r="D302" s="508"/>
      <c r="E302" s="508"/>
      <c r="F302" s="508"/>
      <c r="G302" s="508"/>
      <c r="H302" s="508"/>
    </row>
    <row r="303" spans="2:8" ht="12">
      <c r="B303" s="508"/>
      <c r="C303" s="508"/>
      <c r="D303" s="508"/>
      <c r="E303" s="508"/>
      <c r="F303" s="508"/>
      <c r="G303" s="508"/>
      <c r="H303" s="508"/>
    </row>
    <row r="304" spans="2:8" ht="12">
      <c r="B304" s="508"/>
      <c r="C304" s="508"/>
      <c r="D304" s="508"/>
      <c r="E304" s="508"/>
      <c r="F304" s="508"/>
      <c r="G304" s="508"/>
      <c r="H304" s="508"/>
    </row>
    <row r="305" spans="2:8" ht="12">
      <c r="B305" s="508"/>
      <c r="C305" s="508"/>
      <c r="D305" s="508"/>
      <c r="E305" s="508"/>
      <c r="F305" s="508"/>
      <c r="G305" s="508"/>
      <c r="H305" s="508"/>
    </row>
    <row r="306" spans="2:8" ht="12">
      <c r="B306" s="508"/>
      <c r="C306" s="508"/>
      <c r="D306" s="508"/>
      <c r="E306" s="508"/>
      <c r="F306" s="508"/>
      <c r="G306" s="508"/>
      <c r="H306" s="508"/>
    </row>
    <row r="307" spans="2:8" ht="12">
      <c r="B307" s="508"/>
      <c r="C307" s="508"/>
      <c r="D307" s="508"/>
      <c r="E307" s="508"/>
      <c r="F307" s="508"/>
      <c r="G307" s="508"/>
      <c r="H307" s="508"/>
    </row>
    <row r="308" spans="2:8" ht="12">
      <c r="B308" s="508"/>
      <c r="C308" s="508"/>
      <c r="D308" s="508"/>
      <c r="E308" s="508"/>
      <c r="F308" s="508"/>
      <c r="G308" s="508"/>
      <c r="H308" s="508"/>
    </row>
    <row r="309" spans="2:8" ht="12">
      <c r="B309" s="508"/>
      <c r="C309" s="508"/>
      <c r="D309" s="508"/>
      <c r="E309" s="508"/>
      <c r="F309" s="508"/>
      <c r="G309" s="508"/>
      <c r="H309" s="508"/>
    </row>
    <row r="310" spans="2:8" ht="12">
      <c r="B310" s="508"/>
      <c r="C310" s="508"/>
      <c r="D310" s="508"/>
      <c r="E310" s="508"/>
      <c r="F310" s="508"/>
      <c r="G310" s="508"/>
      <c r="H310" s="508"/>
    </row>
    <row r="311" spans="2:8" ht="12">
      <c r="B311" s="508"/>
      <c r="C311" s="508"/>
      <c r="D311" s="508"/>
      <c r="E311" s="508"/>
      <c r="F311" s="508"/>
      <c r="G311" s="508"/>
      <c r="H311" s="508"/>
    </row>
    <row r="312" spans="2:8" ht="12">
      <c r="B312" s="508"/>
      <c r="C312" s="508"/>
      <c r="D312" s="508"/>
      <c r="E312" s="508"/>
      <c r="F312" s="508"/>
      <c r="G312" s="508"/>
      <c r="H312" s="508"/>
    </row>
    <row r="313" spans="2:8" ht="12">
      <c r="B313" s="508"/>
      <c r="C313" s="508"/>
      <c r="D313" s="508"/>
      <c r="E313" s="508"/>
      <c r="F313" s="508"/>
      <c r="G313" s="508"/>
      <c r="H313" s="508"/>
    </row>
    <row r="314" spans="2:8" ht="12">
      <c r="B314" s="508"/>
      <c r="C314" s="508"/>
      <c r="D314" s="508"/>
      <c r="E314" s="508"/>
      <c r="F314" s="508"/>
      <c r="G314" s="508"/>
      <c r="H314" s="508"/>
    </row>
    <row r="315" spans="2:8" ht="12">
      <c r="B315" s="508"/>
      <c r="C315" s="508"/>
      <c r="D315" s="508"/>
      <c r="E315" s="508"/>
      <c r="F315" s="508"/>
      <c r="G315" s="508"/>
      <c r="H315" s="508"/>
    </row>
    <row r="316" spans="2:8" ht="12">
      <c r="B316" s="508"/>
      <c r="C316" s="508"/>
      <c r="D316" s="508"/>
      <c r="E316" s="508"/>
      <c r="F316" s="508"/>
      <c r="G316" s="508"/>
      <c r="H316" s="508"/>
    </row>
    <row r="317" spans="2:8" ht="12">
      <c r="B317" s="508"/>
      <c r="C317" s="508"/>
      <c r="D317" s="508"/>
      <c r="E317" s="508"/>
      <c r="F317" s="508"/>
      <c r="G317" s="508"/>
      <c r="H317" s="508"/>
    </row>
    <row r="318" spans="2:8" ht="12">
      <c r="B318" s="508"/>
      <c r="C318" s="508"/>
      <c r="D318" s="508"/>
      <c r="E318" s="508"/>
      <c r="F318" s="508"/>
      <c r="G318" s="508"/>
      <c r="H318" s="508"/>
    </row>
    <row r="319" spans="2:8" ht="12">
      <c r="B319" s="508"/>
      <c r="C319" s="508"/>
      <c r="D319" s="508"/>
      <c r="E319" s="508"/>
      <c r="F319" s="508"/>
      <c r="G319" s="508"/>
      <c r="H319" s="508"/>
    </row>
    <row r="320" spans="2:8" ht="12">
      <c r="B320" s="508"/>
      <c r="C320" s="508"/>
      <c r="D320" s="508"/>
      <c r="E320" s="508"/>
      <c r="F320" s="508"/>
      <c r="G320" s="508"/>
      <c r="H320" s="508"/>
    </row>
    <row r="321" spans="2:8" ht="12">
      <c r="B321" s="508"/>
      <c r="C321" s="508"/>
      <c r="D321" s="508"/>
      <c r="E321" s="508"/>
      <c r="F321" s="508"/>
      <c r="G321" s="508"/>
      <c r="H321" s="508"/>
    </row>
    <row r="322" spans="2:8" ht="12">
      <c r="B322" s="508"/>
      <c r="C322" s="508"/>
      <c r="D322" s="508"/>
      <c r="E322" s="508"/>
      <c r="F322" s="508"/>
      <c r="G322" s="508"/>
      <c r="H322" s="508"/>
    </row>
    <row r="323" spans="2:8" ht="12">
      <c r="B323" s="508"/>
      <c r="C323" s="508"/>
      <c r="D323" s="508"/>
      <c r="E323" s="508"/>
      <c r="F323" s="508"/>
      <c r="G323" s="508"/>
      <c r="H323" s="508"/>
    </row>
    <row r="324" spans="2:8" ht="12">
      <c r="B324" s="508"/>
      <c r="C324" s="508"/>
      <c r="D324" s="508"/>
      <c r="E324" s="508"/>
      <c r="F324" s="508"/>
      <c r="G324" s="508"/>
      <c r="H324" s="508"/>
    </row>
    <row r="325" spans="2:8" ht="12">
      <c r="B325" s="508"/>
      <c r="C325" s="508"/>
      <c r="D325" s="508"/>
      <c r="E325" s="508"/>
      <c r="F325" s="508"/>
      <c r="G325" s="508"/>
      <c r="H325" s="508"/>
    </row>
    <row r="326" spans="2:8" ht="12">
      <c r="B326" s="508"/>
      <c r="C326" s="508"/>
      <c r="D326" s="508"/>
      <c r="E326" s="508"/>
      <c r="F326" s="508"/>
      <c r="G326" s="508"/>
      <c r="H326" s="508"/>
    </row>
    <row r="327" spans="2:8" ht="12">
      <c r="B327" s="508"/>
      <c r="C327" s="508"/>
      <c r="D327" s="508"/>
      <c r="E327" s="508"/>
      <c r="F327" s="508"/>
      <c r="G327" s="508"/>
      <c r="H327" s="508"/>
    </row>
    <row r="328" spans="2:8" ht="12">
      <c r="B328" s="508"/>
      <c r="C328" s="508"/>
      <c r="D328" s="508"/>
      <c r="E328" s="508"/>
      <c r="F328" s="508"/>
      <c r="G328" s="508"/>
      <c r="H328" s="508"/>
    </row>
    <row r="329" spans="2:8" ht="12">
      <c r="B329" s="508"/>
      <c r="C329" s="508"/>
      <c r="D329" s="508"/>
      <c r="E329" s="508"/>
      <c r="F329" s="508"/>
      <c r="G329" s="508"/>
      <c r="H329" s="508"/>
    </row>
    <row r="330" spans="2:8" ht="12">
      <c r="B330" s="508"/>
      <c r="C330" s="508"/>
      <c r="D330" s="508"/>
      <c r="E330" s="508"/>
      <c r="F330" s="508"/>
      <c r="G330" s="508"/>
      <c r="H330" s="508"/>
    </row>
    <row r="331" spans="2:8" ht="12">
      <c r="B331" s="508"/>
      <c r="C331" s="508"/>
      <c r="D331" s="508"/>
      <c r="E331" s="508"/>
      <c r="F331" s="508"/>
      <c r="G331" s="508"/>
      <c r="H331" s="508"/>
    </row>
    <row r="332" spans="2:8" ht="12">
      <c r="B332" s="508"/>
      <c r="C332" s="508"/>
      <c r="D332" s="508"/>
      <c r="E332" s="508"/>
      <c r="F332" s="508"/>
      <c r="G332" s="508"/>
      <c r="H332" s="508"/>
    </row>
    <row r="333" spans="2:8" ht="12">
      <c r="B333" s="508"/>
      <c r="C333" s="508"/>
      <c r="D333" s="508"/>
      <c r="E333" s="508"/>
      <c r="F333" s="508"/>
      <c r="G333" s="508"/>
      <c r="H333" s="508"/>
    </row>
    <row r="334" spans="2:8" ht="12">
      <c r="B334" s="508"/>
      <c r="C334" s="508"/>
      <c r="D334" s="508"/>
      <c r="E334" s="508"/>
      <c r="F334" s="508"/>
      <c r="G334" s="508"/>
      <c r="H334" s="508"/>
    </row>
    <row r="335" spans="2:8" ht="12">
      <c r="B335" s="508"/>
      <c r="C335" s="508"/>
      <c r="D335" s="508"/>
      <c r="E335" s="508"/>
      <c r="F335" s="508"/>
      <c r="G335" s="508"/>
      <c r="H335" s="508"/>
    </row>
    <row r="336" spans="2:8" ht="12">
      <c r="B336" s="508"/>
      <c r="C336" s="508"/>
      <c r="D336" s="508"/>
      <c r="E336" s="508"/>
      <c r="F336" s="508"/>
      <c r="G336" s="508"/>
      <c r="H336" s="508"/>
    </row>
  </sheetData>
  <mergeCells count="26">
    <mergeCell ref="AL66:AO66"/>
    <mergeCell ref="Z3:AC3"/>
    <mergeCell ref="AD3:AG3"/>
    <mergeCell ref="AH3:AK3"/>
    <mergeCell ref="AL3:AO3"/>
    <mergeCell ref="V66:Y66"/>
    <mergeCell ref="V3:Y3"/>
    <mergeCell ref="Z66:AC66"/>
    <mergeCell ref="AD66:AG66"/>
    <mergeCell ref="AH66:AK66"/>
    <mergeCell ref="AX3:BA3"/>
    <mergeCell ref="AX66:BA66"/>
    <mergeCell ref="B66:E66"/>
    <mergeCell ref="F66:I66"/>
    <mergeCell ref="J66:M66"/>
    <mergeCell ref="N66:Q66"/>
    <mergeCell ref="R66:U66"/>
    <mergeCell ref="B3:E3"/>
    <mergeCell ref="F3:I3"/>
    <mergeCell ref="J3:M3"/>
    <mergeCell ref="N3:Q3"/>
    <mergeCell ref="R3:U3"/>
    <mergeCell ref="AT3:AW3"/>
    <mergeCell ref="AT66:AW66"/>
    <mergeCell ref="AP3:AS3"/>
    <mergeCell ref="AP66:AS66"/>
  </mergeCells>
  <pageMargins left="0.25" right="0.25" top="0.75" bottom="0.75" header="0.3" footer="0.3"/>
  <pageSetup scale="41" fitToHeight="0" orientation="portrait" r:id="rId1"/>
  <ignoredErrors>
    <ignoredError sqref="B158:W158 BJ13:BM16 BJ20:BM22 BJ28:BM29 BI37:BL37 BD112:BI130 BD140:BJ141 BD166:BI166 BJ150:BM150 BD39:BM39 B150:Y150 BJ44:BK49 BD146:BI162" formulaRange="1"/>
    <ignoredError sqref="BD32:BM32" formula="1"/>
    <ignoredError sqref="BD131:BI131" formula="1"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sheetPr>
  <dimension ref="A1:BW677"/>
  <sheetViews>
    <sheetView showGridLines="0" tabSelected="1" zoomScaleNormal="100" workbookViewId="0">
      <pane xSplit="1" ySplit="5" topLeftCell="AH86" activePane="bottomRight" state="frozen"/>
      <selection activeCell="CS46" sqref="CS46"/>
      <selection pane="topRight" activeCell="CS46" sqref="CS46"/>
      <selection pane="bottomLeft" activeCell="CS46" sqref="CS46"/>
      <selection pane="bottomRight" activeCell="AW167" sqref="AW167"/>
    </sheetView>
  </sheetViews>
  <sheetFormatPr defaultColWidth="9.140625" defaultRowHeight="12.75" customHeight="1" outlineLevelRow="3" outlineLevelCol="2"/>
  <cols>
    <col min="1" max="1" width="47" style="1048" customWidth="1"/>
    <col min="2" max="13" width="7.85546875" style="1048" hidden="1" customWidth="1" outlineLevel="2"/>
    <col min="14" max="14" width="7.85546875" style="1048" hidden="1" customWidth="1" outlineLevel="2" collapsed="1"/>
    <col min="15" max="21" width="7.85546875" style="1048" hidden="1" customWidth="1" outlineLevel="2"/>
    <col min="22" max="22" width="7.85546875" style="1048" hidden="1" customWidth="1" outlineLevel="1" collapsed="1"/>
    <col min="23" max="25" width="7.85546875" style="1048" hidden="1" customWidth="1" outlineLevel="1"/>
    <col min="26" max="26" width="8.85546875" style="1048" hidden="1" customWidth="1" outlineLevel="1" collapsed="1"/>
    <col min="27" max="29" width="8.85546875" style="1048" hidden="1" customWidth="1" outlineLevel="1"/>
    <col min="30" max="33" width="7.85546875" style="1048" hidden="1" customWidth="1" outlineLevel="1"/>
    <col min="34" max="34" width="7.85546875" style="1048" customWidth="1" collapsed="1"/>
    <col min="35" max="49" width="7.85546875" style="1048" customWidth="1"/>
    <col min="50" max="53" width="7.85546875" style="1048" hidden="1" customWidth="1" outlineLevel="1"/>
    <col min="54" max="54" width="2.5703125" style="1048" customWidth="1" collapsed="1"/>
    <col min="55" max="57" width="9.140625" style="1000" hidden="1" customWidth="1" outlineLevel="2"/>
    <col min="58" max="58" width="9.140625" style="1000" hidden="1" customWidth="1" outlineLevel="2" collapsed="1"/>
    <col min="59" max="60" width="9.140625" style="1000" hidden="1" customWidth="1" outlineLevel="2"/>
    <col min="61" max="62" width="9.140625" style="1000" hidden="1" customWidth="1" outlineLevel="1"/>
    <col min="63" max="63" width="9.140625" style="1000" customWidth="1" collapsed="1"/>
    <col min="64" max="68" width="9.140625" style="1000" customWidth="1"/>
    <col min="69" max="69" width="2.85546875" style="1000" customWidth="1"/>
    <col min="70" max="70" width="9.5703125" style="1442" bestFit="1" customWidth="1"/>
    <col min="71" max="71" width="11.28515625" style="1442" bestFit="1" customWidth="1"/>
    <col min="72" max="72" width="9.140625" style="1442"/>
    <col min="73" max="73" width="16.5703125" style="1257" bestFit="1" customWidth="1"/>
    <col min="74" max="16384" width="9.140625" style="1000"/>
  </cols>
  <sheetData>
    <row r="1" spans="1:73" s="281" customFormat="1" ht="15.75">
      <c r="A1" s="275" t="str">
        <f>+'Income Statement'!A1</f>
        <v>Intuit, Inc.</v>
      </c>
      <c r="BJ1" s="1242"/>
      <c r="BL1" s="1348"/>
      <c r="BR1" s="284"/>
      <c r="BS1" s="284"/>
      <c r="BT1" s="284"/>
      <c r="BU1" s="1259"/>
    </row>
    <row r="2" spans="1:73" s="284" customFormat="1" ht="15.75">
      <c r="A2" s="275" t="s">
        <v>365</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I2" s="281"/>
      <c r="BU2" s="1259"/>
    </row>
    <row r="3" spans="1:73" s="288" customFormat="1" ht="12" customHeight="1">
      <c r="A3" s="970"/>
      <c r="B3" s="2166" t="str">
        <f>+'Income Statement'!B3:E3</f>
        <v>Fiscal 2016</v>
      </c>
      <c r="C3" s="2166"/>
      <c r="D3" s="2166"/>
      <c r="E3" s="2167"/>
      <c r="F3" s="2166" t="str">
        <f>+'Income Statement'!F3:I3</f>
        <v>Fiscal 2017</v>
      </c>
      <c r="G3" s="2166"/>
      <c r="H3" s="2166"/>
      <c r="I3" s="2167"/>
      <c r="J3" s="2166" t="str">
        <f>+'Income Statement'!J3:M3</f>
        <v>Fiscal 2018</v>
      </c>
      <c r="K3" s="2166"/>
      <c r="L3" s="2166"/>
      <c r="M3" s="2167"/>
      <c r="N3" s="2166" t="str">
        <f>+'Income Statement'!N3:Q3</f>
        <v>Fiscal 2019</v>
      </c>
      <c r="O3" s="2166"/>
      <c r="P3" s="2166"/>
      <c r="Q3" s="2167"/>
      <c r="R3" s="2166" t="str">
        <f>+'Income Statement'!R3:U3</f>
        <v>Fiscal 2020</v>
      </c>
      <c r="S3" s="2166"/>
      <c r="T3" s="2166"/>
      <c r="U3" s="2167"/>
      <c r="V3" s="2166" t="str">
        <f>+'Income Statement'!V3:Y3</f>
        <v>Fiscal 2021</v>
      </c>
      <c r="W3" s="2166"/>
      <c r="X3" s="2166"/>
      <c r="Y3" s="2167"/>
      <c r="Z3" s="2166" t="str">
        <f>+'Income Statement'!Z3:AC3</f>
        <v>Fiscal 2022</v>
      </c>
      <c r="AA3" s="2166"/>
      <c r="AB3" s="2166"/>
      <c r="AC3" s="2167"/>
      <c r="AD3" s="2166" t="str">
        <f>+'Income Statement'!AD3:AG3</f>
        <v>Fiscal 2023</v>
      </c>
      <c r="AE3" s="2166"/>
      <c r="AF3" s="2166"/>
      <c r="AG3" s="2167"/>
      <c r="AH3" s="2166" t="str">
        <f>+'Income Statement'!AH3:AK3</f>
        <v>Fiscal 2024</v>
      </c>
      <c r="AI3" s="2166"/>
      <c r="AJ3" s="2166"/>
      <c r="AK3" s="2167"/>
      <c r="AL3" s="2166" t="str">
        <f>+'Income Statement'!AL3:AO3</f>
        <v>Fiscal 2025</v>
      </c>
      <c r="AM3" s="2166"/>
      <c r="AN3" s="2166"/>
      <c r="AO3" s="2167"/>
      <c r="AP3" s="2166" t="str">
        <f>+'Income Statement'!AP3:AS3</f>
        <v>Fiscal 2026</v>
      </c>
      <c r="AQ3" s="2166"/>
      <c r="AR3" s="2166"/>
      <c r="AS3" s="2167"/>
      <c r="AT3" s="2166" t="str">
        <f>+'Income Statement'!AT3:AW3</f>
        <v>Fiscal 2027</v>
      </c>
      <c r="AU3" s="2166"/>
      <c r="AV3" s="2166"/>
      <c r="AW3" s="2167"/>
      <c r="AX3" s="2166" t="str">
        <f>+'Income Statement'!AX3:BA3</f>
        <v>Fiscal 2028</v>
      </c>
      <c r="AY3" s="2166"/>
      <c r="AZ3" s="2166"/>
      <c r="BA3" s="2167"/>
      <c r="BB3" s="1875"/>
      <c r="BC3" s="2157"/>
      <c r="BD3" s="2158"/>
      <c r="BE3" s="2158"/>
      <c r="BF3" s="2158"/>
      <c r="BG3" s="2158"/>
      <c r="BH3" s="2158"/>
      <c r="BI3" s="2158"/>
      <c r="BJ3" s="2158"/>
      <c r="BK3" s="2158"/>
      <c r="BL3" s="2158"/>
      <c r="BM3" s="2158"/>
      <c r="BN3" s="2158"/>
      <c r="BO3" s="2158"/>
      <c r="BP3" s="2159"/>
      <c r="BR3" s="1378"/>
      <c r="BS3" s="1378"/>
      <c r="BT3" s="1378"/>
      <c r="BU3" s="1259"/>
    </row>
    <row r="4" spans="1:73" s="305" customFormat="1" ht="12" customHeight="1">
      <c r="A4" s="648" t="s">
        <v>233</v>
      </c>
      <c r="B4" s="398">
        <f>+'Income Statement'!B4</f>
        <v>42308</v>
      </c>
      <c r="C4" s="398">
        <f>+'Income Statement'!C4</f>
        <v>42400</v>
      </c>
      <c r="D4" s="398">
        <f>+'Income Statement'!D4</f>
        <v>42490</v>
      </c>
      <c r="E4" s="399">
        <f>+'Income Statement'!E4</f>
        <v>42582</v>
      </c>
      <c r="F4" s="400">
        <f>+'Income Statement'!F4</f>
        <v>42674</v>
      </c>
      <c r="G4" s="398">
        <f>+'Income Statement'!G4</f>
        <v>42766</v>
      </c>
      <c r="H4" s="398">
        <f>+'Income Statement'!H4</f>
        <v>42855</v>
      </c>
      <c r="I4" s="398">
        <f>+'Income Statement'!I4</f>
        <v>42947</v>
      </c>
      <c r="J4" s="971">
        <f>+'Income Statement'!J4</f>
        <v>43039</v>
      </c>
      <c r="K4" s="398">
        <f>+'Income Statement'!K4</f>
        <v>43131</v>
      </c>
      <c r="L4" s="398">
        <f>+'Income Statement'!L4</f>
        <v>43220</v>
      </c>
      <c r="M4" s="401">
        <f>+'Income Statement'!M4</f>
        <v>43312</v>
      </c>
      <c r="N4" s="398">
        <f>+'Income Statement'!N4</f>
        <v>43404</v>
      </c>
      <c r="O4" s="398">
        <f>+'Income Statement'!O4</f>
        <v>43496</v>
      </c>
      <c r="P4" s="398">
        <f>+'Income Statement'!P4</f>
        <v>43585</v>
      </c>
      <c r="Q4" s="401">
        <f>+'Income Statement'!Q4</f>
        <v>43677</v>
      </c>
      <c r="R4" s="398">
        <f>+'Income Statement'!R4</f>
        <v>43769</v>
      </c>
      <c r="S4" s="398">
        <f>+'Income Statement'!S4</f>
        <v>43861</v>
      </c>
      <c r="T4" s="398">
        <f>+'Income Statement'!T4</f>
        <v>43951</v>
      </c>
      <c r="U4" s="401">
        <f>+'Income Statement'!U4</f>
        <v>44043</v>
      </c>
      <c r="V4" s="971">
        <f>+'Income Statement'!V4</f>
        <v>44135</v>
      </c>
      <c r="W4" s="398" t="str">
        <f>+'Income Statement'!W4</f>
        <v>Jan-21</v>
      </c>
      <c r="X4" s="398" t="str">
        <f>+'Income Statement'!X4</f>
        <v>Apr-21</v>
      </c>
      <c r="Y4" s="401" t="str">
        <f>+'Income Statement'!Y4</f>
        <v>Jul-21</v>
      </c>
      <c r="Z4" s="971" t="str">
        <f>+'Income Statement'!Z4</f>
        <v>Oct-21</v>
      </c>
      <c r="AA4" s="398" t="str">
        <f>+'Income Statement'!AA4</f>
        <v>Jan-22</v>
      </c>
      <c r="AB4" s="398" t="str">
        <f>+'Income Statement'!AB4</f>
        <v>Apr-22</v>
      </c>
      <c r="AC4" s="401" t="str">
        <f>+'Income Statement'!AC4</f>
        <v>Jul-22</v>
      </c>
      <c r="AD4" s="971" t="str">
        <f>+'Income Statement'!AD4</f>
        <v>Oct-22</v>
      </c>
      <c r="AE4" s="398" t="str">
        <f>+'Income Statement'!AE4</f>
        <v>Jan-23</v>
      </c>
      <c r="AF4" s="398" t="str">
        <f>+'Income Statement'!AF4</f>
        <v>Apr-23</v>
      </c>
      <c r="AG4" s="401" t="str">
        <f>+'Income Statement'!AG4</f>
        <v>Jul-23</v>
      </c>
      <c r="AH4" s="971" t="str">
        <f>+'Income Statement'!AH4</f>
        <v>Oct-23</v>
      </c>
      <c r="AI4" s="398" t="str">
        <f>+'Income Statement'!AI4</f>
        <v>Jan-24</v>
      </c>
      <c r="AJ4" s="398" t="str">
        <f>+'Income Statement'!AJ4</f>
        <v>Apr-24</v>
      </c>
      <c r="AK4" s="401" t="str">
        <f>+'Income Statement'!AK4</f>
        <v>Jul-24</v>
      </c>
      <c r="AL4" s="971" t="str">
        <f>+'Income Statement'!AL4</f>
        <v>Oct-24</v>
      </c>
      <c r="AM4" s="398" t="str">
        <f>+'Income Statement'!AM4</f>
        <v>Jan-25</v>
      </c>
      <c r="AN4" s="398" t="str">
        <f>+'Income Statement'!AN4</f>
        <v>Apr-25</v>
      </c>
      <c r="AO4" s="401" t="str">
        <f>+'Income Statement'!AO4</f>
        <v>Jul-25</v>
      </c>
      <c r="AP4" s="971" t="str">
        <f>+'Income Statement'!AP4</f>
        <v>Oct-25</v>
      </c>
      <c r="AQ4" s="398" t="str">
        <f>+'Income Statement'!AQ4</f>
        <v>Jan-26</v>
      </c>
      <c r="AR4" s="398" t="str">
        <f>+'Income Statement'!AR4</f>
        <v>Apr-26E</v>
      </c>
      <c r="AS4" s="401" t="str">
        <f>+'Income Statement'!AS4</f>
        <v>Jul-26E</v>
      </c>
      <c r="AT4" s="971" t="str">
        <f>+'Income Statement'!AT4</f>
        <v>Oct-26E</v>
      </c>
      <c r="AU4" s="398" t="str">
        <f>+'Income Statement'!AU4</f>
        <v>Jan-27E</v>
      </c>
      <c r="AV4" s="398" t="str">
        <f>+'Income Statement'!AV4</f>
        <v>Apr-27E</v>
      </c>
      <c r="AW4" s="401" t="str">
        <f>+'Income Statement'!AW4</f>
        <v>Jul-27E</v>
      </c>
      <c r="AX4" s="971" t="str">
        <f>+'Income Statement'!AX4</f>
        <v>Oct-27E</v>
      </c>
      <c r="AY4" s="398" t="str">
        <f>+'Income Statement'!AY4</f>
        <v>Jan-28E</v>
      </c>
      <c r="AZ4" s="398" t="str">
        <f>+'Income Statement'!AZ4</f>
        <v>Apr-28E</v>
      </c>
      <c r="BA4" s="401" t="str">
        <f>+'Income Statement'!BA4</f>
        <v>Jul-28E</v>
      </c>
      <c r="BB4" s="972"/>
      <c r="BC4" s="636" t="str">
        <f>+'Income Statement'!BC4</f>
        <v>FY15</v>
      </c>
      <c r="BD4" s="636" t="str">
        <f>+'Income Statement'!BD4</f>
        <v>FY16</v>
      </c>
      <c r="BE4" s="402" t="str">
        <f>+'Income Statement'!BE4</f>
        <v>FY17</v>
      </c>
      <c r="BF4" s="404" t="str">
        <f>+'Income Statement'!BF4</f>
        <v>FY18</v>
      </c>
      <c r="BG4" s="404" t="str">
        <f>+'Income Statement'!BG4</f>
        <v>FY19</v>
      </c>
      <c r="BH4" s="404" t="str">
        <f>+'Income Statement'!BH4</f>
        <v>FY20</v>
      </c>
      <c r="BI4" s="404" t="str">
        <f>+'Income Statement'!BI4</f>
        <v>FY21</v>
      </c>
      <c r="BJ4" s="404" t="str">
        <f>+'Income Statement'!BJ4</f>
        <v>FY22</v>
      </c>
      <c r="BK4" s="404" t="str">
        <f>+'Income Statement'!BK4</f>
        <v>FY23</v>
      </c>
      <c r="BL4" s="404" t="str">
        <f>+'Income Statement'!BL4</f>
        <v>FY24</v>
      </c>
      <c r="BM4" s="404" t="str">
        <f>+'Income Statement'!BM4</f>
        <v>FY25</v>
      </c>
      <c r="BN4" s="1362" t="str">
        <f>+'Income Statement'!BN4</f>
        <v>FY26E</v>
      </c>
      <c r="BO4" s="1362" t="str">
        <f>+'Income Statement'!BO4</f>
        <v>FY27E</v>
      </c>
      <c r="BP4" s="1362" t="str">
        <f>+'Income Statement'!BP4</f>
        <v>FY28E</v>
      </c>
      <c r="BR4" s="1379"/>
      <c r="BS4" s="1379"/>
      <c r="BT4" s="1379"/>
      <c r="BU4" s="1260"/>
    </row>
    <row r="5" spans="1:73" s="305" customFormat="1" ht="12" customHeight="1">
      <c r="A5" s="973"/>
      <c r="B5" s="177"/>
      <c r="C5" s="177"/>
      <c r="D5" s="177"/>
      <c r="E5" s="177"/>
      <c r="F5" s="290"/>
      <c r="G5" s="177"/>
      <c r="H5" s="177"/>
      <c r="I5" s="177"/>
      <c r="J5" s="974"/>
      <c r="K5" s="177"/>
      <c r="L5" s="177"/>
      <c r="M5" s="295"/>
      <c r="N5" s="177"/>
      <c r="O5" s="177"/>
      <c r="P5" s="177"/>
      <c r="Q5" s="295"/>
      <c r="R5" s="177"/>
      <c r="S5" s="177"/>
      <c r="T5" s="177"/>
      <c r="U5" s="401"/>
      <c r="V5" s="971"/>
      <c r="W5" s="398"/>
      <c r="X5" s="975">
        <v>210.8</v>
      </c>
      <c r="Y5" s="976">
        <v>217.8</v>
      </c>
      <c r="Z5" s="974"/>
      <c r="AA5" s="177"/>
      <c r="AB5" s="177"/>
      <c r="AC5" s="295"/>
      <c r="AD5" s="974"/>
      <c r="AE5" s="177"/>
      <c r="AF5" s="177"/>
      <c r="AG5" s="295"/>
      <c r="AH5" s="974"/>
      <c r="AI5" s="177"/>
      <c r="AJ5" s="177"/>
      <c r="AK5" s="295"/>
      <c r="AL5" s="974"/>
      <c r="AM5" s="177"/>
      <c r="AN5" s="177"/>
      <c r="AO5" s="295"/>
      <c r="AP5" s="974"/>
      <c r="AQ5" s="177"/>
      <c r="AR5" s="177"/>
      <c r="AS5" s="295"/>
      <c r="AT5" s="974"/>
      <c r="AU5" s="177"/>
      <c r="AV5" s="177"/>
      <c r="AW5" s="295"/>
      <c r="AX5" s="974"/>
      <c r="AY5" s="177"/>
      <c r="AZ5" s="177"/>
      <c r="BA5" s="295"/>
      <c r="BB5" s="972"/>
      <c r="BC5" s="636"/>
      <c r="BD5" s="636"/>
      <c r="BE5" s="402"/>
      <c r="BF5" s="977"/>
      <c r="BG5" s="404"/>
      <c r="BH5" s="304"/>
      <c r="BI5" s="977"/>
      <c r="BJ5" s="977"/>
      <c r="BK5" s="977"/>
      <c r="BL5" s="404"/>
      <c r="BM5" s="404"/>
      <c r="BN5" s="1363"/>
      <c r="BO5" s="1363"/>
      <c r="BP5" s="1363"/>
      <c r="BR5" s="1379"/>
      <c r="BS5" s="1379"/>
      <c r="BT5" s="1379"/>
      <c r="BU5" s="1260"/>
    </row>
    <row r="6" spans="1:73" s="982" customFormat="1" ht="12" customHeight="1">
      <c r="A6" s="978" t="s">
        <v>31</v>
      </c>
      <c r="B6" s="323">
        <f t="shared" ref="B6:V6" si="0">B13+B18</f>
        <v>713</v>
      </c>
      <c r="C6" s="323">
        <f t="shared" si="0"/>
        <v>923</v>
      </c>
      <c r="D6" s="323">
        <f t="shared" si="0"/>
        <v>2304</v>
      </c>
      <c r="E6" s="1057">
        <f t="shared" si="0"/>
        <v>754</v>
      </c>
      <c r="F6" s="1077">
        <f t="shared" si="0"/>
        <v>778</v>
      </c>
      <c r="G6" s="323">
        <f t="shared" si="0"/>
        <v>1016</v>
      </c>
      <c r="H6" s="323">
        <f t="shared" si="0"/>
        <v>2541</v>
      </c>
      <c r="I6" s="323">
        <f t="shared" si="0"/>
        <v>842</v>
      </c>
      <c r="J6" s="1056">
        <f t="shared" si="0"/>
        <v>910</v>
      </c>
      <c r="K6" s="323">
        <f t="shared" si="0"/>
        <v>1339</v>
      </c>
      <c r="L6" s="323">
        <f t="shared" si="0"/>
        <v>2912</v>
      </c>
      <c r="M6" s="1057">
        <f t="shared" si="0"/>
        <v>864</v>
      </c>
      <c r="N6" s="1056">
        <f t="shared" si="0"/>
        <v>1016</v>
      </c>
      <c r="O6" s="323">
        <f t="shared" si="0"/>
        <v>1502</v>
      </c>
      <c r="P6" s="323">
        <f t="shared" si="0"/>
        <v>3272</v>
      </c>
      <c r="Q6" s="1057">
        <f t="shared" si="0"/>
        <v>994</v>
      </c>
      <c r="R6" s="1056">
        <f t="shared" si="0"/>
        <v>1165</v>
      </c>
      <c r="S6" s="323">
        <f t="shared" si="0"/>
        <v>1696</v>
      </c>
      <c r="T6" s="323">
        <f t="shared" si="0"/>
        <v>3002</v>
      </c>
      <c r="U6" s="1057">
        <f t="shared" si="0"/>
        <v>1816</v>
      </c>
      <c r="V6" s="1056">
        <f t="shared" si="0"/>
        <v>1323</v>
      </c>
      <c r="W6" s="323">
        <f>W13+W18</f>
        <v>1576</v>
      </c>
      <c r="X6" s="323">
        <f>X13+X18</f>
        <v>4173</v>
      </c>
      <c r="Y6" s="1057">
        <f t="shared" ref="Y6:AO6" si="1">Y13+Y18</f>
        <v>2561</v>
      </c>
      <c r="Z6" s="1269">
        <f t="shared" ref="Z6" si="2">Z13+Z18</f>
        <v>2007</v>
      </c>
      <c r="AA6" s="323">
        <f t="shared" si="1"/>
        <v>2673</v>
      </c>
      <c r="AB6" s="323">
        <f t="shared" si="1"/>
        <v>5631.9999999999991</v>
      </c>
      <c r="AC6" s="1057">
        <f t="shared" si="1"/>
        <v>2414</v>
      </c>
      <c r="AD6" s="1056">
        <f>AD13+AD18</f>
        <v>2597</v>
      </c>
      <c r="AE6" s="323">
        <f t="shared" si="1"/>
        <v>3041</v>
      </c>
      <c r="AF6" s="323">
        <f t="shared" si="1"/>
        <v>6018</v>
      </c>
      <c r="AG6" s="1057">
        <f t="shared" si="1"/>
        <v>2712</v>
      </c>
      <c r="AH6" s="1056">
        <f>AH13+AH18</f>
        <v>2978</v>
      </c>
      <c r="AI6" s="323">
        <f t="shared" si="1"/>
        <v>3386</v>
      </c>
      <c r="AJ6" s="323">
        <f>AJ13+AJ18</f>
        <v>6736.9999999999991</v>
      </c>
      <c r="AK6" s="1057">
        <f t="shared" si="1"/>
        <v>3184.0000000000005</v>
      </c>
      <c r="AL6" s="1056">
        <f t="shared" si="1"/>
        <v>3283</v>
      </c>
      <c r="AM6" s="323">
        <f t="shared" si="1"/>
        <v>3963</v>
      </c>
      <c r="AN6" s="323">
        <f t="shared" si="1"/>
        <v>7754</v>
      </c>
      <c r="AO6" s="1057">
        <f t="shared" si="1"/>
        <v>3831</v>
      </c>
      <c r="AP6" s="1056">
        <f t="shared" ref="AP6:AQ6" si="3">AP13+AP18</f>
        <v>3885</v>
      </c>
      <c r="AQ6" s="323">
        <f t="shared" si="3"/>
        <v>4651</v>
      </c>
      <c r="AR6" s="323">
        <f t="shared" ref="AR6" si="4">AR13+AR18</f>
        <v>8488.57</v>
      </c>
      <c r="AS6" s="1057">
        <f>AS13+AS18</f>
        <v>4252.6274999999996</v>
      </c>
      <c r="AT6" s="1056">
        <f t="shared" ref="AT6:AW6" si="5">AT13+AT18</f>
        <v>4417.3</v>
      </c>
      <c r="AU6" s="323">
        <f t="shared" si="5"/>
        <v>5301.2951105004904</v>
      </c>
      <c r="AV6" s="323">
        <f t="shared" si="5"/>
        <v>9303.2677381828289</v>
      </c>
      <c r="AW6" s="1057">
        <f t="shared" si="5"/>
        <v>4745.4742171638809</v>
      </c>
      <c r="AX6" s="1056">
        <f t="shared" ref="AX6:BA6" si="6">AX13+AX18</f>
        <v>4978.4313475080407</v>
      </c>
      <c r="AY6" s="323">
        <f t="shared" si="6"/>
        <v>6023.0443072607904</v>
      </c>
      <c r="AZ6" s="323">
        <f t="shared" si="6"/>
        <v>10237.364326980149</v>
      </c>
      <c r="BA6" s="1057">
        <f t="shared" si="6"/>
        <v>5332.8723519617597</v>
      </c>
      <c r="BB6" s="979"/>
      <c r="BC6" s="980"/>
      <c r="BD6" s="1082">
        <f>SUM(B6:E6)</f>
        <v>4694</v>
      </c>
      <c r="BE6" s="1082">
        <f>SUM(F6:I6)</f>
        <v>5177</v>
      </c>
      <c r="BF6" s="1082">
        <f>SUM(J6:M6)</f>
        <v>6025</v>
      </c>
      <c r="BG6" s="1083">
        <f>SUM(N6:Q6)</f>
        <v>6784</v>
      </c>
      <c r="BH6" s="1083">
        <f>SUM(R6:U6)</f>
        <v>7679</v>
      </c>
      <c r="BI6" s="1083">
        <f>SUM(V6:Y6)</f>
        <v>9633</v>
      </c>
      <c r="BJ6" s="1083">
        <f>SUM(Z6:AC6)</f>
        <v>12726</v>
      </c>
      <c r="BK6" s="1083">
        <f>SUM(AD6:AG6)</f>
        <v>14368</v>
      </c>
      <c r="BL6" s="1083">
        <f>SUM(AH6:AK6)</f>
        <v>16285</v>
      </c>
      <c r="BM6" s="1083">
        <f>+BM24+BM178+BM207+BM202</f>
        <v>18831</v>
      </c>
      <c r="BN6" s="1364">
        <f>SUM(AP6:AS6)</f>
        <v>21277.197499999998</v>
      </c>
      <c r="BO6" s="1364">
        <f>SUM(AT6:AW6)</f>
        <v>23767.337065847198</v>
      </c>
      <c r="BP6" s="1364">
        <f>SUM(AX6:BA6)</f>
        <v>26571.712333710737</v>
      </c>
      <c r="BR6" s="1427"/>
      <c r="BS6" s="1427"/>
      <c r="BT6" s="1427"/>
      <c r="BU6" s="1261"/>
    </row>
    <row r="7" spans="1:73" s="2045" customFormat="1" ht="12" customHeight="1">
      <c r="A7" s="2054" t="s">
        <v>181</v>
      </c>
      <c r="B7" s="1972" t="str">
        <f t="shared" ref="B7" si="7">IF(ISERROR(B6/#REF!-1),"NA",B6/#REF!-1)</f>
        <v>NA</v>
      </c>
      <c r="C7" s="1972" t="str">
        <f t="shared" ref="C7" si="8">IF(ISERROR(C6/#REF!-1),"NA",C6/#REF!-1)</f>
        <v>NA</v>
      </c>
      <c r="D7" s="1972" t="str">
        <f t="shared" ref="D7" si="9">IF(ISERROR(D6/#REF!-1),"NA",D6/#REF!-1)</f>
        <v>NA</v>
      </c>
      <c r="E7" s="1973" t="str">
        <f t="shared" ref="E7:AQ7" si="10">IF(ISERROR(E6/A6-1),"NA",E6/A6-1)</f>
        <v>NA</v>
      </c>
      <c r="F7" s="2042">
        <f t="shared" si="10"/>
        <v>9.1164095371669029E-2</v>
      </c>
      <c r="G7" s="1972">
        <f t="shared" si="10"/>
        <v>0.10075839653304453</v>
      </c>
      <c r="H7" s="1972">
        <f t="shared" si="10"/>
        <v>0.10286458333333326</v>
      </c>
      <c r="I7" s="1973">
        <f t="shared" si="10"/>
        <v>0.11671087533156488</v>
      </c>
      <c r="J7" s="2042">
        <f t="shared" si="10"/>
        <v>0.16966580976863743</v>
      </c>
      <c r="K7" s="1972">
        <f t="shared" si="10"/>
        <v>0.31791338582677175</v>
      </c>
      <c r="L7" s="1972">
        <f t="shared" si="10"/>
        <v>0.14600550964187331</v>
      </c>
      <c r="M7" s="1973">
        <f t="shared" si="10"/>
        <v>2.6128266033254244E-2</v>
      </c>
      <c r="N7" s="2042">
        <f t="shared" si="10"/>
        <v>0.11648351648351651</v>
      </c>
      <c r="O7" s="1972">
        <f t="shared" si="10"/>
        <v>0.12173263629574316</v>
      </c>
      <c r="P7" s="1972">
        <f t="shared" si="10"/>
        <v>0.12362637362637363</v>
      </c>
      <c r="Q7" s="1973">
        <f t="shared" si="10"/>
        <v>0.15046296296296302</v>
      </c>
      <c r="R7" s="2042">
        <f t="shared" si="10"/>
        <v>0.14665354330708658</v>
      </c>
      <c r="S7" s="1972">
        <f t="shared" si="10"/>
        <v>0.12916111850865519</v>
      </c>
      <c r="T7" s="1972">
        <f t="shared" si="10"/>
        <v>-8.2518337408312936E-2</v>
      </c>
      <c r="U7" s="1973">
        <f t="shared" si="10"/>
        <v>0.82696177062374243</v>
      </c>
      <c r="V7" s="2042">
        <f t="shared" si="10"/>
        <v>0.13562231759656651</v>
      </c>
      <c r="W7" s="1972">
        <f t="shared" si="10"/>
        <v>-7.0754716981132115E-2</v>
      </c>
      <c r="X7" s="1972">
        <f t="shared" si="10"/>
        <v>0.39007328447701539</v>
      </c>
      <c r="Y7" s="1973">
        <f t="shared" si="10"/>
        <v>0.41024229074889873</v>
      </c>
      <c r="Z7" s="1974">
        <f t="shared" si="10"/>
        <v>0.51700680272108834</v>
      </c>
      <c r="AA7" s="1972">
        <f t="shared" si="10"/>
        <v>0.69606598984771573</v>
      </c>
      <c r="AB7" s="1972">
        <f t="shared" si="10"/>
        <v>0.34962856458183533</v>
      </c>
      <c r="AC7" s="1973">
        <f t="shared" si="10"/>
        <v>-5.7399453338539685E-2</v>
      </c>
      <c r="AD7" s="2043">
        <f t="shared" si="10"/>
        <v>0.29397110114598912</v>
      </c>
      <c r="AE7" s="1972">
        <f t="shared" si="10"/>
        <v>0.13767302656191549</v>
      </c>
      <c r="AF7" s="1872">
        <f t="shared" si="10"/>
        <v>6.8536931818182101E-2</v>
      </c>
      <c r="AG7" s="2044">
        <f>IF(ISERROR(AG6/AC6-1),"NA",AG6/AC6-1)</f>
        <v>0.12344656172328095</v>
      </c>
      <c r="AH7" s="2043">
        <f t="shared" si="10"/>
        <v>0.14670773969965345</v>
      </c>
      <c r="AI7" s="1872">
        <f t="shared" si="10"/>
        <v>0.11344952318316337</v>
      </c>
      <c r="AJ7" s="1872">
        <f t="shared" si="10"/>
        <v>0.11947490860751064</v>
      </c>
      <c r="AK7" s="2044">
        <f t="shared" si="10"/>
        <v>0.17404129793510337</v>
      </c>
      <c r="AL7" s="2043">
        <f t="shared" si="10"/>
        <v>0.10241773002014765</v>
      </c>
      <c r="AM7" s="1872">
        <f t="shared" si="10"/>
        <v>0.1704075605434141</v>
      </c>
      <c r="AN7" s="1872">
        <f t="shared" si="10"/>
        <v>0.15095739943595077</v>
      </c>
      <c r="AO7" s="2044">
        <f t="shared" si="10"/>
        <v>0.20320351758793942</v>
      </c>
      <c r="AP7" s="2043">
        <f t="shared" si="10"/>
        <v>0.18336886993603407</v>
      </c>
      <c r="AQ7" s="1872">
        <f t="shared" si="10"/>
        <v>0.1736058541508958</v>
      </c>
      <c r="AR7" s="1872">
        <f t="shared" ref="AR7" si="11">IF(ISERROR(AR6/AN6-1),"NA",AR6/AN6-1)</f>
        <v>9.4734330668042155E-2</v>
      </c>
      <c r="AS7" s="2044">
        <f t="shared" ref="AS7" si="12">IF(ISERROR(AS6/AO6-1),"NA",AS6/AO6-1)</f>
        <v>0.110056773688332</v>
      </c>
      <c r="AT7" s="2043">
        <f t="shared" ref="AT7" si="13">IF(ISERROR(AT6/AP6-1),"NA",AT6/AP6-1)</f>
        <v>0.13701415701415698</v>
      </c>
      <c r="AU7" s="1872">
        <f t="shared" ref="AU7" si="14">IF(ISERROR(AU6/AQ6-1),"NA",AU6/AQ6-1)</f>
        <v>0.13981834239958935</v>
      </c>
      <c r="AV7" s="1872">
        <f t="shared" ref="AV7" si="15">IF(ISERROR(AV6/AR6-1),"NA",AV6/AR6-1)</f>
        <v>9.5975852020167007E-2</v>
      </c>
      <c r="AW7" s="2044">
        <f t="shared" ref="AW7" si="16">IF(ISERROR(AW6/AS6-1),"NA",AW6/AS6-1)</f>
        <v>0.11589228474957691</v>
      </c>
      <c r="AX7" s="2043">
        <f t="shared" ref="AX7" si="17">IF(ISERROR(AX6/AT6-1),"NA",AX6/AT6-1)</f>
        <v>0.12703039130419946</v>
      </c>
      <c r="AY7" s="1872">
        <f t="shared" ref="AY7" si="18">IF(ISERROR(AY6/AU6-1),"NA",AY6/AU6-1)</f>
        <v>0.13614582507031203</v>
      </c>
      <c r="AZ7" s="1872">
        <f t="shared" ref="AZ7" si="19">IF(ISERROR(AZ6/AV6-1),"NA",AZ6/AV6-1)</f>
        <v>0.10040521406941405</v>
      </c>
      <c r="BA7" s="2044">
        <f t="shared" ref="BA7" si="20">IF(ISERROR(BA6/AW6-1),"NA",BA6/AW6-1)</f>
        <v>0.12378070302717514</v>
      </c>
      <c r="BC7" s="1980"/>
      <c r="BD7" s="1977" t="str">
        <f t="shared" ref="BD7:BP7" si="21">IF(ISERROR(BD6/BC6-1),"NA",BD6/BC6-1)</f>
        <v>NA</v>
      </c>
      <c r="BE7" s="1977">
        <f t="shared" si="21"/>
        <v>0.10289731572219862</v>
      </c>
      <c r="BF7" s="1977">
        <f t="shared" si="21"/>
        <v>0.16380142939926601</v>
      </c>
      <c r="BG7" s="1977">
        <f t="shared" si="21"/>
        <v>0.12597510373443987</v>
      </c>
      <c r="BH7" s="1977">
        <f t="shared" si="21"/>
        <v>0.13192806603773577</v>
      </c>
      <c r="BI7" s="1977">
        <f t="shared" si="21"/>
        <v>0.25446021617398107</v>
      </c>
      <c r="BJ7" s="1981">
        <f t="shared" si="21"/>
        <v>0.32108377452507009</v>
      </c>
      <c r="BK7" s="1981">
        <f t="shared" si="21"/>
        <v>0.1290271884331291</v>
      </c>
      <c r="BL7" s="1981">
        <f t="shared" si="21"/>
        <v>0.13342149220489974</v>
      </c>
      <c r="BM7" s="1981">
        <f t="shared" si="21"/>
        <v>0.15634019035922631</v>
      </c>
      <c r="BN7" s="2046">
        <f t="shared" si="21"/>
        <v>0.12990268705857355</v>
      </c>
      <c r="BO7" s="2046">
        <f t="shared" si="21"/>
        <v>0.11703324960193662</v>
      </c>
      <c r="BP7" s="2046">
        <f t="shared" si="21"/>
        <v>0.11799282604079897</v>
      </c>
      <c r="BR7" s="2047"/>
      <c r="BS7" s="2047"/>
      <c r="BT7" s="2047"/>
      <c r="BU7" s="1262"/>
    </row>
    <row r="8" spans="1:73" s="304" customFormat="1" ht="11.65" hidden="1" customHeight="1" outlineLevel="1">
      <c r="A8" s="1548" t="s">
        <v>664</v>
      </c>
      <c r="B8" s="1851"/>
      <c r="C8" s="1701"/>
      <c r="D8" s="1701"/>
      <c r="E8" s="1702"/>
      <c r="F8" s="1701"/>
      <c r="G8" s="1701"/>
      <c r="H8" s="1701"/>
      <c r="I8" s="1702"/>
      <c r="J8" s="1701"/>
      <c r="K8" s="1701"/>
      <c r="L8" s="1701"/>
      <c r="M8" s="1702"/>
      <c r="N8" s="1851"/>
      <c r="O8" s="1851"/>
      <c r="P8" s="1851"/>
      <c r="Q8" s="1852"/>
      <c r="R8" s="1851"/>
      <c r="S8" s="1569"/>
      <c r="T8" s="1569"/>
      <c r="U8" s="1570"/>
      <c r="V8" s="1813">
        <f>V6-R6</f>
        <v>158</v>
      </c>
      <c r="W8" s="1813">
        <f t="shared" ref="W8" si="22">W6-S6</f>
        <v>-120</v>
      </c>
      <c r="X8" s="1813">
        <f t="shared" ref="X8" si="23">X6-T6</f>
        <v>1171</v>
      </c>
      <c r="Y8" s="1810">
        <f t="shared" ref="Y8" si="24">Y6-U6</f>
        <v>745</v>
      </c>
      <c r="Z8" s="1813">
        <f>Z6-V6</f>
        <v>684</v>
      </c>
      <c r="AA8" s="1813">
        <f t="shared" ref="AA8" si="25">AA6-W6</f>
        <v>1097</v>
      </c>
      <c r="AB8" s="1813">
        <f t="shared" ref="AB8" si="26">AB6-X6</f>
        <v>1458.9999999999991</v>
      </c>
      <c r="AC8" s="1810">
        <f t="shared" ref="AC8" si="27">AC6-Y6</f>
        <v>-147</v>
      </c>
      <c r="AD8" s="1813">
        <f>AD6-Z6</f>
        <v>590</v>
      </c>
      <c r="AE8" s="1813">
        <f t="shared" ref="AE8" si="28">AE6-AA6</f>
        <v>368</v>
      </c>
      <c r="AF8" s="1813">
        <f t="shared" ref="AF8" si="29">AF6-AB6</f>
        <v>386.00000000000091</v>
      </c>
      <c r="AG8" s="1810">
        <f t="shared" ref="AG8" si="30">AG6-AC6</f>
        <v>298</v>
      </c>
      <c r="AH8" s="1813">
        <f t="shared" ref="AH8" si="31">AH6-AD6</f>
        <v>381</v>
      </c>
      <c r="AI8" s="1813">
        <f t="shared" ref="AI8" si="32">AI6-AE6</f>
        <v>345</v>
      </c>
      <c r="AJ8" s="1813">
        <f t="shared" ref="AJ8" si="33">AJ6-AF6</f>
        <v>718.99999999999909</v>
      </c>
      <c r="AK8" s="1810">
        <f t="shared" ref="AK8" si="34">AK6-AG6</f>
        <v>472.00000000000045</v>
      </c>
      <c r="AL8" s="1813">
        <f t="shared" ref="AL8" si="35">AL6-AH6</f>
        <v>305</v>
      </c>
      <c r="AM8" s="1813">
        <f t="shared" ref="AM8" si="36">AM6-AI6</f>
        <v>577</v>
      </c>
      <c r="AN8" s="1825">
        <f t="shared" ref="AN8" si="37">AN6-AJ6</f>
        <v>1017.0000000000009</v>
      </c>
      <c r="AO8" s="1826">
        <f t="shared" ref="AO8:AQ8" si="38">AO6-AK6</f>
        <v>646.99999999999955</v>
      </c>
      <c r="AP8" s="1813">
        <f t="shared" si="38"/>
        <v>602</v>
      </c>
      <c r="AQ8" s="1813">
        <f t="shared" si="38"/>
        <v>688</v>
      </c>
      <c r="AR8" s="1825">
        <f t="shared" ref="AR8" si="39">AR6-AN6</f>
        <v>734.56999999999971</v>
      </c>
      <c r="AS8" s="1826">
        <f t="shared" ref="AS8" si="40">AS6-AO6</f>
        <v>421.6274999999996</v>
      </c>
      <c r="AT8" s="1825">
        <f t="shared" ref="AT8" si="41">AT6-AP6</f>
        <v>532.30000000000018</v>
      </c>
      <c r="AU8" s="1825">
        <f t="shared" ref="AU8" si="42">AU6-AQ6</f>
        <v>650.29511050049041</v>
      </c>
      <c r="AV8" s="1825">
        <f t="shared" ref="AV8" si="43">AV6-AR6</f>
        <v>814.6977381828292</v>
      </c>
      <c r="AW8" s="1826">
        <f t="shared" ref="AW8" si="44">AW6-AS6</f>
        <v>492.84671716388129</v>
      </c>
      <c r="AX8" s="1825">
        <f t="shared" ref="AX8" si="45">AX6-AT6</f>
        <v>561.13134750804056</v>
      </c>
      <c r="AY8" s="1825">
        <f t="shared" ref="AY8" si="46">AY6-AU6</f>
        <v>721.74919676030004</v>
      </c>
      <c r="AZ8" s="1825">
        <f t="shared" ref="AZ8" si="47">AZ6-AV6</f>
        <v>934.09658879731978</v>
      </c>
      <c r="BA8" s="1826">
        <f t="shared" ref="BA8" si="48">BA6-AW6</f>
        <v>587.39813479787881</v>
      </c>
      <c r="BB8" s="1799"/>
      <c r="BC8" s="1805"/>
      <c r="BD8" s="1805"/>
      <c r="BE8" s="1805"/>
      <c r="BF8" s="1805"/>
      <c r="BG8" s="1805"/>
      <c r="BH8" s="1805"/>
      <c r="BI8" s="1805"/>
      <c r="BJ8" s="1764">
        <f>BJ6-BI6</f>
        <v>3093</v>
      </c>
      <c r="BK8" s="1764">
        <f t="shared" ref="BK8" si="49">BK6-BJ6</f>
        <v>1642</v>
      </c>
      <c r="BL8" s="1764">
        <f t="shared" ref="BL8" si="50">BL6-BK6</f>
        <v>1917</v>
      </c>
      <c r="BM8" s="1764">
        <f t="shared" ref="BM8" si="51">BM6-BL6</f>
        <v>2546</v>
      </c>
      <c r="BN8" s="1764">
        <f t="shared" ref="BN8" si="52">BN6-BM6</f>
        <v>2446.1974999999984</v>
      </c>
      <c r="BO8" s="1764">
        <f t="shared" ref="BO8" si="53">BO6-BN6</f>
        <v>2490.1395658471993</v>
      </c>
      <c r="BP8" s="1764">
        <f t="shared" ref="BP8" si="54">BP6-BO6</f>
        <v>2804.3752678635392</v>
      </c>
      <c r="BR8" s="1483"/>
      <c r="BS8" s="1483"/>
      <c r="BT8" s="1483"/>
      <c r="BU8" s="1672"/>
    </row>
    <row r="9" spans="1:73" s="2045" customFormat="1" ht="12" customHeight="1" collapsed="1">
      <c r="A9" s="2054" t="s">
        <v>291</v>
      </c>
      <c r="B9" s="1972" t="str">
        <f t="shared" ref="B9:AQ9" si="55">IF(ISERROR(B6/A6-1),"NA",B6/A6-1)</f>
        <v>NA</v>
      </c>
      <c r="C9" s="1972">
        <f t="shared" si="55"/>
        <v>0.29453015427769991</v>
      </c>
      <c r="D9" s="1972">
        <f t="shared" si="55"/>
        <v>1.4962080173347778</v>
      </c>
      <c r="E9" s="1973">
        <f t="shared" si="55"/>
        <v>-0.67274305555555558</v>
      </c>
      <c r="F9" s="2042">
        <f t="shared" si="55"/>
        <v>3.1830238726790361E-2</v>
      </c>
      <c r="G9" s="1972">
        <f t="shared" si="55"/>
        <v>0.3059125964010283</v>
      </c>
      <c r="H9" s="1972">
        <f t="shared" si="55"/>
        <v>1.5009842519685042</v>
      </c>
      <c r="I9" s="1973">
        <f t="shared" si="55"/>
        <v>-0.66863439590712326</v>
      </c>
      <c r="J9" s="2042">
        <f t="shared" si="55"/>
        <v>8.0760095011876532E-2</v>
      </c>
      <c r="K9" s="1972">
        <f t="shared" si="55"/>
        <v>0.47142857142857153</v>
      </c>
      <c r="L9" s="1972">
        <f t="shared" si="55"/>
        <v>1.174757281553398</v>
      </c>
      <c r="M9" s="1973">
        <f t="shared" si="55"/>
        <v>-0.70329670329670324</v>
      </c>
      <c r="N9" s="2042">
        <f t="shared" si="55"/>
        <v>0.17592592592592582</v>
      </c>
      <c r="O9" s="1972">
        <f t="shared" si="55"/>
        <v>0.47834645669291342</v>
      </c>
      <c r="P9" s="1972">
        <f t="shared" si="55"/>
        <v>1.1784287616511318</v>
      </c>
      <c r="Q9" s="1973">
        <f t="shared" si="55"/>
        <v>-0.69621026894865523</v>
      </c>
      <c r="R9" s="2042">
        <f t="shared" si="55"/>
        <v>0.17203219315895368</v>
      </c>
      <c r="S9" s="1972">
        <f t="shared" si="55"/>
        <v>0.45579399141630894</v>
      </c>
      <c r="T9" s="1972">
        <f t="shared" si="55"/>
        <v>0.77004716981132071</v>
      </c>
      <c r="U9" s="1973">
        <f t="shared" si="55"/>
        <v>-0.39506995336442374</v>
      </c>
      <c r="V9" s="2042">
        <f t="shared" si="55"/>
        <v>-0.2714757709251101</v>
      </c>
      <c r="W9" s="1972">
        <f t="shared" si="55"/>
        <v>0.19123204837490548</v>
      </c>
      <c r="X9" s="1972">
        <f t="shared" si="55"/>
        <v>1.6478426395939088</v>
      </c>
      <c r="Y9" s="1973">
        <f t="shared" si="55"/>
        <v>-0.38629283489096577</v>
      </c>
      <c r="Z9" s="1974">
        <f t="shared" si="55"/>
        <v>-0.21632174931667314</v>
      </c>
      <c r="AA9" s="1972">
        <f t="shared" si="55"/>
        <v>0.33183856502242159</v>
      </c>
      <c r="AB9" s="1972">
        <f t="shared" si="55"/>
        <v>1.1069958847736623</v>
      </c>
      <c r="AC9" s="1973">
        <f t="shared" si="55"/>
        <v>-0.57137784090909083</v>
      </c>
      <c r="AD9" s="2042">
        <f t="shared" si="55"/>
        <v>7.5807787903893864E-2</v>
      </c>
      <c r="AE9" s="1972">
        <f t="shared" si="55"/>
        <v>0.17096649980747025</v>
      </c>
      <c r="AF9" s="1972">
        <f t="shared" si="55"/>
        <v>0.978954291351529</v>
      </c>
      <c r="AG9" s="1973">
        <f t="shared" si="55"/>
        <v>-0.54935194416749744</v>
      </c>
      <c r="AH9" s="2042">
        <f t="shared" si="55"/>
        <v>9.8082595870206513E-2</v>
      </c>
      <c r="AI9" s="1972">
        <f t="shared" si="55"/>
        <v>0.13700470114170593</v>
      </c>
      <c r="AJ9" s="1972">
        <f t="shared" si="55"/>
        <v>0.98966331955109244</v>
      </c>
      <c r="AK9" s="1973">
        <f t="shared" si="55"/>
        <v>-0.52738607688882277</v>
      </c>
      <c r="AL9" s="2042">
        <f t="shared" si="55"/>
        <v>3.1092964824120495E-2</v>
      </c>
      <c r="AM9" s="1972">
        <f t="shared" si="55"/>
        <v>0.20712762717027111</v>
      </c>
      <c r="AN9" s="1972">
        <f t="shared" si="55"/>
        <v>0.95659853646227599</v>
      </c>
      <c r="AO9" s="1973">
        <f t="shared" si="55"/>
        <v>-0.50593242197575439</v>
      </c>
      <c r="AP9" s="2042">
        <f t="shared" si="55"/>
        <v>1.4095536413469167E-2</v>
      </c>
      <c r="AQ9" s="1972">
        <f t="shared" si="55"/>
        <v>0.19716859716859725</v>
      </c>
      <c r="AR9" s="1972">
        <f t="shared" ref="AR9" si="56">IF(ISERROR(AR6/AQ6-1),"NA",AR6/AQ6-1)</f>
        <v>0.82510642872500539</v>
      </c>
      <c r="AS9" s="1973">
        <f t="shared" ref="AS9" si="57">IF(ISERROR(AS6/AR6-1),"NA",AS6/AR6-1)</f>
        <v>-0.49901720784537329</v>
      </c>
      <c r="AT9" s="2042">
        <f t="shared" ref="AT9" si="58">IF(ISERROR(AT6/AS6-1),"NA",AT6/AS6-1)</f>
        <v>3.8722530952922884E-2</v>
      </c>
      <c r="AU9" s="1972">
        <f t="shared" ref="AU9" si="59">IF(ISERROR(AU6/AT6-1),"NA",AU6/AT6-1)</f>
        <v>0.20012113972347145</v>
      </c>
      <c r="AV9" s="1972">
        <f t="shared" ref="AV9" si="60">IF(ISERROR(AV6/AU6-1),"NA",AV6/AU6-1)</f>
        <v>0.75490470616424821</v>
      </c>
      <c r="AW9" s="1973">
        <f t="shared" ref="AW9" si="61">IF(ISERROR(AW6/AV6-1),"NA",AW6/AV6-1)</f>
        <v>-0.48991318419362229</v>
      </c>
      <c r="AX9" s="2042">
        <f t="shared" ref="AX9" si="62">IF(ISERROR(AX6/AW6-1),"NA",AX6/AW6-1)</f>
        <v>4.9090379524469485E-2</v>
      </c>
      <c r="AY9" s="1972">
        <f t="shared" ref="AY9" si="63">IF(ISERROR(AY6/AX6-1),"NA",AY6/AX6-1)</f>
        <v>0.20982773223851559</v>
      </c>
      <c r="AZ9" s="1972">
        <f t="shared" ref="AZ9" si="64">IF(ISERROR(AZ6/AY6-1),"NA",AZ6/AY6-1)</f>
        <v>0.69969932225784692</v>
      </c>
      <c r="BA9" s="1973">
        <f t="shared" ref="BA9" si="65">IF(ISERROR(BA6/AZ6-1),"NA",BA6/AZ6-1)</f>
        <v>-0.47907760419279055</v>
      </c>
      <c r="BB9" s="2048"/>
      <c r="BC9" s="1980"/>
      <c r="BD9" s="1980" t="s">
        <v>366</v>
      </c>
      <c r="BE9" s="1980" t="s">
        <v>366</v>
      </c>
      <c r="BF9" s="1980" t="s">
        <v>366</v>
      </c>
      <c r="BG9" s="1981" t="s">
        <v>366</v>
      </c>
      <c r="BH9" s="1981" t="s">
        <v>366</v>
      </c>
      <c r="BI9" s="1980" t="s">
        <v>366</v>
      </c>
      <c r="BJ9" s="1980" t="s">
        <v>366</v>
      </c>
      <c r="BK9" s="1980" t="s">
        <v>366</v>
      </c>
      <c r="BL9" s="1980" t="s">
        <v>366</v>
      </c>
      <c r="BM9" s="1980" t="s">
        <v>366</v>
      </c>
      <c r="BN9" s="2049" t="s">
        <v>366</v>
      </c>
      <c r="BO9" s="2049" t="s">
        <v>366</v>
      </c>
      <c r="BP9" s="2049" t="s">
        <v>366</v>
      </c>
      <c r="BR9" s="2047"/>
      <c r="BS9" s="2047"/>
      <c r="BT9" s="2047"/>
      <c r="BU9" s="1262"/>
    </row>
    <row r="10" spans="1:73" s="1881" customFormat="1" ht="11.65" customHeight="1">
      <c r="A10" s="1548" t="s">
        <v>668</v>
      </c>
      <c r="B10" s="836"/>
      <c r="C10" s="837"/>
      <c r="D10" s="837"/>
      <c r="E10" s="838"/>
      <c r="F10" s="837"/>
      <c r="G10" s="837"/>
      <c r="H10" s="837"/>
      <c r="I10" s="838"/>
      <c r="J10" s="837"/>
      <c r="K10" s="837"/>
      <c r="L10" s="837"/>
      <c r="M10" s="838"/>
      <c r="N10" s="836"/>
      <c r="O10" s="836"/>
      <c r="P10" s="836"/>
      <c r="Q10" s="1041"/>
      <c r="R10" s="836"/>
      <c r="S10" s="1720"/>
      <c r="T10" s="1720"/>
      <c r="U10" s="1721"/>
      <c r="V10" s="1847">
        <f t="shared" ref="V10:BA10" si="66">V6-U6</f>
        <v>-493</v>
      </c>
      <c r="W10" s="1847">
        <f t="shared" si="66"/>
        <v>253</v>
      </c>
      <c r="X10" s="1847">
        <f t="shared" si="66"/>
        <v>2597</v>
      </c>
      <c r="Y10" s="1848">
        <f t="shared" si="66"/>
        <v>-1612</v>
      </c>
      <c r="Z10" s="1847">
        <f t="shared" si="66"/>
        <v>-554</v>
      </c>
      <c r="AA10" s="1847">
        <f t="shared" si="66"/>
        <v>666</v>
      </c>
      <c r="AB10" s="1847">
        <f t="shared" si="66"/>
        <v>2958.9999999999991</v>
      </c>
      <c r="AC10" s="1848">
        <f t="shared" si="66"/>
        <v>-3217.9999999999991</v>
      </c>
      <c r="AD10" s="1847">
        <f t="shared" si="66"/>
        <v>183</v>
      </c>
      <c r="AE10" s="1847">
        <f t="shared" si="66"/>
        <v>444</v>
      </c>
      <c r="AF10" s="1847">
        <f t="shared" si="66"/>
        <v>2977</v>
      </c>
      <c r="AG10" s="1848">
        <f t="shared" si="66"/>
        <v>-3306</v>
      </c>
      <c r="AH10" s="2050">
        <f t="shared" si="66"/>
        <v>266</v>
      </c>
      <c r="AI10" s="2050">
        <f t="shared" si="66"/>
        <v>408</v>
      </c>
      <c r="AJ10" s="2050">
        <f t="shared" si="66"/>
        <v>3350.9999999999991</v>
      </c>
      <c r="AK10" s="2051">
        <f t="shared" si="66"/>
        <v>-3552.9999999999986</v>
      </c>
      <c r="AL10" s="2050">
        <f t="shared" si="66"/>
        <v>98.999999999999545</v>
      </c>
      <c r="AM10" s="2050">
        <f t="shared" si="66"/>
        <v>680</v>
      </c>
      <c r="AN10" s="2050">
        <f t="shared" si="66"/>
        <v>3791</v>
      </c>
      <c r="AO10" s="2051">
        <f t="shared" si="66"/>
        <v>-3923</v>
      </c>
      <c r="AP10" s="2050">
        <f t="shared" si="66"/>
        <v>54</v>
      </c>
      <c r="AQ10" s="2050">
        <f t="shared" si="66"/>
        <v>766</v>
      </c>
      <c r="AR10" s="2052">
        <f t="shared" si="66"/>
        <v>3837.5699999999997</v>
      </c>
      <c r="AS10" s="2053">
        <f t="shared" si="66"/>
        <v>-4235.9425000000001</v>
      </c>
      <c r="AT10" s="2052">
        <f t="shared" si="66"/>
        <v>164.67250000000058</v>
      </c>
      <c r="AU10" s="2052">
        <f t="shared" si="66"/>
        <v>883.99511050049023</v>
      </c>
      <c r="AV10" s="2052">
        <f t="shared" si="66"/>
        <v>4001.9726276823385</v>
      </c>
      <c r="AW10" s="2053">
        <f t="shared" si="66"/>
        <v>-4557.793521018948</v>
      </c>
      <c r="AX10" s="1849">
        <f t="shared" si="66"/>
        <v>232.95713034415985</v>
      </c>
      <c r="AY10" s="1849">
        <f t="shared" si="66"/>
        <v>1044.6129597527497</v>
      </c>
      <c r="AZ10" s="1849">
        <f t="shared" si="66"/>
        <v>4214.3200197193582</v>
      </c>
      <c r="BA10" s="1850">
        <f t="shared" si="66"/>
        <v>-4904.491975018389</v>
      </c>
      <c r="BB10" s="1803"/>
      <c r="BC10" s="1674"/>
      <c r="BD10" s="1674"/>
      <c r="BE10" s="1674"/>
      <c r="BF10" s="1674"/>
      <c r="BG10" s="1674"/>
      <c r="BH10" s="1674"/>
      <c r="BI10" s="1809" t="s">
        <v>670</v>
      </c>
      <c r="BJ10" s="1867" t="s">
        <v>670</v>
      </c>
      <c r="BK10" s="1809" t="s">
        <v>670</v>
      </c>
      <c r="BL10" s="1809" t="s">
        <v>670</v>
      </c>
      <c r="BM10" s="1808" t="s">
        <v>670</v>
      </c>
      <c r="BN10" s="1808" t="s">
        <v>670</v>
      </c>
      <c r="BO10" s="1808" t="s">
        <v>670</v>
      </c>
      <c r="BP10" s="1808" t="s">
        <v>670</v>
      </c>
      <c r="BR10" s="1882"/>
      <c r="BS10" s="1882"/>
      <c r="BT10" s="1882"/>
      <c r="BU10" s="1724"/>
    </row>
    <row r="11" spans="1:73" s="988" customFormat="1" ht="12" customHeight="1">
      <c r="A11" s="983"/>
      <c r="B11" s="990"/>
      <c r="C11" s="990">
        <v>45761</v>
      </c>
      <c r="D11" s="990"/>
      <c r="E11" s="991"/>
      <c r="F11" s="992"/>
      <c r="G11" s="990"/>
      <c r="H11" s="990"/>
      <c r="I11" s="991"/>
      <c r="J11" s="992"/>
      <c r="K11" s="990"/>
      <c r="L11" s="990"/>
      <c r="M11" s="991"/>
      <c r="N11" s="992"/>
      <c r="O11" s="990"/>
      <c r="P11" s="990"/>
      <c r="Q11" s="991"/>
      <c r="R11" s="992"/>
      <c r="S11" s="990"/>
      <c r="T11" s="990"/>
      <c r="U11" s="1078"/>
      <c r="V11" s="992"/>
      <c r="W11" s="990"/>
      <c r="X11" s="990"/>
      <c r="Y11" s="991"/>
      <c r="Z11" s="1271"/>
      <c r="AA11" s="995"/>
      <c r="AB11" s="995"/>
      <c r="AC11" s="995"/>
      <c r="AD11" s="996"/>
      <c r="AE11" s="994"/>
      <c r="AF11" s="994"/>
      <c r="AG11" s="993"/>
      <c r="AH11" s="996"/>
      <c r="AI11" s="994"/>
      <c r="AJ11" s="994"/>
      <c r="AK11" s="993"/>
      <c r="AL11" s="996"/>
      <c r="AM11" s="994"/>
      <c r="AN11" s="994"/>
      <c r="AO11" s="993"/>
      <c r="AP11" s="996"/>
      <c r="AQ11" s="994"/>
      <c r="AR11" s="994"/>
      <c r="AS11" s="993"/>
      <c r="AT11" s="996"/>
      <c r="AU11" s="994"/>
      <c r="AV11" s="994"/>
      <c r="AW11" s="993"/>
      <c r="AX11" s="996"/>
      <c r="AY11" s="994"/>
      <c r="AZ11" s="994"/>
      <c r="BA11" s="993"/>
      <c r="BB11" s="1140"/>
      <c r="BC11" s="989"/>
      <c r="BD11" s="989"/>
      <c r="BE11" s="989"/>
      <c r="BF11" s="989"/>
      <c r="BG11" s="841"/>
      <c r="BH11" s="841"/>
      <c r="BI11" s="981"/>
      <c r="BJ11" s="981"/>
      <c r="BK11" s="981"/>
      <c r="BL11" s="981"/>
      <c r="BM11" s="981"/>
      <c r="BN11" s="1365"/>
      <c r="BO11" s="1365"/>
      <c r="BP11" s="1365"/>
      <c r="BR11" s="1428"/>
      <c r="BS11" s="1428"/>
      <c r="BT11" s="1428"/>
      <c r="BU11" s="1262"/>
    </row>
    <row r="12" spans="1:73" s="861" customFormat="1" ht="12" customHeight="1">
      <c r="A12" s="2020" t="s">
        <v>367</v>
      </c>
      <c r="B12" s="2021"/>
      <c r="C12" s="2022"/>
      <c r="D12" s="2022"/>
      <c r="E12" s="2023"/>
      <c r="F12" s="2021"/>
      <c r="G12" s="2022"/>
      <c r="H12" s="2022"/>
      <c r="I12" s="2022"/>
      <c r="J12" s="2024"/>
      <c r="K12" s="2022"/>
      <c r="L12" s="2022"/>
      <c r="M12" s="2023"/>
      <c r="N12" s="2025"/>
      <c r="O12" s="2022"/>
      <c r="P12" s="2022"/>
      <c r="Q12" s="2023"/>
      <c r="R12" s="2022"/>
      <c r="S12" s="2022"/>
      <c r="T12" s="2022"/>
      <c r="U12" s="2022"/>
      <c r="V12" s="2026"/>
      <c r="W12" s="2022"/>
      <c r="X12" s="2022"/>
      <c r="Y12" s="2023"/>
      <c r="Z12" s="2027"/>
      <c r="AA12" s="2022"/>
      <c r="AB12" s="2022"/>
      <c r="AC12" s="2023"/>
      <c r="AD12" s="2022"/>
      <c r="AE12" s="2022"/>
      <c r="AF12" s="2022"/>
      <c r="AG12" s="2023"/>
      <c r="AH12" s="2022"/>
      <c r="AI12" s="2022"/>
      <c r="AJ12" s="2022"/>
      <c r="AK12" s="2023"/>
      <c r="AL12" s="2022"/>
      <c r="AM12" s="2022"/>
      <c r="AN12" s="2022"/>
      <c r="AO12" s="2023"/>
      <c r="AP12" s="2022"/>
      <c r="AQ12" s="2022"/>
      <c r="AR12" s="2022"/>
      <c r="AS12" s="2023"/>
      <c r="AT12" s="2022"/>
      <c r="AU12" s="2022"/>
      <c r="AV12" s="2022"/>
      <c r="AW12" s="2023"/>
      <c r="AX12" s="2022"/>
      <c r="AY12" s="2022"/>
      <c r="AZ12" s="2022"/>
      <c r="BA12" s="2023"/>
      <c r="BB12" s="1141"/>
      <c r="BC12" s="1001"/>
      <c r="BD12" s="1001"/>
      <c r="BE12" s="1001"/>
      <c r="BF12" s="1001"/>
      <c r="BG12" s="1001"/>
      <c r="BH12" s="1001"/>
      <c r="BI12" s="2028"/>
      <c r="BJ12" s="2028"/>
      <c r="BK12" s="2028"/>
      <c r="BL12" s="2028"/>
      <c r="BM12" s="2028"/>
      <c r="BN12" s="2029"/>
      <c r="BO12" s="2029"/>
      <c r="BP12" s="2029"/>
      <c r="BR12" s="1404"/>
      <c r="BS12" s="1404"/>
      <c r="BT12" s="1404"/>
      <c r="BU12" s="1262"/>
    </row>
    <row r="13" spans="1:73" s="492" customFormat="1" ht="12" customHeight="1">
      <c r="A13" s="1002" t="s">
        <v>66</v>
      </c>
      <c r="B13" s="1058">
        <v>271</v>
      </c>
      <c r="C13" s="1058">
        <v>264</v>
      </c>
      <c r="D13" s="1058">
        <v>459</v>
      </c>
      <c r="E13" s="1059">
        <v>295</v>
      </c>
      <c r="F13" s="1058">
        <v>297</v>
      </c>
      <c r="G13" s="1058">
        <v>299</v>
      </c>
      <c r="H13" s="1058">
        <v>467</v>
      </c>
      <c r="I13" s="1059">
        <v>313</v>
      </c>
      <c r="J13" s="1058">
        <f t="shared" ref="J13:W13" si="67">+J154+J185+J212</f>
        <v>370</v>
      </c>
      <c r="K13" s="1058">
        <f t="shared" si="67"/>
        <v>529</v>
      </c>
      <c r="L13" s="1058">
        <f t="shared" si="67"/>
        <v>479</v>
      </c>
      <c r="M13" s="1059">
        <f t="shared" si="67"/>
        <v>246</v>
      </c>
      <c r="N13" s="1058">
        <f t="shared" si="67"/>
        <v>347</v>
      </c>
      <c r="O13" s="1058">
        <f t="shared" si="67"/>
        <v>533</v>
      </c>
      <c r="P13" s="1058">
        <f t="shared" si="67"/>
        <v>498</v>
      </c>
      <c r="Q13" s="1059">
        <f t="shared" si="67"/>
        <v>245</v>
      </c>
      <c r="R13" s="1058">
        <f t="shared" si="67"/>
        <v>353</v>
      </c>
      <c r="S13" s="1058">
        <f t="shared" si="67"/>
        <v>545</v>
      </c>
      <c r="T13" s="1058">
        <f t="shared" si="67"/>
        <v>443</v>
      </c>
      <c r="U13" s="1059">
        <f t="shared" si="67"/>
        <v>294</v>
      </c>
      <c r="V13" s="1138">
        <f t="shared" si="67"/>
        <v>367</v>
      </c>
      <c r="W13" s="1138">
        <f t="shared" si="67"/>
        <v>495</v>
      </c>
      <c r="X13" s="1989">
        <f t="shared" ref="X13:AO13" si="68">+X185+X212+X154</f>
        <v>533</v>
      </c>
      <c r="Y13" s="1990">
        <f t="shared" si="68"/>
        <v>314</v>
      </c>
      <c r="Z13" s="1991">
        <f t="shared" si="68"/>
        <v>410.56521739130437</v>
      </c>
      <c r="AA13" s="1989">
        <f t="shared" si="68"/>
        <v>658.54465730956417</v>
      </c>
      <c r="AB13" s="1989">
        <f t="shared" si="68"/>
        <v>674.48676827992699</v>
      </c>
      <c r="AC13" s="1990">
        <f t="shared" si="68"/>
        <v>362.8955446020928</v>
      </c>
      <c r="AD13" s="1989">
        <f t="shared" si="68"/>
        <v>543.97995714384456</v>
      </c>
      <c r="AE13" s="1989">
        <f t="shared" si="68"/>
        <v>701.47606011445691</v>
      </c>
      <c r="AF13" s="1989">
        <f t="shared" si="68"/>
        <v>721.72771564711684</v>
      </c>
      <c r="AG13" s="1990">
        <f t="shared" si="68"/>
        <v>413.15075663121019</v>
      </c>
      <c r="AH13" s="1989">
        <f t="shared" si="68"/>
        <v>536.8730434782608</v>
      </c>
      <c r="AI13" s="1989">
        <f t="shared" si="68"/>
        <v>693.06</v>
      </c>
      <c r="AJ13" s="1989">
        <f t="shared" si="68"/>
        <v>788.34115017082627</v>
      </c>
      <c r="AK13" s="1990">
        <f t="shared" si="68"/>
        <v>465.75060059051776</v>
      </c>
      <c r="AL13" s="1989">
        <f t="shared" si="68"/>
        <v>394.15</v>
      </c>
      <c r="AM13" s="1989">
        <f t="shared" si="68"/>
        <v>714.01749999999993</v>
      </c>
      <c r="AN13" s="1989">
        <f t="shared" si="68"/>
        <v>782.79960000000005</v>
      </c>
      <c r="AO13" s="1990">
        <f t="shared" si="68"/>
        <v>540.03899999999999</v>
      </c>
      <c r="AP13" s="1989">
        <f t="shared" ref="AP13:AR13" si="69">+AP185+AP212+AP154</f>
        <v>387.77</v>
      </c>
      <c r="AQ13" s="1989">
        <f t="shared" si="69"/>
        <v>778.71</v>
      </c>
      <c r="AR13" s="1060">
        <f t="shared" si="69"/>
        <v>829.88966593021132</v>
      </c>
      <c r="AS13" s="1061">
        <f>+AS185+AS212+AS154</f>
        <v>570.54144427001768</v>
      </c>
      <c r="AT13" s="1060">
        <f t="shared" ref="AT13:BA13" si="70">+AT185+AT212+AT154</f>
        <v>414.46111267724746</v>
      </c>
      <c r="AU13" s="1060">
        <f t="shared" si="70"/>
        <v>832.26616481593214</v>
      </c>
      <c r="AV13" s="1060">
        <f t="shared" si="70"/>
        <v>878.6113665855263</v>
      </c>
      <c r="AW13" s="1061">
        <f t="shared" si="70"/>
        <v>604.8570505287322</v>
      </c>
      <c r="AX13" s="1060">
        <f t="shared" si="70"/>
        <v>433.93777180518026</v>
      </c>
      <c r="AY13" s="1060">
        <f t="shared" si="70"/>
        <v>882.88464954112123</v>
      </c>
      <c r="AZ13" s="1060">
        <f t="shared" si="70"/>
        <v>930.40244204660348</v>
      </c>
      <c r="BA13" s="1061">
        <f t="shared" si="70"/>
        <v>644.78225739012839</v>
      </c>
      <c r="BB13" s="1474"/>
      <c r="BC13" s="1475"/>
      <c r="BD13" s="1476">
        <f>SUM(B13:E13)</f>
        <v>1289</v>
      </c>
      <c r="BE13" s="1476">
        <f>SUM(F13:I13)</f>
        <v>1376</v>
      </c>
      <c r="BF13" s="1476">
        <f>SUM(J13:M13)</f>
        <v>1624</v>
      </c>
      <c r="BG13" s="1476">
        <f>SUM(N13:Q13)</f>
        <v>1623</v>
      </c>
      <c r="BH13" s="1476">
        <f>SUM(R13:U13)</f>
        <v>1635</v>
      </c>
      <c r="BI13" s="1476">
        <f>SUM(V13:Y13)</f>
        <v>1709</v>
      </c>
      <c r="BJ13" s="1476">
        <f>SUM(Z13:AC13)</f>
        <v>2106.4921875828886</v>
      </c>
      <c r="BK13" s="1083">
        <f>SUM(AD13:AG13)</f>
        <v>2380.3344895366286</v>
      </c>
      <c r="BL13" s="1083">
        <f>SUM(AH13:AK13)</f>
        <v>2484.0247942396049</v>
      </c>
      <c r="BM13" s="1083">
        <f>SUM(AL13:AO13)</f>
        <v>2431.0061000000001</v>
      </c>
      <c r="BN13" s="1364">
        <f>SUM(AP13:AS13)</f>
        <v>2566.9111102002289</v>
      </c>
      <c r="BO13" s="1364">
        <f>SUM(AT13:AW13)</f>
        <v>2730.1956946074379</v>
      </c>
      <c r="BP13" s="1364">
        <f>SUM(AX13:BA13)</f>
        <v>2892.0071207830333</v>
      </c>
      <c r="BR13" s="1429"/>
      <c r="BS13" s="1429"/>
      <c r="BT13" s="1429"/>
      <c r="BU13" s="1263"/>
    </row>
    <row r="14" spans="1:73" s="1007" customFormat="1" ht="12" customHeight="1">
      <c r="A14" s="1098" t="s">
        <v>368</v>
      </c>
      <c r="B14" s="984" t="str">
        <f t="shared" ref="B14:D14" si="71">IF(ISERROR(B13/#REF!-1),"NA",B13/#REF!-1)</f>
        <v>NA</v>
      </c>
      <c r="C14" s="984" t="str">
        <f t="shared" si="71"/>
        <v>NA</v>
      </c>
      <c r="D14" s="984" t="str">
        <f t="shared" si="71"/>
        <v>NA</v>
      </c>
      <c r="E14" s="985" t="str">
        <f t="shared" ref="E14:AQ14" si="72">IF(ISERROR(E13/A13-1),"NA",E13/A13-1)</f>
        <v>NA</v>
      </c>
      <c r="F14" s="986">
        <f t="shared" si="72"/>
        <v>9.5940959409594129E-2</v>
      </c>
      <c r="G14" s="984">
        <f t="shared" si="72"/>
        <v>0.13257575757575757</v>
      </c>
      <c r="H14" s="984">
        <f t="shared" si="72"/>
        <v>1.7429193899782147E-2</v>
      </c>
      <c r="I14" s="985">
        <f t="shared" si="72"/>
        <v>6.1016949152542299E-2</v>
      </c>
      <c r="J14" s="986">
        <f t="shared" si="72"/>
        <v>0.24579124579124589</v>
      </c>
      <c r="K14" s="984">
        <f t="shared" si="72"/>
        <v>0.76923076923076916</v>
      </c>
      <c r="L14" s="984">
        <f t="shared" si="72"/>
        <v>2.5695931477516032E-2</v>
      </c>
      <c r="M14" s="985">
        <f t="shared" si="72"/>
        <v>-0.21405750798722045</v>
      </c>
      <c r="N14" s="986">
        <f t="shared" si="72"/>
        <v>-6.2162162162162193E-2</v>
      </c>
      <c r="O14" s="984">
        <f t="shared" si="72"/>
        <v>7.5614366729679361E-3</v>
      </c>
      <c r="P14" s="984">
        <f t="shared" si="72"/>
        <v>3.9665970772442494E-2</v>
      </c>
      <c r="Q14" s="985">
        <f t="shared" si="72"/>
        <v>-4.0650406504064707E-3</v>
      </c>
      <c r="R14" s="984">
        <f t="shared" si="72"/>
        <v>1.7291066282420831E-2</v>
      </c>
      <c r="S14" s="984">
        <f t="shared" si="72"/>
        <v>2.2514071294559068E-2</v>
      </c>
      <c r="T14" s="984">
        <f t="shared" si="72"/>
        <v>-0.11044176706827313</v>
      </c>
      <c r="U14" s="985">
        <f t="shared" si="72"/>
        <v>0.19999999999999996</v>
      </c>
      <c r="V14" s="984">
        <f t="shared" si="72"/>
        <v>3.966005665722383E-2</v>
      </c>
      <c r="W14" s="984">
        <f t="shared" si="72"/>
        <v>-9.1743119266055051E-2</v>
      </c>
      <c r="X14" s="984">
        <f t="shared" si="72"/>
        <v>0.20316027088036126</v>
      </c>
      <c r="Y14" s="985">
        <f t="shared" si="72"/>
        <v>6.8027210884353817E-2</v>
      </c>
      <c r="Z14" s="1270">
        <f t="shared" si="72"/>
        <v>0.11870631441772317</v>
      </c>
      <c r="AA14" s="984">
        <f t="shared" si="72"/>
        <v>0.3303932470900286</v>
      </c>
      <c r="AB14" s="984">
        <f t="shared" si="72"/>
        <v>0.26545359902425325</v>
      </c>
      <c r="AC14" s="985">
        <f t="shared" si="72"/>
        <v>0.15571829491112354</v>
      </c>
      <c r="AD14" s="984">
        <f t="shared" si="72"/>
        <v>0.32495382974779452</v>
      </c>
      <c r="AE14" s="984">
        <f t="shared" si="72"/>
        <v>6.519133110924602E-2</v>
      </c>
      <c r="AF14" s="984">
        <f t="shared" si="72"/>
        <v>7.0039843016733272E-2</v>
      </c>
      <c r="AG14" s="985">
        <f t="shared" si="72"/>
        <v>0.13848395985192141</v>
      </c>
      <c r="AH14" s="984">
        <f t="shared" si="72"/>
        <v>-1.3064660879967827E-2</v>
      </c>
      <c r="AI14" s="984">
        <f t="shared" si="72"/>
        <v>-1.1997644100760541E-2</v>
      </c>
      <c r="AJ14" s="984">
        <f t="shared" si="72"/>
        <v>9.2297182274595491E-2</v>
      </c>
      <c r="AK14" s="985">
        <f t="shared" si="72"/>
        <v>0.1273139238281964</v>
      </c>
      <c r="AL14" s="984">
        <f t="shared" si="72"/>
        <v>-0.26584132917830139</v>
      </c>
      <c r="AM14" s="984">
        <f t="shared" si="72"/>
        <v>3.0239084639136493E-2</v>
      </c>
      <c r="AN14" s="984">
        <f t="shared" si="72"/>
        <v>-7.0293808329369156E-3</v>
      </c>
      <c r="AO14" s="985">
        <f t="shared" si="72"/>
        <v>0.15950253057171193</v>
      </c>
      <c r="AP14" s="984">
        <f t="shared" si="72"/>
        <v>-1.6186730939997451E-2</v>
      </c>
      <c r="AQ14" s="984">
        <f t="shared" si="72"/>
        <v>9.0603521622369287E-2</v>
      </c>
      <c r="AR14" s="984">
        <f t="shared" ref="AR14" si="73">IF(ISERROR(AR13/AN13-1),"NA",AR13/AN13-1)</f>
        <v>6.0155965754467911E-2</v>
      </c>
      <c r="AS14" s="985">
        <f t="shared" ref="AS14" si="74">IF(ISERROR(AS13/AO13-1),"NA",AS13/AO13-1)</f>
        <v>5.648192865703705E-2</v>
      </c>
      <c r="AT14" s="984">
        <f t="shared" ref="AT14" si="75">IF(ISERROR(AT13/AP13-1),"NA",AT13/AP13-1)</f>
        <v>6.8832330188636215E-2</v>
      </c>
      <c r="AU14" s="984">
        <f t="shared" ref="AU14" si="76">IF(ISERROR(AU13/AQ13-1),"NA",AU13/AQ13-1)</f>
        <v>6.8775493849998259E-2</v>
      </c>
      <c r="AV14" s="984">
        <f t="shared" ref="AV14" si="77">IF(ISERROR(AV13/AR13-1),"NA",AV13/AR13-1)</f>
        <v>5.870864845714574E-2</v>
      </c>
      <c r="AW14" s="985">
        <f t="shared" ref="AW14" si="78">IF(ISERROR(AW13/AS13-1),"NA",AW13/AS13-1)</f>
        <v>6.014568547709942E-2</v>
      </c>
      <c r="AX14" s="984">
        <f t="shared" ref="AX14" si="79">IF(ISERROR(AX13/AT13-1),"NA",AX13/AT13-1)</f>
        <v>4.699272991408443E-2</v>
      </c>
      <c r="AY14" s="984">
        <f t="shared" ref="AY14" si="80">IF(ISERROR(AY13/AU13-1),"NA",AY13/AU13-1)</f>
        <v>6.0820067984361792E-2</v>
      </c>
      <c r="AZ14" s="984">
        <f t="shared" ref="AZ14" si="81">IF(ISERROR(AZ13/AV13-1),"NA",AZ13/AV13-1)</f>
        <v>5.8946511996935014E-2</v>
      </c>
      <c r="BA14" s="985">
        <f t="shared" ref="BA14" si="82">IF(ISERROR(BA13/AW13-1),"NA",BA13/AW13-1)</f>
        <v>6.600767375778438E-2</v>
      </c>
      <c r="BB14" s="1477"/>
      <c r="BC14" s="1478"/>
      <c r="BD14" s="1479" t="str">
        <f t="shared" ref="BD14" si="83">IF(ISERROR(BD13/BB13-1),"NA",BD13/BB13-1)</f>
        <v>NA</v>
      </c>
      <c r="BE14" s="1479">
        <f t="shared" ref="BE14:BP14" si="84">IF(ISERROR(BE13/BD13-1),"NA",BE13/BD13-1)</f>
        <v>6.749418153607456E-2</v>
      </c>
      <c r="BF14" s="1479">
        <f t="shared" si="84"/>
        <v>0.18023255813953498</v>
      </c>
      <c r="BG14" s="1479">
        <f t="shared" si="84"/>
        <v>-6.1576354679804268E-4</v>
      </c>
      <c r="BH14" s="1479">
        <f t="shared" si="84"/>
        <v>7.3937153419594281E-3</v>
      </c>
      <c r="BI14" s="1479">
        <f t="shared" si="84"/>
        <v>4.5259938837920455E-2</v>
      </c>
      <c r="BJ14" s="1479">
        <f t="shared" si="84"/>
        <v>0.23258758781912725</v>
      </c>
      <c r="BK14" s="842">
        <f t="shared" si="84"/>
        <v>0.12999920131104892</v>
      </c>
      <c r="BL14" s="842">
        <f t="shared" si="84"/>
        <v>4.3561232742193923E-2</v>
      </c>
      <c r="BM14" s="842">
        <f t="shared" si="84"/>
        <v>-2.1343866761134533E-2</v>
      </c>
      <c r="BN14" s="1187">
        <f t="shared" si="84"/>
        <v>5.5904841291936291E-2</v>
      </c>
      <c r="BO14" s="1187">
        <f t="shared" si="84"/>
        <v>6.3611312350614346E-2</v>
      </c>
      <c r="BP14" s="1187">
        <f t="shared" si="84"/>
        <v>5.9267336218864486E-2</v>
      </c>
      <c r="BR14" s="1430"/>
      <c r="BS14" s="1430"/>
      <c r="BT14" s="1430"/>
      <c r="BU14" s="1263"/>
    </row>
    <row r="15" spans="1:73" s="1007" customFormat="1" ht="12" customHeight="1">
      <c r="A15" s="1098" t="s">
        <v>291</v>
      </c>
      <c r="B15" s="984" t="str">
        <f t="shared" ref="B15:AQ15" si="85">IF(ISERROR(B13/A13-1),"NA",B13/A13-1)</f>
        <v>NA</v>
      </c>
      <c r="C15" s="984">
        <f t="shared" si="85"/>
        <v>-2.5830258302583009E-2</v>
      </c>
      <c r="D15" s="984">
        <f t="shared" si="85"/>
        <v>0.73863636363636354</v>
      </c>
      <c r="E15" s="985">
        <f t="shared" si="85"/>
        <v>-0.35729847494553379</v>
      </c>
      <c r="F15" s="986">
        <f t="shared" si="85"/>
        <v>6.7796610169490457E-3</v>
      </c>
      <c r="G15" s="984">
        <f t="shared" si="85"/>
        <v>6.7340067340067034E-3</v>
      </c>
      <c r="H15" s="984">
        <f t="shared" si="85"/>
        <v>0.56187290969899673</v>
      </c>
      <c r="I15" s="985">
        <f t="shared" si="85"/>
        <v>-0.32976445396145615</v>
      </c>
      <c r="J15" s="986">
        <f t="shared" si="85"/>
        <v>0.1821086261980831</v>
      </c>
      <c r="K15" s="984">
        <f t="shared" si="85"/>
        <v>0.42972972972972978</v>
      </c>
      <c r="L15" s="984">
        <f t="shared" si="85"/>
        <v>-9.4517958412098313E-2</v>
      </c>
      <c r="M15" s="985">
        <f t="shared" si="85"/>
        <v>-0.48643006263048016</v>
      </c>
      <c r="N15" s="986">
        <f t="shared" si="85"/>
        <v>0.41056910569105698</v>
      </c>
      <c r="O15" s="984">
        <f t="shared" si="85"/>
        <v>0.5360230547550433</v>
      </c>
      <c r="P15" s="984">
        <f t="shared" si="85"/>
        <v>-6.5666041275797338E-2</v>
      </c>
      <c r="Q15" s="985">
        <f t="shared" si="85"/>
        <v>-0.50803212851405621</v>
      </c>
      <c r="R15" s="984">
        <f t="shared" si="85"/>
        <v>0.4408163265306122</v>
      </c>
      <c r="S15" s="984">
        <f t="shared" si="85"/>
        <v>0.5439093484419264</v>
      </c>
      <c r="T15" s="984">
        <f t="shared" si="85"/>
        <v>-0.1871559633027523</v>
      </c>
      <c r="U15" s="985">
        <f t="shared" si="85"/>
        <v>-0.33634311512415349</v>
      </c>
      <c r="V15" s="984">
        <f t="shared" si="85"/>
        <v>0.2482993197278911</v>
      </c>
      <c r="W15" s="984">
        <f t="shared" si="85"/>
        <v>0.3487738419618529</v>
      </c>
      <c r="X15" s="984">
        <f t="shared" si="85"/>
        <v>7.6767676767676818E-2</v>
      </c>
      <c r="Y15" s="985">
        <f t="shared" si="85"/>
        <v>-0.41088180112570361</v>
      </c>
      <c r="Z15" s="1270">
        <f t="shared" si="85"/>
        <v>0.30753253946275283</v>
      </c>
      <c r="AA15" s="984">
        <f t="shared" si="85"/>
        <v>0.60399524707402041</v>
      </c>
      <c r="AB15" s="984">
        <f t="shared" si="85"/>
        <v>2.4208094004578351E-2</v>
      </c>
      <c r="AC15" s="985">
        <f t="shared" si="85"/>
        <v>-0.46196788184956195</v>
      </c>
      <c r="AD15" s="984">
        <f t="shared" si="85"/>
        <v>0.49899872080354957</v>
      </c>
      <c r="AE15" s="984">
        <f t="shared" si="85"/>
        <v>0.28952556229744641</v>
      </c>
      <c r="AF15" s="984">
        <f t="shared" si="85"/>
        <v>2.8870059413510951E-2</v>
      </c>
      <c r="AG15" s="985">
        <f t="shared" si="85"/>
        <v>-0.42755315103734071</v>
      </c>
      <c r="AH15" s="984">
        <f t="shared" si="85"/>
        <v>0.29946039033274374</v>
      </c>
      <c r="AI15" s="984">
        <f t="shared" si="85"/>
        <v>0.29091972193247861</v>
      </c>
      <c r="AJ15" s="984">
        <f t="shared" si="85"/>
        <v>0.13747893424930924</v>
      </c>
      <c r="AK15" s="985">
        <f t="shared" si="85"/>
        <v>-0.40920171363680069</v>
      </c>
      <c r="AL15" s="984">
        <f t="shared" si="85"/>
        <v>-0.15373163341010521</v>
      </c>
      <c r="AM15" s="984">
        <f t="shared" si="85"/>
        <v>0.81153748572878337</v>
      </c>
      <c r="AN15" s="984">
        <f t="shared" si="85"/>
        <v>9.6331112332681101E-2</v>
      </c>
      <c r="AO15" s="985">
        <f t="shared" si="85"/>
        <v>-0.31011845177233111</v>
      </c>
      <c r="AP15" s="984">
        <f t="shared" si="85"/>
        <v>-0.28195926590486986</v>
      </c>
      <c r="AQ15" s="984">
        <f t="shared" si="85"/>
        <v>1.0081749490677465</v>
      </c>
      <c r="AR15" s="984">
        <f t="shared" ref="AR15" si="86">IF(ISERROR(AR13/AQ13-1),"NA",AR13/AQ13-1)</f>
        <v>6.5723653131732229E-2</v>
      </c>
      <c r="AS15" s="985">
        <f t="shared" ref="AS15" si="87">IF(ISERROR(AS13/AR13-1),"NA",AS13/AR13-1)</f>
        <v>-0.31250927961549435</v>
      </c>
      <c r="AT15" s="984">
        <f t="shared" ref="AT15" si="88">IF(ISERROR(AT13/AS13-1),"NA",AT13/AS13-1)</f>
        <v>-0.27356528287347825</v>
      </c>
      <c r="AU15" s="984">
        <f t="shared" ref="AU15" si="89">IF(ISERROR(AU13/AT13-1),"NA",AU13/AT13-1)</f>
        <v>1.0080681621487639</v>
      </c>
      <c r="AV15" s="984">
        <f t="shared" ref="AV15" si="90">IF(ISERROR(AV13/AU13-1),"NA",AV13/AU13-1)</f>
        <v>5.5685553166569202E-2</v>
      </c>
      <c r="AW15" s="985">
        <f t="shared" ref="AW15" si="91">IF(ISERROR(AW13/AV13-1),"NA",AW13/AV13-1)</f>
        <v>-0.31157611484206327</v>
      </c>
      <c r="AX15" s="984">
        <f t="shared" ref="AX15" si="92">IF(ISERROR(AX13/AW13-1),"NA",AX13/AW13-1)</f>
        <v>-0.28257797205826385</v>
      </c>
      <c r="AY15" s="984">
        <f t="shared" ref="AY15" si="93">IF(ISERROR(AY13/AX13-1),"NA",AY13/AX13-1)</f>
        <v>1.0345881527397878</v>
      </c>
      <c r="AZ15" s="984">
        <f t="shared" ref="AZ15" si="94">IF(ISERROR(AZ13/AY13-1),"NA",AZ13/AY13-1)</f>
        <v>5.382106544742804E-2</v>
      </c>
      <c r="BA15" s="985">
        <f t="shared" ref="BA15" si="95">IF(ISERROR(BA13/AZ13-1),"NA",BA13/AZ13-1)</f>
        <v>-0.3069856351926562</v>
      </c>
      <c r="BB15" s="1006"/>
      <c r="BC15" s="846"/>
      <c r="BD15" s="989" t="s">
        <v>366</v>
      </c>
      <c r="BE15" s="989" t="s">
        <v>366</v>
      </c>
      <c r="BF15" s="989" t="s">
        <v>366</v>
      </c>
      <c r="BG15" s="841" t="s">
        <v>366</v>
      </c>
      <c r="BH15" s="841" t="s">
        <v>366</v>
      </c>
      <c r="BI15" s="989" t="s">
        <v>366</v>
      </c>
      <c r="BJ15" s="989" t="s">
        <v>366</v>
      </c>
      <c r="BK15" s="989" t="s">
        <v>366</v>
      </c>
      <c r="BL15" s="989" t="s">
        <v>366</v>
      </c>
      <c r="BM15" s="989" t="s">
        <v>366</v>
      </c>
      <c r="BN15" s="1188" t="s">
        <v>366</v>
      </c>
      <c r="BO15" s="1188" t="s">
        <v>366</v>
      </c>
      <c r="BP15" s="1188" t="s">
        <v>366</v>
      </c>
      <c r="BR15" s="1430"/>
      <c r="BS15" s="1430"/>
      <c r="BT15" s="1430"/>
      <c r="BU15" s="1263"/>
    </row>
    <row r="16" spans="1:73" s="1007" customFormat="1" ht="12" customHeight="1">
      <c r="A16" s="1098" t="s">
        <v>153</v>
      </c>
      <c r="B16" s="1008">
        <f t="shared" ref="B16:AN16" si="96">B13/B6</f>
        <v>0.38008415147265079</v>
      </c>
      <c r="C16" s="1008">
        <f t="shared" si="96"/>
        <v>0.28602383531960995</v>
      </c>
      <c r="D16" s="1008">
        <f t="shared" si="96"/>
        <v>0.19921875</v>
      </c>
      <c r="E16" s="1009">
        <f t="shared" si="96"/>
        <v>0.3912466843501326</v>
      </c>
      <c r="F16" s="1008">
        <f t="shared" si="96"/>
        <v>0.38174807197943444</v>
      </c>
      <c r="G16" s="1008">
        <f t="shared" si="96"/>
        <v>0.29429133858267714</v>
      </c>
      <c r="H16" s="1008">
        <f t="shared" si="96"/>
        <v>0.18378591105863834</v>
      </c>
      <c r="I16" s="1009">
        <f t="shared" si="96"/>
        <v>0.37173396674584325</v>
      </c>
      <c r="J16" s="1008">
        <f t="shared" si="96"/>
        <v>0.40659340659340659</v>
      </c>
      <c r="K16" s="1008">
        <f t="shared" si="96"/>
        <v>0.3950709484690067</v>
      </c>
      <c r="L16" s="1008">
        <f t="shared" si="96"/>
        <v>0.16449175824175824</v>
      </c>
      <c r="M16" s="1009">
        <f t="shared" si="96"/>
        <v>0.28472222222222221</v>
      </c>
      <c r="N16" s="1008">
        <f t="shared" si="96"/>
        <v>0.34153543307086615</v>
      </c>
      <c r="O16" s="1008">
        <f t="shared" si="96"/>
        <v>0.35486018641810918</v>
      </c>
      <c r="P16" s="1008">
        <f t="shared" si="96"/>
        <v>0.15220048899755501</v>
      </c>
      <c r="Q16" s="1009">
        <f t="shared" si="96"/>
        <v>0.24647887323943662</v>
      </c>
      <c r="R16" s="984">
        <f t="shared" si="96"/>
        <v>0.30300429184549355</v>
      </c>
      <c r="S16" s="984">
        <f t="shared" si="96"/>
        <v>0.32134433962264153</v>
      </c>
      <c r="T16" s="984">
        <f t="shared" si="96"/>
        <v>0.14756828780812792</v>
      </c>
      <c r="U16" s="985">
        <f t="shared" si="96"/>
        <v>0.16189427312775331</v>
      </c>
      <c r="V16" s="984">
        <f t="shared" si="96"/>
        <v>0.27739984882842028</v>
      </c>
      <c r="W16" s="984">
        <f t="shared" si="96"/>
        <v>0.31408629441624364</v>
      </c>
      <c r="X16" s="984">
        <f t="shared" si="96"/>
        <v>0.1277258566978193</v>
      </c>
      <c r="Y16" s="985">
        <f t="shared" si="96"/>
        <v>0.12260835611089418</v>
      </c>
      <c r="Z16" s="1270">
        <f t="shared" ref="Z16" si="97">Z13/Z6</f>
        <v>0.20456662550637986</v>
      </c>
      <c r="AA16" s="984">
        <f t="shared" si="96"/>
        <v>0.24636911983148679</v>
      </c>
      <c r="AB16" s="984">
        <f t="shared" si="96"/>
        <v>0.11975972448152114</v>
      </c>
      <c r="AC16" s="985">
        <f t="shared" si="96"/>
        <v>0.1503295545161942</v>
      </c>
      <c r="AD16" s="984">
        <f t="shared" si="96"/>
        <v>0.20946475053671335</v>
      </c>
      <c r="AE16" s="984">
        <f t="shared" si="96"/>
        <v>0.23067282476634557</v>
      </c>
      <c r="AF16" s="984">
        <f t="shared" si="96"/>
        <v>0.11992816810354218</v>
      </c>
      <c r="AG16" s="985">
        <f t="shared" si="96"/>
        <v>0.15234172442153768</v>
      </c>
      <c r="AH16" s="984">
        <f t="shared" ref="AH16" si="98">AH13/AH6</f>
        <v>0.1802797325313166</v>
      </c>
      <c r="AI16" s="984">
        <f t="shared" si="96"/>
        <v>0.20468399291199052</v>
      </c>
      <c r="AJ16" s="984">
        <f t="shared" si="96"/>
        <v>0.1170166469008203</v>
      </c>
      <c r="AK16" s="985">
        <f t="shared" si="96"/>
        <v>0.14627845495933345</v>
      </c>
      <c r="AL16" s="984">
        <f t="shared" si="96"/>
        <v>0.12005787389582698</v>
      </c>
      <c r="AM16" s="984">
        <f t="shared" si="96"/>
        <v>0.18017095634620237</v>
      </c>
      <c r="AN16" s="984">
        <f t="shared" si="96"/>
        <v>0.10095429455764768</v>
      </c>
      <c r="AO16" s="985">
        <f t="shared" ref="AO16:AQ16" si="99">AO13/AO6</f>
        <v>0.14096554424432262</v>
      </c>
      <c r="AP16" s="984">
        <f t="shared" si="99"/>
        <v>9.9812097812097808E-2</v>
      </c>
      <c r="AQ16" s="984">
        <f t="shared" si="99"/>
        <v>0.16742850999784994</v>
      </c>
      <c r="AR16" s="984">
        <f t="shared" ref="AR16:AS16" si="100">AR13/AR6</f>
        <v>9.7765544247171349E-2</v>
      </c>
      <c r="AS16" s="985">
        <f t="shared" si="100"/>
        <v>0.13416210196402523</v>
      </c>
      <c r="AT16" s="984">
        <f t="shared" ref="AT16:AW16" si="101">AT13/AT6</f>
        <v>9.3826797518223218E-2</v>
      </c>
      <c r="AU16" s="984">
        <f t="shared" si="101"/>
        <v>0.15699298897120983</v>
      </c>
      <c r="AV16" s="984">
        <f t="shared" si="101"/>
        <v>9.4441156732434542E-2</v>
      </c>
      <c r="AW16" s="985">
        <f t="shared" si="101"/>
        <v>0.12745976963504047</v>
      </c>
      <c r="AX16" s="984">
        <f t="shared" ref="AX16:BA16" si="102">AX13/AX6</f>
        <v>8.7163554444190189E-2</v>
      </c>
      <c r="AY16" s="984">
        <f t="shared" si="102"/>
        <v>0.14658445206468135</v>
      </c>
      <c r="AZ16" s="984">
        <f t="shared" si="102"/>
        <v>9.0883005852841092E-2</v>
      </c>
      <c r="BA16" s="985">
        <f t="shared" si="102"/>
        <v>0.12090712374785001</v>
      </c>
      <c r="BB16" s="1006"/>
      <c r="BC16" s="846"/>
      <c r="BD16" s="1011">
        <f t="shared" ref="BD16:BE16" si="103">+BD13/BD$6</f>
        <v>0.27460587984661272</v>
      </c>
      <c r="BE16" s="1011">
        <f t="shared" si="103"/>
        <v>0.26579099864786554</v>
      </c>
      <c r="BF16" s="1011">
        <f>+BF13/BF$6</f>
        <v>0.26954356846473027</v>
      </c>
      <c r="BG16" s="1011">
        <f>+BG13/BG$6</f>
        <v>0.23923938679245282</v>
      </c>
      <c r="BH16" s="1011">
        <f>+BH13/BH$6</f>
        <v>0.21291834874332596</v>
      </c>
      <c r="BI16" s="1011">
        <f>+BI13/BI$6</f>
        <v>0.17741098307899927</v>
      </c>
      <c r="BJ16" s="1011">
        <f t="shared" ref="BJ16:BM16" si="104">+BJ13/BJ$6</f>
        <v>0.16552665311825307</v>
      </c>
      <c r="BK16" s="1011">
        <f t="shared" si="104"/>
        <v>0.16566915990650255</v>
      </c>
      <c r="BL16" s="1011">
        <f t="shared" si="104"/>
        <v>0.15253452835367545</v>
      </c>
      <c r="BM16" s="1011">
        <f t="shared" si="104"/>
        <v>0.12909596410174712</v>
      </c>
      <c r="BN16" s="1367">
        <f t="shared" ref="BN16:BO16" si="105">+BN13/BN$6</f>
        <v>0.12064141013872852</v>
      </c>
      <c r="BO16" s="1367">
        <f t="shared" si="105"/>
        <v>0.11487175391350973</v>
      </c>
      <c r="BP16" s="1367">
        <f t="shared" ref="BP16" si="106">+BP13/BP$6</f>
        <v>0.10883781536028563</v>
      </c>
      <c r="BR16" s="1459"/>
      <c r="BS16" s="1430"/>
      <c r="BT16" s="1430"/>
      <c r="BU16" s="1263"/>
    </row>
    <row r="17" spans="1:73" s="492" customFormat="1" ht="12" customHeight="1">
      <c r="A17" s="1002"/>
      <c r="B17" s="1003"/>
      <c r="C17" s="1003"/>
      <c r="D17" s="1003"/>
      <c r="E17" s="1004"/>
      <c r="F17" s="1003"/>
      <c r="G17" s="1003"/>
      <c r="H17" s="1003"/>
      <c r="I17" s="1003"/>
      <c r="J17" s="1079"/>
      <c r="K17" s="1003"/>
      <c r="L17" s="1003"/>
      <c r="M17" s="1004"/>
      <c r="N17" s="1003"/>
      <c r="O17" s="1003"/>
      <c r="P17" s="1003"/>
      <c r="Q17" s="1004"/>
      <c r="R17" s="1003"/>
      <c r="S17" s="1003"/>
      <c r="T17" s="1003"/>
      <c r="U17" s="1004"/>
      <c r="V17" s="1003"/>
      <c r="W17" s="1003"/>
      <c r="X17" s="1003"/>
      <c r="Y17" s="1004"/>
      <c r="Z17" s="1273"/>
      <c r="AA17" s="1003"/>
      <c r="AB17" s="1003"/>
      <c r="AC17" s="1004"/>
      <c r="AD17" s="1003"/>
      <c r="AE17" s="1003"/>
      <c r="AF17" s="1003"/>
      <c r="AG17" s="1004"/>
      <c r="AH17" s="1003"/>
      <c r="AI17" s="1003"/>
      <c r="AJ17" s="1003"/>
      <c r="AK17" s="1004"/>
      <c r="AL17" s="1003"/>
      <c r="AM17" s="1003"/>
      <c r="AN17" s="1003"/>
      <c r="AO17" s="1004"/>
      <c r="AP17" s="1003"/>
      <c r="AQ17" s="1003"/>
      <c r="AR17" s="1003"/>
      <c r="AS17" s="1004"/>
      <c r="AT17" s="1003"/>
      <c r="AU17" s="1003"/>
      <c r="AV17" s="1003"/>
      <c r="AW17" s="1004"/>
      <c r="AX17" s="1003"/>
      <c r="AY17" s="1003"/>
      <c r="AZ17" s="1003"/>
      <c r="BA17" s="1004"/>
      <c r="BB17" s="1005"/>
      <c r="BC17" s="1001"/>
      <c r="BD17" s="1001"/>
      <c r="BE17" s="1001"/>
      <c r="BF17" s="1001"/>
      <c r="BG17" s="1001"/>
      <c r="BH17" s="1001"/>
      <c r="BI17" s="1001"/>
      <c r="BJ17" s="1001"/>
      <c r="BK17" s="1001"/>
      <c r="BL17" s="1012"/>
      <c r="BM17" s="1012"/>
      <c r="BN17" s="1366"/>
      <c r="BO17" s="1366"/>
      <c r="BP17" s="1366"/>
      <c r="BR17" s="1429"/>
      <c r="BS17" s="1429" t="s">
        <v>426</v>
      </c>
      <c r="BT17" s="1429"/>
      <c r="BU17" s="1263"/>
    </row>
    <row r="18" spans="1:73" s="492" customFormat="1" ht="12" customHeight="1">
      <c r="A18" s="1002" t="s">
        <v>269</v>
      </c>
      <c r="B18" s="1058">
        <v>442</v>
      </c>
      <c r="C18" s="1058">
        <v>659</v>
      </c>
      <c r="D18" s="1058">
        <v>1845</v>
      </c>
      <c r="E18" s="1059">
        <v>459</v>
      </c>
      <c r="F18" s="1058">
        <v>481</v>
      </c>
      <c r="G18" s="1058">
        <v>717</v>
      </c>
      <c r="H18" s="1058">
        <v>2074</v>
      </c>
      <c r="I18" s="1059">
        <v>529</v>
      </c>
      <c r="J18" s="1058">
        <f t="shared" ref="J18:V18" si="107">+J160+J191+J218</f>
        <v>540</v>
      </c>
      <c r="K18" s="1058">
        <f t="shared" si="107"/>
        <v>810</v>
      </c>
      <c r="L18" s="1058">
        <f t="shared" si="107"/>
        <v>2433</v>
      </c>
      <c r="M18" s="1059">
        <f t="shared" si="107"/>
        <v>618</v>
      </c>
      <c r="N18" s="1058">
        <f t="shared" si="107"/>
        <v>669</v>
      </c>
      <c r="O18" s="1058">
        <f t="shared" si="107"/>
        <v>969</v>
      </c>
      <c r="P18" s="1058">
        <f t="shared" si="107"/>
        <v>2774</v>
      </c>
      <c r="Q18" s="1059">
        <f t="shared" si="107"/>
        <v>749</v>
      </c>
      <c r="R18" s="1058">
        <f t="shared" si="107"/>
        <v>812</v>
      </c>
      <c r="S18" s="1058">
        <f t="shared" si="107"/>
        <v>1151</v>
      </c>
      <c r="T18" s="1058">
        <f t="shared" si="107"/>
        <v>2559</v>
      </c>
      <c r="U18" s="1059">
        <f t="shared" si="107"/>
        <v>1522</v>
      </c>
      <c r="V18" s="1138">
        <f t="shared" si="107"/>
        <v>956</v>
      </c>
      <c r="W18" s="1138">
        <f t="shared" ref="W18:AL18" si="108">+W160+W191+W218+W202</f>
        <v>1081</v>
      </c>
      <c r="X18" s="1989">
        <f t="shared" si="108"/>
        <v>3640</v>
      </c>
      <c r="Y18" s="1990">
        <f t="shared" si="108"/>
        <v>2247</v>
      </c>
      <c r="Z18" s="1991">
        <f t="shared" si="108"/>
        <v>1596.4347826086957</v>
      </c>
      <c r="AA18" s="1992">
        <f t="shared" si="108"/>
        <v>2014.4553426904358</v>
      </c>
      <c r="AB18" s="1989">
        <f t="shared" si="108"/>
        <v>4957.5132317200723</v>
      </c>
      <c r="AC18" s="1990">
        <f t="shared" si="108"/>
        <v>2051.1044553979073</v>
      </c>
      <c r="AD18" s="1989">
        <f t="shared" si="108"/>
        <v>2053.0200428561557</v>
      </c>
      <c r="AE18" s="1989">
        <f t="shared" si="108"/>
        <v>2339.5239398855429</v>
      </c>
      <c r="AF18" s="1989">
        <f t="shared" si="108"/>
        <v>5296.2722843528827</v>
      </c>
      <c r="AG18" s="1990">
        <f t="shared" si="108"/>
        <v>2298.8492433687898</v>
      </c>
      <c r="AH18" s="1989">
        <f t="shared" si="108"/>
        <v>2441.126956521739</v>
      </c>
      <c r="AI18" s="1989">
        <f t="shared" si="108"/>
        <v>2692.94</v>
      </c>
      <c r="AJ18" s="1989">
        <f t="shared" si="108"/>
        <v>5948.6588498291731</v>
      </c>
      <c r="AK18" s="1990">
        <f t="shared" si="108"/>
        <v>2718.2493994094825</v>
      </c>
      <c r="AL18" s="1989">
        <f t="shared" si="108"/>
        <v>2888.85</v>
      </c>
      <c r="AM18" s="1989">
        <f>+AM160+AM191+AM218+AM202</f>
        <v>3248.9825000000001</v>
      </c>
      <c r="AN18" s="1989">
        <f>+AN160+AN191+AN218+AN202</f>
        <v>6971.2003999999997</v>
      </c>
      <c r="AO18" s="1990">
        <f>+AO160+AO191+AO218+AO202</f>
        <v>3290.9610000000002</v>
      </c>
      <c r="AP18" s="1989">
        <f>+AP160+AP191+AP218+AP197</f>
        <v>3497.23</v>
      </c>
      <c r="AQ18" s="1989">
        <f>+AQ160+AQ191+AQ218+AQ197</f>
        <v>3872.2900000000004</v>
      </c>
      <c r="AR18" s="1060">
        <f>+AR160+AR191+AR218+AR197</f>
        <v>7658.6803340697879</v>
      </c>
      <c r="AS18" s="1061">
        <f t="shared" ref="AS18:BA18" si="109">+AS160+AS191+AS218+AS197</f>
        <v>3682.0860557299816</v>
      </c>
      <c r="AT18" s="1060">
        <f t="shared" si="109"/>
        <v>4002.8388873227527</v>
      </c>
      <c r="AU18" s="1060">
        <f t="shared" si="109"/>
        <v>4469.0289456845585</v>
      </c>
      <c r="AV18" s="1060">
        <f t="shared" si="109"/>
        <v>8424.6563715973025</v>
      </c>
      <c r="AW18" s="1061">
        <f t="shared" si="109"/>
        <v>4140.6171666351484</v>
      </c>
      <c r="AX18" s="1060">
        <f t="shared" si="109"/>
        <v>4544.4935757028607</v>
      </c>
      <c r="AY18" s="1060">
        <f t="shared" si="109"/>
        <v>5140.1596577196688</v>
      </c>
      <c r="AZ18" s="1060">
        <f t="shared" si="109"/>
        <v>9306.9618849335457</v>
      </c>
      <c r="BA18" s="1061">
        <f t="shared" si="109"/>
        <v>4688.0900945716312</v>
      </c>
      <c r="BB18" s="1005"/>
      <c r="BC18" s="981"/>
      <c r="BD18" s="1083">
        <f>SUM(B18:E18)</f>
        <v>3405</v>
      </c>
      <c r="BE18" s="1083">
        <f>SUM(F18:I18)</f>
        <v>3801</v>
      </c>
      <c r="BF18" s="1083">
        <f>SUM(J18:M18)</f>
        <v>4401</v>
      </c>
      <c r="BG18" s="1083">
        <f>SUM(N18:Q18)</f>
        <v>5161</v>
      </c>
      <c r="BH18" s="1083">
        <f>SUM(R18:U18)</f>
        <v>6044</v>
      </c>
      <c r="BI18" s="1083">
        <f>SUM(V18:Y18)</f>
        <v>7924</v>
      </c>
      <c r="BJ18" s="1083">
        <f>SUM(Z18:AC18)</f>
        <v>10619.507812417112</v>
      </c>
      <c r="BK18" s="1083">
        <f>SUM(AD18:AG18)</f>
        <v>11987.665510463372</v>
      </c>
      <c r="BL18" s="1083">
        <f>SUM(AH18:AK18)</f>
        <v>13800.975205760395</v>
      </c>
      <c r="BM18" s="1083">
        <f>SUM(AL18:AO18)</f>
        <v>16399.993900000001</v>
      </c>
      <c r="BN18" s="1364">
        <f>SUM(AP18:AS18)</f>
        <v>18710.28638979977</v>
      </c>
      <c r="BO18" s="1364">
        <f>SUM(AT18:AW18)</f>
        <v>21037.141371239759</v>
      </c>
      <c r="BP18" s="1364">
        <f>SUM(AX18:BA18)</f>
        <v>23679.705212927707</v>
      </c>
      <c r="BR18" s="1429"/>
      <c r="BS18" s="1429"/>
      <c r="BT18" s="1429"/>
      <c r="BU18" s="1263"/>
    </row>
    <row r="19" spans="1:73" s="1014" customFormat="1" ht="12" customHeight="1">
      <c r="A19" s="1098" t="s">
        <v>181</v>
      </c>
      <c r="B19" s="987" t="str">
        <f t="shared" ref="B19:D19" si="110">IF(ISERROR(B18/#REF!-1),"NA",B18/#REF!-1)</f>
        <v>NA</v>
      </c>
      <c r="C19" s="987" t="str">
        <f t="shared" si="110"/>
        <v>NA</v>
      </c>
      <c r="D19" s="987" t="str">
        <f t="shared" si="110"/>
        <v>NA</v>
      </c>
      <c r="E19" s="998" t="str">
        <f t="shared" ref="E19:Z19" si="111">IF(ISERROR(E18/A18-1),"NA",E18/A18-1)</f>
        <v>NA</v>
      </c>
      <c r="F19" s="999">
        <f t="shared" si="111"/>
        <v>8.8235294117646967E-2</v>
      </c>
      <c r="G19" s="987">
        <f t="shared" si="111"/>
        <v>8.8012139605462725E-2</v>
      </c>
      <c r="H19" s="987">
        <f t="shared" si="111"/>
        <v>0.12411924119241191</v>
      </c>
      <c r="I19" s="998">
        <f t="shared" si="111"/>
        <v>0.15250544662309373</v>
      </c>
      <c r="J19" s="999">
        <f t="shared" si="111"/>
        <v>0.12266112266112272</v>
      </c>
      <c r="K19" s="987">
        <f t="shared" si="111"/>
        <v>0.12970711297071125</v>
      </c>
      <c r="L19" s="987">
        <f t="shared" si="111"/>
        <v>0.17309546769527473</v>
      </c>
      <c r="M19" s="998">
        <f t="shared" si="111"/>
        <v>0.16824196597353502</v>
      </c>
      <c r="N19" s="999">
        <f t="shared" si="111"/>
        <v>0.23888888888888893</v>
      </c>
      <c r="O19" s="987">
        <f t="shared" si="111"/>
        <v>0.19629629629629619</v>
      </c>
      <c r="P19" s="987">
        <f t="shared" si="111"/>
        <v>0.14015618577887379</v>
      </c>
      <c r="Q19" s="998">
        <f t="shared" si="111"/>
        <v>0.21197411003236244</v>
      </c>
      <c r="R19" s="984">
        <f t="shared" si="111"/>
        <v>0.21375186846038874</v>
      </c>
      <c r="S19" s="984">
        <f t="shared" si="111"/>
        <v>0.18782249742002066</v>
      </c>
      <c r="T19" s="984">
        <f t="shared" si="111"/>
        <v>-7.7505407354001465E-2</v>
      </c>
      <c r="U19" s="985">
        <f t="shared" si="111"/>
        <v>1.0320427236315086</v>
      </c>
      <c r="V19" s="984">
        <f t="shared" si="111"/>
        <v>0.17733990147783252</v>
      </c>
      <c r="W19" s="984">
        <f t="shared" si="111"/>
        <v>-6.081668114682881E-2</v>
      </c>
      <c r="X19" s="987">
        <f t="shared" si="111"/>
        <v>0.42243063696756544</v>
      </c>
      <c r="Y19" s="998">
        <f t="shared" si="111"/>
        <v>0.47634691195794998</v>
      </c>
      <c r="Z19" s="1274">
        <f t="shared" si="111"/>
        <v>0.66991086046934711</v>
      </c>
      <c r="AA19" s="984">
        <f t="shared" ref="AA19" si="112">IF(ISERROR(AA18/W18-1),"NA",AA18/W18-1)</f>
        <v>0.86351095531030131</v>
      </c>
      <c r="AB19" s="987">
        <f t="shared" ref="AB19" si="113">IF(ISERROR(AB18/X18-1),"NA",AB18/X18-1)</f>
        <v>0.36195418453848149</v>
      </c>
      <c r="AC19" s="998">
        <f t="shared" ref="AC19" si="114">IF(ISERROR(AC18/Y18-1),"NA",AC18/Y18-1)</f>
        <v>-8.7180927726788093E-2</v>
      </c>
      <c r="AD19" s="984">
        <f t="shared" ref="AD19" si="115">IF(ISERROR(AD18/Z18-1),"NA",AD18/Z18-1)</f>
        <v>0.28600307711998418</v>
      </c>
      <c r="AE19" s="984">
        <f t="shared" ref="AE19" si="116">IF(ISERROR(AE18/AA18-1),"NA",AE18/AA18-1)</f>
        <v>0.16136798384468376</v>
      </c>
      <c r="AF19" s="990">
        <f t="shared" ref="AF19" si="117">IF(ISERROR(AF18/AB18-1),"NA",AF18/AB18-1)</f>
        <v>6.8332455567702732E-2</v>
      </c>
      <c r="AG19" s="985">
        <f t="shared" ref="AG19:AH19" si="118">IF(ISERROR(AG18/AC18-1),"NA",AG18/AC18-1)</f>
        <v>0.12078604154892769</v>
      </c>
      <c r="AH19" s="984">
        <f t="shared" si="118"/>
        <v>0.1890419506697314</v>
      </c>
      <c r="AI19" s="984">
        <f t="shared" ref="AI19" si="119">IF(ISERROR(AI18/AE18-1),"NA",AI18/AE18-1)</f>
        <v>0.15106323730619642</v>
      </c>
      <c r="AJ19" s="987">
        <f t="shared" ref="AJ19" si="120">IF(ISERROR(AJ18/AF18-1),"NA",AJ18/AF18-1)</f>
        <v>0.12317844144903156</v>
      </c>
      <c r="AK19" s="998">
        <f t="shared" ref="AK19:AL19" si="121">IF(ISERROR(AK18/AG18-1),"NA",AK18/AG18-1)</f>
        <v>0.18243917353453476</v>
      </c>
      <c r="AL19" s="984">
        <f t="shared" si="121"/>
        <v>0.18340834026764541</v>
      </c>
      <c r="AM19" s="984">
        <f t="shared" ref="AM19" si="122">IF(ISERROR(AM18/AI18-1),"NA",AM18/AI18-1)</f>
        <v>0.20648157775516718</v>
      </c>
      <c r="AN19" s="987">
        <f t="shared" ref="AN19:AQ19" si="123">IF(ISERROR(AN18/AJ18-1),"NA",AN18/AJ18-1)</f>
        <v>0.17189446831367561</v>
      </c>
      <c r="AO19" s="998">
        <f t="shared" si="123"/>
        <v>0.21069133712121291</v>
      </c>
      <c r="AP19" s="984">
        <f t="shared" si="123"/>
        <v>0.21059591186804449</v>
      </c>
      <c r="AQ19" s="984">
        <f t="shared" si="123"/>
        <v>0.19184698594098326</v>
      </c>
      <c r="AR19" s="987">
        <f t="shared" ref="AR19" si="124">IF(ISERROR(AR18/AN18-1),"NA",AR18/AN18-1)</f>
        <v>9.8617152659933316E-2</v>
      </c>
      <c r="AS19" s="998">
        <f t="shared" ref="AS19" si="125">IF(ISERROR(AS18/AO18-1),"NA",AS18/AO18-1)</f>
        <v>0.11884828040501882</v>
      </c>
      <c r="AT19" s="984">
        <f t="shared" ref="AT19" si="126">IF(ISERROR(AT18/AP18-1),"NA",AT18/AP18-1)</f>
        <v>0.144574102167359</v>
      </c>
      <c r="AU19" s="984">
        <f t="shared" ref="AU19" si="127">IF(ISERROR(AU18/AQ18-1),"NA",AU18/AQ18-1)</f>
        <v>0.15410492129581144</v>
      </c>
      <c r="AV19" s="987">
        <f t="shared" ref="AV19" si="128">IF(ISERROR(AV18/AR18-1),"NA",AV18/AR18-1)</f>
        <v>0.1000141021841654</v>
      </c>
      <c r="AW19" s="998">
        <f t="shared" ref="AW19" si="129">IF(ISERROR(AW18/AS18-1),"NA",AW18/AS18-1)</f>
        <v>0.12453025376514781</v>
      </c>
      <c r="AX19" s="984">
        <f t="shared" ref="AX19" si="130">IF(ISERROR(AX18/AT18-1),"NA",AX18/AT18-1)</f>
        <v>0.13531763421594678</v>
      </c>
      <c r="AY19" s="984">
        <f t="shared" ref="AY19" si="131">IF(ISERROR(AY18/AU18-1),"NA",AY18/AU18-1)</f>
        <v>0.15017372234368187</v>
      </c>
      <c r="AZ19" s="987">
        <f t="shared" ref="AZ19" si="132">IF(ISERROR(AZ18/AV18-1),"NA",AZ18/AV18-1)</f>
        <v>0.10472896156463163</v>
      </c>
      <c r="BA19" s="998">
        <f t="shared" ref="BA19" si="133">IF(ISERROR(BA18/AW18-1),"NA",BA18/AW18-1)</f>
        <v>0.13222012707380615</v>
      </c>
      <c r="BB19" s="1013"/>
      <c r="BC19" s="841"/>
      <c r="BD19" s="842" t="str">
        <f t="shared" ref="BD19" si="134">IF(ISERROR(BD18/BB18-1),"NA",BD18/BB18-1)</f>
        <v>NA</v>
      </c>
      <c r="BE19" s="842">
        <f t="shared" ref="BE19:BP19" si="135">IF(ISERROR(BE18/BD18-1),"NA",BE18/BD18-1)</f>
        <v>0.11629955947136561</v>
      </c>
      <c r="BF19" s="842">
        <f t="shared" si="135"/>
        <v>0.15785319652722962</v>
      </c>
      <c r="BG19" s="842">
        <f t="shared" si="135"/>
        <v>0.17268802544876172</v>
      </c>
      <c r="BH19" s="842">
        <f t="shared" si="135"/>
        <v>0.17109087386165478</v>
      </c>
      <c r="BI19" s="842">
        <f t="shared" si="135"/>
        <v>0.31105228325612178</v>
      </c>
      <c r="BJ19" s="842">
        <f t="shared" si="135"/>
        <v>0.34017009243022622</v>
      </c>
      <c r="BK19" s="841">
        <f t="shared" si="135"/>
        <v>0.12883437935292141</v>
      </c>
      <c r="BL19" s="841">
        <f t="shared" si="135"/>
        <v>0.15126462226646931</v>
      </c>
      <c r="BM19" s="841">
        <f t="shared" si="135"/>
        <v>0.18832137986559094</v>
      </c>
      <c r="BN19" s="1170">
        <f t="shared" si="135"/>
        <v>0.1408715456778169</v>
      </c>
      <c r="BO19" s="1170">
        <f t="shared" si="135"/>
        <v>0.12436233914134598</v>
      </c>
      <c r="BP19" s="1170">
        <f t="shared" si="135"/>
        <v>0.1256142075130342</v>
      </c>
      <c r="BR19" s="1425"/>
      <c r="BS19" s="1425"/>
      <c r="BT19" s="1425"/>
      <c r="BU19" s="1263"/>
    </row>
    <row r="20" spans="1:73" s="1014" customFormat="1" ht="12" customHeight="1">
      <c r="A20" s="1098" t="s">
        <v>291</v>
      </c>
      <c r="B20" s="987" t="str">
        <f t="shared" ref="B20:Z20" si="136">IF(ISERROR(B18/A18-1),"NA",B18/A18-1)</f>
        <v>NA</v>
      </c>
      <c r="C20" s="987">
        <f t="shared" si="136"/>
        <v>0.49095022624434392</v>
      </c>
      <c r="D20" s="987">
        <f t="shared" si="136"/>
        <v>1.7996965098634292</v>
      </c>
      <c r="E20" s="998">
        <f t="shared" si="136"/>
        <v>-0.75121951219512195</v>
      </c>
      <c r="F20" s="999">
        <f t="shared" si="136"/>
        <v>4.7930283224400849E-2</v>
      </c>
      <c r="G20" s="987">
        <f t="shared" si="136"/>
        <v>0.49064449064449067</v>
      </c>
      <c r="H20" s="987">
        <f t="shared" si="136"/>
        <v>1.892608089260809</v>
      </c>
      <c r="I20" s="998">
        <f t="shared" si="136"/>
        <v>-0.74493731918997108</v>
      </c>
      <c r="J20" s="999">
        <f t="shared" si="136"/>
        <v>2.0793950850661602E-2</v>
      </c>
      <c r="K20" s="987">
        <f t="shared" si="136"/>
        <v>0.5</v>
      </c>
      <c r="L20" s="987">
        <f t="shared" si="136"/>
        <v>2.0037037037037035</v>
      </c>
      <c r="M20" s="998">
        <f t="shared" si="136"/>
        <v>-0.74599260172626392</v>
      </c>
      <c r="N20" s="999">
        <f t="shared" si="136"/>
        <v>8.2524271844660158E-2</v>
      </c>
      <c r="O20" s="987">
        <f t="shared" si="136"/>
        <v>0.44843049327354256</v>
      </c>
      <c r="P20" s="987">
        <f t="shared" si="136"/>
        <v>1.8627450980392157</v>
      </c>
      <c r="Q20" s="998">
        <f t="shared" si="136"/>
        <v>-0.72999279019466479</v>
      </c>
      <c r="R20" s="984">
        <f t="shared" si="136"/>
        <v>8.4112149532710179E-2</v>
      </c>
      <c r="S20" s="984">
        <f t="shared" si="136"/>
        <v>0.41748768472906406</v>
      </c>
      <c r="T20" s="984">
        <f t="shared" si="136"/>
        <v>1.2232841007819286</v>
      </c>
      <c r="U20" s="985">
        <f t="shared" si="136"/>
        <v>-0.40523642047674868</v>
      </c>
      <c r="V20" s="984">
        <f t="shared" si="136"/>
        <v>-0.37187910643889621</v>
      </c>
      <c r="W20" s="984">
        <f t="shared" si="136"/>
        <v>0.13075313807531375</v>
      </c>
      <c r="X20" s="984">
        <f t="shared" si="136"/>
        <v>2.3672525439407957</v>
      </c>
      <c r="Y20" s="985">
        <f t="shared" si="136"/>
        <v>-0.38269230769230766</v>
      </c>
      <c r="Z20" s="1270">
        <f t="shared" si="136"/>
        <v>-0.28952613146030448</v>
      </c>
      <c r="AA20" s="984">
        <f t="shared" ref="AA20" si="137">IF(ISERROR(AA18/Z18-1),"NA",AA18/Z18-1)</f>
        <v>0.2618463119418275</v>
      </c>
      <c r="AB20" s="984">
        <f t="shared" ref="AB20" si="138">IF(ISERROR(AB18/AA18-1),"NA",AB18/AA18-1)</f>
        <v>1.4609695368570401</v>
      </c>
      <c r="AC20" s="985">
        <f t="shared" ref="AC20" si="139">IF(ISERROR(AC18/AB18-1),"NA",AC18/AB18-1)</f>
        <v>-0.58626344307582401</v>
      </c>
      <c r="AD20" s="984">
        <f t="shared" ref="AD20" si="140">IF(ISERROR(AD18/AC18-1),"NA",AD18/AC18-1)</f>
        <v>9.3392974365946735E-4</v>
      </c>
      <c r="AE20" s="984">
        <f t="shared" ref="AE20" si="141">IF(ISERROR(AE18/AD18-1),"NA",AE18/AD18-1)</f>
        <v>0.13955241110593541</v>
      </c>
      <c r="AF20" s="984">
        <f t="shared" ref="AF20" si="142">IF(ISERROR(AF18/AE18-1),"NA",AF18/AE18-1)</f>
        <v>1.2638247867692236</v>
      </c>
      <c r="AG20" s="985">
        <f t="shared" ref="AG20:AH20" si="143">IF(ISERROR(AG18/AF18-1),"NA",AG18/AF18-1)</f>
        <v>-0.56594957359718312</v>
      </c>
      <c r="AH20" s="984">
        <f t="shared" si="143"/>
        <v>6.189084106465903E-2</v>
      </c>
      <c r="AI20" s="984">
        <f t="shared" ref="AI20" si="144">IF(ISERROR(AI18/AH18-1),"NA",AI18/AH18-1)</f>
        <v>0.10315442333120561</v>
      </c>
      <c r="AJ20" s="984">
        <f t="shared" ref="AJ20" si="145">IF(ISERROR(AJ18/AI18-1),"NA",AJ18/AI18-1)</f>
        <v>1.2089830630571692</v>
      </c>
      <c r="AK20" s="985">
        <f t="shared" ref="AK20:AL20" si="146">IF(ISERROR(AK18/AJ18-1),"NA",AK18/AJ18-1)</f>
        <v>-0.54304836299571257</v>
      </c>
      <c r="AL20" s="984">
        <f t="shared" si="146"/>
        <v>6.2761202348680323E-2</v>
      </c>
      <c r="AM20" s="984">
        <f t="shared" ref="AM20" si="147">IF(ISERROR(AM18/AL18-1),"NA",AM18/AL18-1)</f>
        <v>0.12466292815480218</v>
      </c>
      <c r="AN20" s="984">
        <f t="shared" ref="AN20:AQ20" si="148">IF(ISERROR(AN18/AM18-1),"NA",AN18/AM18-1)</f>
        <v>1.1456564939946583</v>
      </c>
      <c r="AO20" s="985">
        <f t="shared" si="148"/>
        <v>-0.52792047120034014</v>
      </c>
      <c r="AP20" s="984">
        <f t="shared" si="148"/>
        <v>6.2677436773027617E-2</v>
      </c>
      <c r="AQ20" s="984">
        <f t="shared" si="148"/>
        <v>0.10724487665952775</v>
      </c>
      <c r="AR20" s="984">
        <f t="shared" ref="AR20" si="149">IF(ISERROR(AR18/AQ18-1),"NA",AR18/AQ18-1)</f>
        <v>0.97781683036905487</v>
      </c>
      <c r="AS20" s="985">
        <f t="shared" ref="AS20" si="150">IF(ISERROR(AS18/AR18-1),"NA",AS18/AR18-1)</f>
        <v>-0.51922708676713525</v>
      </c>
      <c r="AT20" s="984">
        <f t="shared" ref="AT20" si="151">IF(ISERROR(AT18/AS18-1),"NA",AT18/AS18-1)</f>
        <v>8.711171513594107E-2</v>
      </c>
      <c r="AU20" s="984">
        <f t="shared" ref="AU20" si="152">IF(ISERROR(AU18/AT18-1),"NA",AU18/AT18-1)</f>
        <v>0.1164648569389739</v>
      </c>
      <c r="AV20" s="984">
        <f t="shared" ref="AV20" si="153">IF(ISERROR(AV18/AU18-1),"NA",AV18/AU18-1)</f>
        <v>0.88512011758895137</v>
      </c>
      <c r="AW20" s="985">
        <f t="shared" ref="AW20" si="154">IF(ISERROR(AW18/AV18-1),"NA",AW18/AV18-1)</f>
        <v>-0.50851204084777479</v>
      </c>
      <c r="AX20" s="984">
        <f t="shared" ref="AX20" si="155">IF(ISERROR(AX18/AW18-1),"NA",AX18/AW18-1)</f>
        <v>9.7540147474179717E-2</v>
      </c>
      <c r="AY20" s="984">
        <f t="shared" ref="AY20" si="156">IF(ISERROR(AY18/AX18-1),"NA",AY18/AX18-1)</f>
        <v>0.13107424888914743</v>
      </c>
      <c r="AZ20" s="984">
        <f t="shared" ref="AZ20" si="157">IF(ISERROR(AZ18/AY18-1),"NA",AZ18/AY18-1)</f>
        <v>0.81063673206259845</v>
      </c>
      <c r="BA20" s="985">
        <f t="shared" ref="BA20" si="158">IF(ISERROR(BA18/AZ18-1),"NA",BA18/AZ18-1)</f>
        <v>-0.49628136952393831</v>
      </c>
      <c r="BB20" s="1013"/>
      <c r="BC20" s="846"/>
      <c r="BD20" s="989" t="s">
        <v>366</v>
      </c>
      <c r="BE20" s="989" t="s">
        <v>366</v>
      </c>
      <c r="BF20" s="989" t="s">
        <v>366</v>
      </c>
      <c r="BG20" s="841" t="s">
        <v>366</v>
      </c>
      <c r="BH20" s="841" t="s">
        <v>366</v>
      </c>
      <c r="BI20" s="989" t="s">
        <v>366</v>
      </c>
      <c r="BJ20" s="989" t="s">
        <v>366</v>
      </c>
      <c r="BK20" s="989" t="s">
        <v>366</v>
      </c>
      <c r="BL20" s="989" t="s">
        <v>366</v>
      </c>
      <c r="BM20" s="1046" t="s">
        <v>366</v>
      </c>
      <c r="BN20" s="1188" t="s">
        <v>366</v>
      </c>
      <c r="BO20" s="1188" t="s">
        <v>366</v>
      </c>
      <c r="BP20" s="1188" t="s">
        <v>366</v>
      </c>
      <c r="BR20" s="1425"/>
      <c r="BS20" s="1425"/>
      <c r="BT20" s="1425"/>
      <c r="BU20" s="1263"/>
    </row>
    <row r="21" spans="1:73" s="1014" customFormat="1" ht="12" customHeight="1">
      <c r="A21" s="1098" t="s">
        <v>153</v>
      </c>
      <c r="B21" s="1008">
        <f t="shared" ref="B21:AN21" si="159">+B18/B6</f>
        <v>0.61991584852734927</v>
      </c>
      <c r="C21" s="1008">
        <f t="shared" si="159"/>
        <v>0.71397616468039005</v>
      </c>
      <c r="D21" s="1008">
        <f t="shared" si="159"/>
        <v>0.80078125</v>
      </c>
      <c r="E21" s="1009">
        <f t="shared" si="159"/>
        <v>0.60875331564986734</v>
      </c>
      <c r="F21" s="1008">
        <f t="shared" si="159"/>
        <v>0.6182519280205655</v>
      </c>
      <c r="G21" s="1008">
        <f t="shared" si="159"/>
        <v>0.7057086614173228</v>
      </c>
      <c r="H21" s="1008">
        <f t="shared" si="159"/>
        <v>0.81621408894136172</v>
      </c>
      <c r="I21" s="1009">
        <f t="shared" si="159"/>
        <v>0.62826603325415675</v>
      </c>
      <c r="J21" s="1010">
        <f t="shared" si="159"/>
        <v>0.59340659340659341</v>
      </c>
      <c r="K21" s="1008">
        <f t="shared" si="159"/>
        <v>0.6049290515309933</v>
      </c>
      <c r="L21" s="1010">
        <f t="shared" si="159"/>
        <v>0.83550824175824179</v>
      </c>
      <c r="M21" s="1009">
        <f t="shared" si="159"/>
        <v>0.71527777777777779</v>
      </c>
      <c r="N21" s="1008">
        <f t="shared" si="159"/>
        <v>0.65846456692913391</v>
      </c>
      <c r="O21" s="1008">
        <f t="shared" si="159"/>
        <v>0.64513981358189076</v>
      </c>
      <c r="P21" s="1008">
        <f t="shared" si="159"/>
        <v>0.84779951100244499</v>
      </c>
      <c r="Q21" s="1009">
        <f t="shared" si="159"/>
        <v>0.75352112676056338</v>
      </c>
      <c r="R21" s="984">
        <f t="shared" si="159"/>
        <v>0.6969957081545064</v>
      </c>
      <c r="S21" s="984">
        <f t="shared" si="159"/>
        <v>0.67865566037735847</v>
      </c>
      <c r="T21" s="984">
        <f t="shared" si="159"/>
        <v>0.85243171219187208</v>
      </c>
      <c r="U21" s="985">
        <f t="shared" si="159"/>
        <v>0.83810572687224671</v>
      </c>
      <c r="V21" s="984">
        <f t="shared" si="159"/>
        <v>0.72260015117157972</v>
      </c>
      <c r="W21" s="984">
        <f t="shared" si="159"/>
        <v>0.68591370558375631</v>
      </c>
      <c r="X21" s="984">
        <f t="shared" si="159"/>
        <v>0.87227414330218067</v>
      </c>
      <c r="Y21" s="985">
        <f t="shared" si="159"/>
        <v>0.87739164388910584</v>
      </c>
      <c r="Z21" s="1270">
        <f t="shared" ref="Z21" si="160">+Z18/Z6</f>
        <v>0.79543337449362017</v>
      </c>
      <c r="AA21" s="984">
        <f t="shared" si="159"/>
        <v>0.75363088016851321</v>
      </c>
      <c r="AB21" s="984">
        <f t="shared" si="159"/>
        <v>0.88024027551847894</v>
      </c>
      <c r="AC21" s="985">
        <f t="shared" si="159"/>
        <v>0.84967044548380577</v>
      </c>
      <c r="AD21" s="984">
        <f t="shared" si="159"/>
        <v>0.79053524946328679</v>
      </c>
      <c r="AE21" s="984">
        <f t="shared" si="159"/>
        <v>0.76932717523365435</v>
      </c>
      <c r="AF21" s="984">
        <f t="shared" si="159"/>
        <v>0.88007183189645777</v>
      </c>
      <c r="AG21" s="985">
        <f t="shared" si="159"/>
        <v>0.84765827557846229</v>
      </c>
      <c r="AH21" s="984">
        <f t="shared" ref="AH21" si="161">+AH18/AH6</f>
        <v>0.81972026746868332</v>
      </c>
      <c r="AI21" s="984">
        <f t="shared" si="159"/>
        <v>0.79531600708800942</v>
      </c>
      <c r="AJ21" s="984">
        <f t="shared" si="159"/>
        <v>0.88298335309917975</v>
      </c>
      <c r="AK21" s="985">
        <f t="shared" si="159"/>
        <v>0.85372154504066655</v>
      </c>
      <c r="AL21" s="984">
        <f t="shared" si="159"/>
        <v>0.87994212610417299</v>
      </c>
      <c r="AM21" s="984">
        <f t="shared" si="159"/>
        <v>0.81982904365379761</v>
      </c>
      <c r="AN21" s="984">
        <f t="shared" si="159"/>
        <v>0.89904570544235229</v>
      </c>
      <c r="AO21" s="985">
        <f t="shared" ref="AO21:AQ21" si="162">+AO18/AO6</f>
        <v>0.85903445575567738</v>
      </c>
      <c r="AP21" s="984">
        <f t="shared" si="162"/>
        <v>0.90018790218790223</v>
      </c>
      <c r="AQ21" s="984">
        <f t="shared" si="162"/>
        <v>0.83257149000215014</v>
      </c>
      <c r="AR21" s="984">
        <f t="shared" ref="AR21:AS21" si="163">+AR18/AR6</f>
        <v>0.90223445575282857</v>
      </c>
      <c r="AS21" s="985">
        <f t="shared" si="163"/>
        <v>0.86583789803597466</v>
      </c>
      <c r="AT21" s="984">
        <f t="shared" ref="AT21:AW21" si="164">+AT18/AT6</f>
        <v>0.9061732024817768</v>
      </c>
      <c r="AU21" s="984">
        <f t="shared" si="164"/>
        <v>0.84300701102879017</v>
      </c>
      <c r="AV21" s="984">
        <f t="shared" si="164"/>
        <v>0.90555884326756542</v>
      </c>
      <c r="AW21" s="985">
        <f t="shared" si="164"/>
        <v>0.87254023036495942</v>
      </c>
      <c r="AX21" s="984">
        <f t="shared" ref="AX21:BA21" si="165">+AX18/AX6</f>
        <v>0.91283644555580989</v>
      </c>
      <c r="AY21" s="984">
        <f t="shared" si="165"/>
        <v>0.8534155479353186</v>
      </c>
      <c r="AZ21" s="984">
        <f t="shared" si="165"/>
        <v>0.90911699414715896</v>
      </c>
      <c r="BA21" s="985">
        <f t="shared" si="165"/>
        <v>0.87909287625214994</v>
      </c>
      <c r="BB21" s="1013"/>
      <c r="BC21" s="846"/>
      <c r="BD21" s="1011">
        <f t="shared" ref="BD21:BE21" si="166">+BD18/BD$6</f>
        <v>0.72539412015338733</v>
      </c>
      <c r="BE21" s="1011">
        <f t="shared" si="166"/>
        <v>0.7342090013521344</v>
      </c>
      <c r="BF21" s="1017">
        <f>+BF18/BF$6</f>
        <v>0.73045643153526973</v>
      </c>
      <c r="BG21" s="1017">
        <f>+BG18/BG$6</f>
        <v>0.76076061320754718</v>
      </c>
      <c r="BH21" s="1017">
        <f>+BH18/BH$6</f>
        <v>0.78708165125667406</v>
      </c>
      <c r="BI21" s="1017">
        <f t="shared" ref="BI21:BM21" si="167">+BI18/BI$6</f>
        <v>0.82258901692100073</v>
      </c>
      <c r="BJ21" s="1017">
        <f t="shared" si="167"/>
        <v>0.83447334688174701</v>
      </c>
      <c r="BK21" s="1017">
        <f t="shared" si="167"/>
        <v>0.83433084009349745</v>
      </c>
      <c r="BL21" s="1017">
        <f t="shared" si="167"/>
        <v>0.84746547164632446</v>
      </c>
      <c r="BM21" s="1062">
        <f t="shared" si="167"/>
        <v>0.87090403589825294</v>
      </c>
      <c r="BN21" s="1368">
        <f t="shared" ref="BN21:BO21" si="168">+BN18/BN$6</f>
        <v>0.87935858986127158</v>
      </c>
      <c r="BO21" s="1368">
        <f t="shared" si="168"/>
        <v>0.88512824608649021</v>
      </c>
      <c r="BP21" s="1368">
        <f t="shared" ref="BP21" si="169">+BP18/BP$6</f>
        <v>0.89116218463971453</v>
      </c>
      <c r="BR21" s="1425"/>
      <c r="BS21" s="1425"/>
      <c r="BT21" s="1425"/>
      <c r="BU21" s="1263"/>
    </row>
    <row r="22" spans="1:73" s="492" customFormat="1" ht="12" customHeight="1">
      <c r="A22" s="1066"/>
      <c r="B22" s="1058"/>
      <c r="C22" s="1058"/>
      <c r="D22" s="1058"/>
      <c r="E22" s="1059"/>
      <c r="F22" s="1058"/>
      <c r="G22" s="1058"/>
      <c r="H22" s="1058"/>
      <c r="I22" s="1059"/>
      <c r="J22" s="1058"/>
      <c r="K22" s="1058"/>
      <c r="L22" s="1058"/>
      <c r="M22" s="1059"/>
      <c r="N22" s="1058"/>
      <c r="O22" s="1058"/>
      <c r="P22" s="1058"/>
      <c r="Q22" s="1059"/>
      <c r="R22" s="1058"/>
      <c r="S22" s="1058"/>
      <c r="T22" s="1058"/>
      <c r="U22" s="1059"/>
      <c r="V22" s="1058"/>
      <c r="W22" s="1060"/>
      <c r="X22" s="1060"/>
      <c r="Y22" s="1061"/>
      <c r="Z22" s="1272"/>
      <c r="AA22" s="1060"/>
      <c r="AB22" s="1060"/>
      <c r="AC22" s="1061"/>
      <c r="AD22" s="1060"/>
      <c r="AE22" s="1060"/>
      <c r="AF22" s="1060"/>
      <c r="AG22" s="1061"/>
      <c r="AH22" s="2002" t="s">
        <v>695</v>
      </c>
      <c r="AI22" s="2002" t="s">
        <v>696</v>
      </c>
      <c r="AJ22" s="2002" t="s">
        <v>697</v>
      </c>
      <c r="AK22" s="2001" t="s">
        <v>698</v>
      </c>
      <c r="AL22" s="2002" t="s">
        <v>699</v>
      </c>
      <c r="AM22" s="2002" t="s">
        <v>700</v>
      </c>
      <c r="AN22" s="2002" t="s">
        <v>701</v>
      </c>
      <c r="AO22" s="2001" t="s">
        <v>720</v>
      </c>
      <c r="AP22" s="2002" t="s">
        <v>734</v>
      </c>
      <c r="AQ22" s="2002" t="s">
        <v>700</v>
      </c>
      <c r="AR22" s="2002" t="s">
        <v>702</v>
      </c>
      <c r="AS22" s="2001" t="s">
        <v>703</v>
      </c>
      <c r="AT22" s="2002" t="s">
        <v>704</v>
      </c>
      <c r="AU22" s="2002" t="s">
        <v>705</v>
      </c>
      <c r="AV22" s="2002" t="s">
        <v>706</v>
      </c>
      <c r="AW22" s="2001" t="s">
        <v>707</v>
      </c>
      <c r="AX22" s="2002" t="s">
        <v>708</v>
      </c>
      <c r="AY22" s="2002" t="s">
        <v>709</v>
      </c>
      <c r="AZ22" s="2002" t="s">
        <v>710</v>
      </c>
      <c r="BA22" s="2001" t="s">
        <v>711</v>
      </c>
      <c r="BB22" s="2000"/>
      <c r="BC22" s="981"/>
      <c r="BD22" s="981"/>
      <c r="BE22" s="981"/>
      <c r="BF22" s="981"/>
      <c r="BG22" s="981"/>
      <c r="BH22" s="981"/>
      <c r="BI22" s="981"/>
      <c r="BJ22" s="981"/>
      <c r="BK22" s="981"/>
      <c r="BL22" s="981"/>
      <c r="BM22" s="1374"/>
      <c r="BN22" s="1375"/>
      <c r="BO22" s="1375"/>
      <c r="BP22" s="1375"/>
      <c r="BR22" s="1429"/>
      <c r="BS22" s="1429"/>
      <c r="BT22" s="1429"/>
      <c r="BU22" s="1263"/>
    </row>
    <row r="23" spans="1:73" s="861" customFormat="1" ht="12" customHeight="1">
      <c r="A23" s="2020" t="s">
        <v>684</v>
      </c>
      <c r="B23" s="2021"/>
      <c r="C23" s="2022"/>
      <c r="D23" s="2022"/>
      <c r="E23" s="2023"/>
      <c r="F23" s="2021"/>
      <c r="G23" s="2022"/>
      <c r="H23" s="2022"/>
      <c r="I23" s="2022"/>
      <c r="J23" s="2024"/>
      <c r="K23" s="2022"/>
      <c r="L23" s="2022"/>
      <c r="M23" s="2023"/>
      <c r="N23" s="2025"/>
      <c r="O23" s="2022"/>
      <c r="P23" s="2022"/>
      <c r="Q23" s="2023"/>
      <c r="R23" s="2022"/>
      <c r="S23" s="2022"/>
      <c r="T23" s="2022"/>
      <c r="U23" s="2022"/>
      <c r="V23" s="2026"/>
      <c r="W23" s="2022"/>
      <c r="X23" s="2022"/>
      <c r="Y23" s="2023"/>
      <c r="Z23" s="2027"/>
      <c r="AA23" s="2022"/>
      <c r="AB23" s="2022"/>
      <c r="AC23" s="2023"/>
      <c r="AD23" s="2022"/>
      <c r="AE23" s="2022"/>
      <c r="AF23" s="2022"/>
      <c r="AG23" s="2023"/>
      <c r="AH23" s="2022"/>
      <c r="AI23" s="2022"/>
      <c r="AJ23" s="2022"/>
      <c r="AK23" s="2023"/>
      <c r="AL23" s="2022"/>
      <c r="AM23" s="2022"/>
      <c r="AN23" s="2022"/>
      <c r="AO23" s="2023"/>
      <c r="AP23" s="2022"/>
      <c r="AQ23" s="2022"/>
      <c r="AR23" s="2022"/>
      <c r="AS23" s="2023"/>
      <c r="AT23" s="2022"/>
      <c r="AU23" s="2022"/>
      <c r="AV23" s="2022"/>
      <c r="AW23" s="2023"/>
      <c r="AX23" s="2022"/>
      <c r="AY23" s="2022"/>
      <c r="AZ23" s="2022"/>
      <c r="BA23" s="2023"/>
      <c r="BB23" s="1141"/>
      <c r="BC23" s="1001"/>
      <c r="BD23" s="1001"/>
      <c r="BE23" s="1001"/>
      <c r="BF23" s="1001"/>
      <c r="BG23" s="1001"/>
      <c r="BH23" s="1001"/>
      <c r="BI23" s="2028"/>
      <c r="BJ23" s="2028"/>
      <c r="BK23" s="2028"/>
      <c r="BL23" s="2028"/>
      <c r="BM23" s="2028"/>
      <c r="BN23" s="2029"/>
      <c r="BO23" s="2029"/>
      <c r="BP23" s="2029"/>
      <c r="BR23" s="1404"/>
      <c r="BS23" s="1404"/>
      <c r="BT23" s="1404"/>
      <c r="BU23" s="1262"/>
    </row>
    <row r="24" spans="1:73" s="492" customFormat="1" ht="12" customHeight="1">
      <c r="A24" s="2010" t="s">
        <v>682</v>
      </c>
      <c r="B24" s="2011">
        <v>530</v>
      </c>
      <c r="C24" s="2011">
        <v>547</v>
      </c>
      <c r="D24" s="2011">
        <v>557</v>
      </c>
      <c r="E24" s="2012">
        <v>587</v>
      </c>
      <c r="F24" s="2013">
        <f t="shared" ref="F24:V24" si="170">+F154+F160</f>
        <v>593</v>
      </c>
      <c r="G24" s="2013">
        <f t="shared" si="170"/>
        <v>618</v>
      </c>
      <c r="H24" s="2013">
        <f t="shared" si="170"/>
        <v>655</v>
      </c>
      <c r="I24" s="2014">
        <f t="shared" si="170"/>
        <v>708</v>
      </c>
      <c r="J24" s="2013">
        <f t="shared" si="170"/>
        <v>819</v>
      </c>
      <c r="K24" s="2013">
        <f t="shared" si="170"/>
        <v>713</v>
      </c>
      <c r="L24" s="2013">
        <f t="shared" si="170"/>
        <v>747</v>
      </c>
      <c r="M24" s="2014">
        <f t="shared" si="170"/>
        <v>782</v>
      </c>
      <c r="N24" s="2013">
        <f t="shared" si="170"/>
        <v>908</v>
      </c>
      <c r="O24" s="2013">
        <f t="shared" si="170"/>
        <v>833</v>
      </c>
      <c r="P24" s="2013">
        <f t="shared" si="170"/>
        <v>887</v>
      </c>
      <c r="Q24" s="2014">
        <f t="shared" si="170"/>
        <v>905</v>
      </c>
      <c r="R24" s="2013">
        <f t="shared" si="170"/>
        <v>1046</v>
      </c>
      <c r="S24" s="2013">
        <f t="shared" si="170"/>
        <v>973</v>
      </c>
      <c r="T24" s="2013">
        <f t="shared" si="170"/>
        <v>982</v>
      </c>
      <c r="U24" s="2014">
        <f t="shared" si="170"/>
        <v>1049</v>
      </c>
      <c r="V24" s="2013">
        <f t="shared" si="170"/>
        <v>1181</v>
      </c>
      <c r="W24" s="2015">
        <f>+W32+W135</f>
        <v>1078</v>
      </c>
      <c r="X24" s="2015">
        <f>+X32+X135</f>
        <v>1177</v>
      </c>
      <c r="Y24" s="2014">
        <f>+Y154+Y160</f>
        <v>1252</v>
      </c>
      <c r="Z24" s="2016">
        <f>+Z154+Z160</f>
        <v>1443</v>
      </c>
      <c r="AA24" s="2015">
        <v>1581</v>
      </c>
      <c r="AB24" s="2015">
        <v>1667</v>
      </c>
      <c r="AC24" s="2017">
        <v>1769</v>
      </c>
      <c r="AD24" s="2015">
        <v>1988</v>
      </c>
      <c r="AE24" s="2015">
        <v>1897</v>
      </c>
      <c r="AF24" s="2015">
        <v>2021</v>
      </c>
      <c r="AG24" s="2017">
        <v>2132</v>
      </c>
      <c r="AH24" s="2015">
        <v>2344</v>
      </c>
      <c r="AI24" s="2015">
        <v>2245</v>
      </c>
      <c r="AJ24" s="2015">
        <f t="shared" ref="AJ24:BA24" si="171">+AJ32+AJ135</f>
        <v>2387</v>
      </c>
      <c r="AK24" s="2017">
        <f t="shared" si="171"/>
        <v>2557</v>
      </c>
      <c r="AL24" s="2015">
        <f t="shared" si="171"/>
        <v>2544</v>
      </c>
      <c r="AM24" s="2015">
        <f t="shared" si="171"/>
        <v>2671</v>
      </c>
      <c r="AN24" s="2015">
        <f t="shared" si="171"/>
        <v>2849</v>
      </c>
      <c r="AO24" s="2017">
        <f t="shared" si="171"/>
        <v>3013</v>
      </c>
      <c r="AP24" s="2015">
        <f>+AP32+AP135</f>
        <v>2991</v>
      </c>
      <c r="AQ24" s="2015">
        <f>+AQ32+AQ135</f>
        <v>3164</v>
      </c>
      <c r="AR24" s="2015">
        <f>+AR32+AR135</f>
        <v>3231.27</v>
      </c>
      <c r="AS24" s="2017">
        <f>+AS32+AS135</f>
        <v>3392.0474999999997</v>
      </c>
      <c r="AT24" s="2015">
        <f t="shared" si="171"/>
        <v>3432.335</v>
      </c>
      <c r="AU24" s="2015">
        <f t="shared" si="171"/>
        <v>3739.0647105004909</v>
      </c>
      <c r="AV24" s="2015">
        <f t="shared" si="171"/>
        <v>3715.4336999999996</v>
      </c>
      <c r="AW24" s="2017">
        <f t="shared" si="171"/>
        <v>3833.2076999999999</v>
      </c>
      <c r="AX24" s="2015">
        <f t="shared" si="171"/>
        <v>3946.7312999999999</v>
      </c>
      <c r="AY24" s="2015">
        <f t="shared" si="171"/>
        <v>4367.8069938197796</v>
      </c>
      <c r="AZ24" s="2015">
        <f t="shared" si="171"/>
        <v>4259.3603699999994</v>
      </c>
      <c r="BA24" s="2017">
        <f t="shared" si="171"/>
        <v>4374.0334079999993</v>
      </c>
      <c r="BB24" s="1005"/>
      <c r="BC24" s="981"/>
      <c r="BD24" s="1083">
        <f>SUM(B24:E24)</f>
        <v>2221</v>
      </c>
      <c r="BE24" s="1083">
        <f>SUM(F24:I24)</f>
        <v>2574</v>
      </c>
      <c r="BF24" s="1083">
        <f>SUM(J24:M24)</f>
        <v>3061</v>
      </c>
      <c r="BG24" s="1083">
        <f>SUM(N24:Q24)</f>
        <v>3533</v>
      </c>
      <c r="BH24" s="1083">
        <f>SUM(R24:U24)</f>
        <v>4050</v>
      </c>
      <c r="BI24" s="2018">
        <f>SUM(V24:Y24)</f>
        <v>4688</v>
      </c>
      <c r="BJ24" s="2018">
        <f>SUM(Z24:AC24)</f>
        <v>6460</v>
      </c>
      <c r="BK24" s="2018">
        <f>SUM(AD24:AG24)</f>
        <v>8038</v>
      </c>
      <c r="BL24" s="2018">
        <f>SUM(AH24:AK24)</f>
        <v>9533</v>
      </c>
      <c r="BM24" s="2018">
        <f>SUM(AL24:AO24)</f>
        <v>11077</v>
      </c>
      <c r="BN24" s="2019">
        <f>SUM(AP24:AS24)</f>
        <v>12778.317500000001</v>
      </c>
      <c r="BO24" s="2019">
        <f>SUM(AT24:AW24)</f>
        <v>14720.04111050049</v>
      </c>
      <c r="BP24" s="2019">
        <f>SUM(AX24:BA24)</f>
        <v>16947.932071819778</v>
      </c>
      <c r="BR24" s="1429"/>
      <c r="BS24" s="1431"/>
      <c r="BT24" s="1432"/>
      <c r="BU24" s="1263"/>
    </row>
    <row r="25" spans="1:73" s="1007" customFormat="1" ht="12" customHeight="1">
      <c r="A25" s="1098" t="s">
        <v>507</v>
      </c>
      <c r="B25" s="999" t="str">
        <f t="shared" ref="B25" si="172">IF(ISERROR(B24/#REF!-1),"NA",B24/#REF!-1)</f>
        <v>NA</v>
      </c>
      <c r="C25" s="987" t="str">
        <f t="shared" ref="C25" si="173">IF(ISERROR(C24/#REF!-1),"NA",C24/#REF!-1)</f>
        <v>NA</v>
      </c>
      <c r="D25" s="987" t="str">
        <f t="shared" ref="D25" si="174">IF(ISERROR(D24/#REF!-1),"NA",D24/#REF!-1)</f>
        <v>NA</v>
      </c>
      <c r="E25" s="998" t="str">
        <f t="shared" ref="E25" si="175">IF(ISERROR(E24/A24-1),"NA",E24/A24-1)</f>
        <v>NA</v>
      </c>
      <c r="F25" s="999">
        <f t="shared" ref="F25" si="176">IF(ISERROR(F24/B24-1),"NA",F24/B24-1)</f>
        <v>0.11886792452830197</v>
      </c>
      <c r="G25" s="987">
        <f t="shared" ref="G25" si="177">IF(ISERROR(G24/C24-1),"NA",G24/C24-1)</f>
        <v>0.12979890310786102</v>
      </c>
      <c r="H25" s="987">
        <f t="shared" ref="H25" si="178">IF(ISERROR(H24/D24-1),"NA",H24/D24-1)</f>
        <v>0.17594254937163378</v>
      </c>
      <c r="I25" s="998">
        <f t="shared" ref="I25" si="179">IF(ISERROR(I24/E24-1),"NA",I24/E24-1)</f>
        <v>0.20613287904599664</v>
      </c>
      <c r="J25" s="999">
        <f t="shared" ref="J25" si="180">IF(ISERROR(J24/F24-1),"NA",J24/F24-1)</f>
        <v>0.38111298482293421</v>
      </c>
      <c r="K25" s="987">
        <f t="shared" ref="K25" si="181">IF(ISERROR(K24/G24-1),"NA",K24/G24-1)</f>
        <v>0.15372168284789645</v>
      </c>
      <c r="L25" s="987">
        <f t="shared" ref="L25" si="182">IF(ISERROR(L24/H24-1),"NA",L24/H24-1)</f>
        <v>0.1404580152671755</v>
      </c>
      <c r="M25" s="998">
        <f t="shared" ref="M25" si="183">IF(ISERROR(M24/I24-1),"NA",M24/I24-1)</f>
        <v>0.10451977401129953</v>
      </c>
      <c r="N25" s="999">
        <f t="shared" ref="N25" si="184">IF(ISERROR(N24/J24-1),"NA",N24/J24-1)</f>
        <v>0.10866910866910873</v>
      </c>
      <c r="O25" s="987">
        <f t="shared" ref="O25" si="185">IF(ISERROR(O24/K24-1),"NA",O24/K24-1)</f>
        <v>0.16830294530154277</v>
      </c>
      <c r="P25" s="987">
        <f t="shared" ref="P25" si="186">IF(ISERROR(P24/L24-1),"NA",P24/L24-1)</f>
        <v>0.18741633199464536</v>
      </c>
      <c r="Q25" s="998">
        <f t="shared" ref="Q25" si="187">IF(ISERROR(Q24/M24-1),"NA",Q24/M24-1)</f>
        <v>0.15728900255754485</v>
      </c>
      <c r="R25" s="984">
        <f t="shared" ref="R25" si="188">IF(ISERROR(R24/N24-1),"NA",R24/N24-1)</f>
        <v>0.15198237885462551</v>
      </c>
      <c r="S25" s="984">
        <f t="shared" ref="S25" si="189">IF(ISERROR(S24/O24-1),"NA",S24/O24-1)</f>
        <v>0.16806722689075637</v>
      </c>
      <c r="T25" s="984">
        <f t="shared" ref="T25" si="190">IF(ISERROR(T24/P24-1),"NA",T24/P24-1)</f>
        <v>0.10710259301014657</v>
      </c>
      <c r="U25" s="985">
        <f t="shared" ref="U25" si="191">IF(ISERROR(U24/Q24-1),"NA",U24/Q24-1)</f>
        <v>0.15911602209944742</v>
      </c>
      <c r="V25" s="984">
        <f t="shared" ref="V25" si="192">IF(ISERROR(V24/R24-1),"NA",V24/R24-1)</f>
        <v>0.12906309751434031</v>
      </c>
      <c r="W25" s="984">
        <f t="shared" ref="W25" si="193">IF(ISERROR(W24/S24-1),"NA",W24/S24-1)</f>
        <v>0.1079136690647482</v>
      </c>
      <c r="X25" s="984">
        <f t="shared" ref="X25:AC25" si="194">IF(ISERROR(X24/T24-1),"NA",X24/T24-1)</f>
        <v>0.19857433808553981</v>
      </c>
      <c r="Y25" s="985">
        <f t="shared" si="194"/>
        <v>0.19351763584366055</v>
      </c>
      <c r="Z25" s="1270">
        <f t="shared" si="194"/>
        <v>0.22184589331075366</v>
      </c>
      <c r="AA25" s="984">
        <f t="shared" si="194"/>
        <v>0.46660482374768097</v>
      </c>
      <c r="AB25" s="984">
        <f t="shared" ref="AB25" si="195">IF(ISERROR(AB24/X24-1),"NA",AB24/X24-1)</f>
        <v>0.41631265930331351</v>
      </c>
      <c r="AC25" s="985">
        <f t="shared" si="194"/>
        <v>0.41293929712460065</v>
      </c>
      <c r="AD25" s="984">
        <f t="shared" ref="AD25" si="196">IF(ISERROR(AD24/Z24-1),"NA",AD24/Z24-1)</f>
        <v>0.37768537768537769</v>
      </c>
      <c r="AE25" s="984">
        <f t="shared" ref="AE25" si="197">IF(ISERROR(AE24/AA24-1),"NA",AE24/AA24-1)</f>
        <v>0.19987349778621133</v>
      </c>
      <c r="AF25" s="984">
        <f t="shared" ref="AF25" si="198">IF(ISERROR(AF24/AB24-1),"NA",AF24/AB24-1)</f>
        <v>0.21235752849430112</v>
      </c>
      <c r="AG25" s="985">
        <f t="shared" ref="AG25" si="199">IF(ISERROR(AG24/AC24-1),"NA",AG24/AC24-1)</f>
        <v>0.20520067834934985</v>
      </c>
      <c r="AH25" s="984">
        <f t="shared" ref="AH25" si="200">IF(ISERROR(AH24/AD24-1),"NA",AH24/AD24-1)</f>
        <v>0.17907444668008043</v>
      </c>
      <c r="AI25" s="984">
        <f t="shared" ref="AI25" si="201">IF(ISERROR(AI24/AE24-1),"NA",AI24/AE24-1)</f>
        <v>0.18344754876120195</v>
      </c>
      <c r="AJ25" s="984">
        <f t="shared" ref="AJ25" si="202">IF(ISERROR(AJ24/AF24-1),"NA",AJ24/AF24-1)</f>
        <v>0.18109846610588809</v>
      </c>
      <c r="AK25" s="985">
        <f t="shared" ref="AK25" si="203">IF(ISERROR(AK24/AG24-1),"NA",AK24/AG24-1)</f>
        <v>0.19934333958724193</v>
      </c>
      <c r="AL25" s="984">
        <f t="shared" ref="AL25" si="204">IF(ISERROR(AL24/AH24-1),"NA",AL24/AH24-1)</f>
        <v>8.53242320819112E-2</v>
      </c>
      <c r="AM25" s="984">
        <f t="shared" ref="AM25" si="205">IF(ISERROR(AM24/AI24-1),"NA",AM24/AI24-1)</f>
        <v>0.18975501113585747</v>
      </c>
      <c r="AN25" s="984">
        <f t="shared" ref="AN25" si="206">IF(ISERROR(AN24/AJ24-1),"NA",AN24/AJ24-1)</f>
        <v>0.19354838709677424</v>
      </c>
      <c r="AO25" s="985">
        <f t="shared" ref="AO25:AQ25" si="207">IF(ISERROR(AO24/AK24-1),"NA",AO24/AK24-1)</f>
        <v>0.17833398513883458</v>
      </c>
      <c r="AP25" s="984">
        <f t="shared" si="207"/>
        <v>0.1757075471698113</v>
      </c>
      <c r="AQ25" s="984">
        <f t="shared" si="207"/>
        <v>0.18457506551853231</v>
      </c>
      <c r="AR25" s="984">
        <f t="shared" ref="AR25" si="208">IF(ISERROR(AR24/AN24-1),"NA",AR24/AN24-1)</f>
        <v>0.13417690417690409</v>
      </c>
      <c r="AS25" s="985">
        <f t="shared" ref="AS25" si="209">IF(ISERROR(AS24/AO24-1),"NA",AS24/AO24-1)</f>
        <v>0.12580401593096568</v>
      </c>
      <c r="AT25" s="984">
        <f t="shared" ref="AT25" si="210">IF(ISERROR(AT24/AP24-1),"NA",AT24/AP24-1)</f>
        <v>0.14755432965563364</v>
      </c>
      <c r="AU25" s="984">
        <f t="shared" ref="AU25" si="211">IF(ISERROR(AU24/AQ24-1),"NA",AU24/AQ24-1)</f>
        <v>0.18175243694705778</v>
      </c>
      <c r="AV25" s="984">
        <f t="shared" ref="AV25" si="212">IF(ISERROR(AV24/AR24-1),"NA",AV24/AR24-1)</f>
        <v>0.14983696812708303</v>
      </c>
      <c r="AW25" s="985">
        <f t="shared" ref="AW25" si="213">IF(ISERROR(AW24/AS24-1),"NA",AW24/AS24-1)</f>
        <v>0.13005719996550758</v>
      </c>
      <c r="AX25" s="984">
        <f t="shared" ref="AX25" si="214">IF(ISERROR(AX24/AT24-1),"NA",AX24/AT24-1)</f>
        <v>0.14986774309617212</v>
      </c>
      <c r="AY25" s="984">
        <f t="shared" ref="AY25" si="215">IF(ISERROR(AY24/AU24-1),"NA",AY24/AU24-1)</f>
        <v>0.16815496173510414</v>
      </c>
      <c r="AZ25" s="984">
        <f t="shared" ref="AZ25" si="216">IF(ISERROR(AZ24/AV24-1),"NA",AZ24/AV24-1)</f>
        <v>0.14639654853752337</v>
      </c>
      <c r="BA25" s="985">
        <f t="shared" ref="BA25" si="217">IF(ISERROR(BA24/AW24-1),"NA",BA24/AW24-1)</f>
        <v>0.14108959136234622</v>
      </c>
      <c r="BB25" s="1006"/>
      <c r="BC25" s="841"/>
      <c r="BD25" s="842" t="str">
        <f t="shared" ref="BD25" si="218">IF(ISERROR(BD24/BB24-1),"NA",BD24/BB24-1)</f>
        <v>NA</v>
      </c>
      <c r="BE25" s="842">
        <f t="shared" ref="BE25" si="219">IF(ISERROR(BE24/BD24-1),"NA",BE24/BD24-1)</f>
        <v>0.15893741557856811</v>
      </c>
      <c r="BF25" s="842">
        <f t="shared" ref="BF25" si="220">IF(ISERROR(BF24/BE24-1),"NA",BF24/BE24-1)</f>
        <v>0.18919968919968921</v>
      </c>
      <c r="BG25" s="842">
        <f t="shared" ref="BG25" si="221">IF(ISERROR(BG24/BF24-1),"NA",BG24/BF24-1)</f>
        <v>0.15419797451813122</v>
      </c>
      <c r="BH25" s="842">
        <f t="shared" ref="BH25" si="222">IF(ISERROR(BH24/BG24-1),"NA",BH24/BG24-1)</f>
        <v>0.14633455986413813</v>
      </c>
      <c r="BI25" s="842">
        <f t="shared" ref="BI25" si="223">IF(ISERROR(BI24/BH24-1),"NA",BI24/BH24-1)</f>
        <v>0.15753086419753082</v>
      </c>
      <c r="BJ25" s="842">
        <f t="shared" ref="BJ25" si="224">IF(ISERROR(BJ24/BI24-1),"NA",BJ24/BI24-1)</f>
        <v>0.37798634812286691</v>
      </c>
      <c r="BK25" s="841">
        <f t="shared" ref="BK25" si="225">IF(ISERROR(BK24/BJ24-1),"NA",BK24/BJ24-1)</f>
        <v>0.2442724458204335</v>
      </c>
      <c r="BL25" s="841">
        <f t="shared" ref="BL25:BP25" si="226">IF(ISERROR(BL24/BK24-1),"NA",BL24/BK24-1)</f>
        <v>0.18599154018412545</v>
      </c>
      <c r="BM25" s="841">
        <f t="shared" si="226"/>
        <v>0.16196370502465118</v>
      </c>
      <c r="BN25" s="1170">
        <f t="shared" si="226"/>
        <v>0.15359009659655154</v>
      </c>
      <c r="BO25" s="1170">
        <f t="shared" si="226"/>
        <v>0.15195455978461081</v>
      </c>
      <c r="BP25" s="1170">
        <f t="shared" si="226"/>
        <v>0.15135086543542542</v>
      </c>
      <c r="BR25" s="1430"/>
      <c r="BS25" s="1430"/>
      <c r="BT25" s="1430"/>
      <c r="BU25" s="1263"/>
    </row>
    <row r="26" spans="1:73" s="1014" customFormat="1" ht="12" customHeight="1">
      <c r="A26" s="1098" t="s">
        <v>712</v>
      </c>
      <c r="B26" s="987"/>
      <c r="C26" s="987"/>
      <c r="D26" s="987"/>
      <c r="E26" s="998"/>
      <c r="F26" s="987"/>
      <c r="G26" s="987"/>
      <c r="H26" s="987"/>
      <c r="I26" s="998"/>
      <c r="J26" s="987"/>
      <c r="K26" s="987"/>
      <c r="L26" s="987"/>
      <c r="M26" s="998"/>
      <c r="N26" s="987"/>
      <c r="O26" s="987"/>
      <c r="P26" s="987"/>
      <c r="Q26" s="998"/>
      <c r="R26" s="984"/>
      <c r="S26" s="984"/>
      <c r="T26" s="984"/>
      <c r="U26" s="985"/>
      <c r="V26" s="984"/>
      <c r="W26" s="984"/>
      <c r="X26" s="984"/>
      <c r="Y26" s="985"/>
      <c r="Z26" s="984"/>
      <c r="AA26" s="984"/>
      <c r="AB26" s="984"/>
      <c r="AC26" s="985"/>
      <c r="AD26" s="984"/>
      <c r="AE26" s="984">
        <f t="shared" ref="AE26:AG26" si="227">(AE24-AE107)/(AA24-AA107)-1</f>
        <v>0.19835943325876215</v>
      </c>
      <c r="AF26" s="984">
        <f t="shared" si="227"/>
        <v>0.21702127659574466</v>
      </c>
      <c r="AG26" s="985">
        <f t="shared" si="227"/>
        <v>0.21409574468085113</v>
      </c>
      <c r="AH26" s="1972">
        <f>(AH24-AH107)/(AD24-AD107)-1</f>
        <v>0.17691415313225067</v>
      </c>
      <c r="AI26" s="1972">
        <f t="shared" ref="AI26:BA26" si="228">(AI24-AI107)/(AE24-AE107)-1</f>
        <v>0.19788425637834473</v>
      </c>
      <c r="AJ26" s="1972">
        <f t="shared" si="228"/>
        <v>0.20163170163170152</v>
      </c>
      <c r="AK26" s="1973">
        <f t="shared" si="228"/>
        <v>0.21960569550930997</v>
      </c>
      <c r="AL26" s="1972">
        <f t="shared" si="228"/>
        <v>9.0192212912764802E-2</v>
      </c>
      <c r="AM26" s="1972">
        <f t="shared" si="228"/>
        <v>0.21818181818181825</v>
      </c>
      <c r="AN26" s="1972">
        <f t="shared" si="228"/>
        <v>0.22453928225024256</v>
      </c>
      <c r="AO26" s="1973">
        <f t="shared" si="228"/>
        <v>0.20565783565334539</v>
      </c>
      <c r="AP26" s="1972">
        <f t="shared" si="228"/>
        <v>0.20253164556962022</v>
      </c>
      <c r="AQ26" s="1972">
        <f t="shared" si="228"/>
        <v>0.21066098081023443</v>
      </c>
      <c r="AR26" s="1972">
        <f t="shared" si="228"/>
        <v>0.14822574257425747</v>
      </c>
      <c r="AS26" s="1973">
        <f t="shared" si="228"/>
        <v>0.1359581005586592</v>
      </c>
      <c r="AT26" s="1972">
        <f t="shared" si="228"/>
        <v>0.15877255639097743</v>
      </c>
      <c r="AU26" s="1972">
        <f t="shared" si="228"/>
        <v>0.19093508647428359</v>
      </c>
      <c r="AV26" s="1972">
        <f t="shared" si="228"/>
        <v>0.15526794675901168</v>
      </c>
      <c r="AW26" s="1973">
        <f t="shared" si="228"/>
        <v>0.13349306855057175</v>
      </c>
      <c r="AX26" s="1972">
        <f t="shared" si="228"/>
        <v>0.1553680245657918</v>
      </c>
      <c r="AY26" s="1972">
        <f t="shared" si="228"/>
        <v>0.17472078587689688</v>
      </c>
      <c r="AZ26" s="1972">
        <f t="shared" si="228"/>
        <v>0.15030202568272966</v>
      </c>
      <c r="BA26" s="1973">
        <f t="shared" si="228"/>
        <v>0.14399647090916745</v>
      </c>
      <c r="BB26" s="1198"/>
      <c r="BC26" s="1908"/>
      <c r="BD26" s="985"/>
      <c r="BE26" s="985"/>
      <c r="BF26" s="985"/>
      <c r="BG26" s="985"/>
      <c r="BH26" s="985"/>
      <c r="BI26" s="985"/>
      <c r="BJ26" s="985"/>
      <c r="BK26" s="991">
        <f t="shared" ref="BK26:BO26" si="229">(BK24-BK107)/(BJ24-BJ107)-1</f>
        <v>0.20621270621270615</v>
      </c>
      <c r="BL26" s="991">
        <f t="shared" si="229"/>
        <v>0.19933071438964056</v>
      </c>
      <c r="BM26" s="991">
        <f t="shared" si="229"/>
        <v>0.18488414412228549</v>
      </c>
      <c r="BN26" s="991">
        <f t="shared" si="229"/>
        <v>0.17214267431145713</v>
      </c>
      <c r="BO26" s="991">
        <f t="shared" si="229"/>
        <v>0.15912588120485727</v>
      </c>
      <c r="BP26" s="991">
        <f>(BP24-BP107)/(BO24-BO107)-1</f>
        <v>0.15605761459778811</v>
      </c>
      <c r="BR26" s="1425"/>
      <c r="BS26" s="1425"/>
      <c r="BT26" s="1425"/>
      <c r="BU26" s="1263"/>
    </row>
    <row r="27" spans="1:73" s="1007" customFormat="1" ht="12" customHeight="1">
      <c r="A27" s="1098" t="s">
        <v>291</v>
      </c>
      <c r="B27" s="999" t="str">
        <f t="shared" ref="B27" si="230">IF(ISERROR(B24/A24-1),"NA",B24/A24-1)</f>
        <v>NA</v>
      </c>
      <c r="C27" s="987">
        <f t="shared" ref="C27" si="231">IF(ISERROR(C24/B24-1),"NA",C24/B24-1)</f>
        <v>3.2075471698113311E-2</v>
      </c>
      <c r="D27" s="987">
        <f t="shared" ref="D27" si="232">IF(ISERROR(D24/C24-1),"NA",D24/C24-1)</f>
        <v>1.8281535648994485E-2</v>
      </c>
      <c r="E27" s="998">
        <f t="shared" ref="E27" si="233">IF(ISERROR(E24/D24-1),"NA",E24/D24-1)</f>
        <v>5.3859964093357249E-2</v>
      </c>
      <c r="F27" s="999">
        <f t="shared" ref="F27" si="234">IF(ISERROR(F24/E24-1),"NA",F24/E24-1)</f>
        <v>1.0221465076660996E-2</v>
      </c>
      <c r="G27" s="987">
        <f t="shared" ref="G27" si="235">IF(ISERROR(G24/F24-1),"NA",G24/F24-1)</f>
        <v>4.2158516020236014E-2</v>
      </c>
      <c r="H27" s="987">
        <f t="shared" ref="H27" si="236">IF(ISERROR(H24/G24-1),"NA",H24/G24-1)</f>
        <v>5.9870550161812197E-2</v>
      </c>
      <c r="I27" s="998">
        <f t="shared" ref="I27" si="237">IF(ISERROR(I24/H24-1),"NA",I24/H24-1)</f>
        <v>8.0916030534351036E-2</v>
      </c>
      <c r="J27" s="999">
        <f t="shared" ref="J27" si="238">IF(ISERROR(J24/I24-1),"NA",J24/I24-1)</f>
        <v>0.15677966101694918</v>
      </c>
      <c r="K27" s="987">
        <f t="shared" ref="K27" si="239">IF(ISERROR(K24/J24-1),"NA",K24/J24-1)</f>
        <v>-0.12942612942612941</v>
      </c>
      <c r="L27" s="987">
        <f t="shared" ref="L27" si="240">IF(ISERROR(L24/K24-1),"NA",L24/K24-1)</f>
        <v>4.7685834502103841E-2</v>
      </c>
      <c r="M27" s="998">
        <f t="shared" ref="M27" si="241">IF(ISERROR(M24/L24-1),"NA",M24/L24-1)</f>
        <v>4.6854082998661228E-2</v>
      </c>
      <c r="N27" s="999">
        <f t="shared" ref="N27" si="242">IF(ISERROR(N24/M24-1),"NA",N24/M24-1)</f>
        <v>0.16112531969309463</v>
      </c>
      <c r="O27" s="987">
        <f t="shared" ref="O27" si="243">IF(ISERROR(O24/N24-1),"NA",O24/N24-1)</f>
        <v>-8.2599118942731309E-2</v>
      </c>
      <c r="P27" s="987">
        <f t="shared" ref="P27" si="244">IF(ISERROR(P24/O24-1),"NA",P24/O24-1)</f>
        <v>6.4825930372148788E-2</v>
      </c>
      <c r="Q27" s="998">
        <f t="shared" ref="Q27" si="245">IF(ISERROR(Q24/P24-1),"NA",Q24/P24-1)</f>
        <v>2.0293122886132942E-2</v>
      </c>
      <c r="R27" s="984">
        <f t="shared" ref="R27" si="246">IF(ISERROR(R24/Q24-1),"NA",R24/Q24-1)</f>
        <v>0.15580110497237576</v>
      </c>
      <c r="S27" s="984">
        <f t="shared" ref="S27" si="247">IF(ISERROR(S24/R24-1),"NA",S24/R24-1)</f>
        <v>-6.9789674952198899E-2</v>
      </c>
      <c r="T27" s="984">
        <f t="shared" ref="T27" si="248">IF(ISERROR(T24/S24-1),"NA",T24/S24-1)</f>
        <v>9.2497430626927724E-3</v>
      </c>
      <c r="U27" s="985">
        <f t="shared" ref="U27" si="249">IF(ISERROR(U24/T24-1),"NA",U24/T24-1)</f>
        <v>6.8228105906313674E-2</v>
      </c>
      <c r="V27" s="984">
        <f t="shared" ref="V27" si="250">IF(ISERROR(V24/U24-1),"NA",V24/U24-1)</f>
        <v>0.12583412774070535</v>
      </c>
      <c r="W27" s="984">
        <f t="shared" ref="W27" si="251">IF(ISERROR(W24/V24-1),"NA",W24/V24-1)</f>
        <v>-8.7214225232853493E-2</v>
      </c>
      <c r="X27" s="984">
        <f t="shared" ref="X27:AC27" si="252">IF(ISERROR(X24/W24-1),"NA",X24/W24-1)</f>
        <v>9.1836734693877542E-2</v>
      </c>
      <c r="Y27" s="985">
        <f t="shared" si="252"/>
        <v>6.3721325403568452E-2</v>
      </c>
      <c r="Z27" s="1270">
        <f t="shared" si="252"/>
        <v>0.15255591054313089</v>
      </c>
      <c r="AA27" s="984">
        <f t="shared" si="252"/>
        <v>9.5634095634095528E-2</v>
      </c>
      <c r="AB27" s="984">
        <f t="shared" ref="AB27" si="253">IF(ISERROR(AB24/AA24-1),"NA",AB24/AA24-1)</f>
        <v>5.4395951929158803E-2</v>
      </c>
      <c r="AC27" s="985">
        <f t="shared" si="252"/>
        <v>6.1187762447510563E-2</v>
      </c>
      <c r="AD27" s="984">
        <f t="shared" ref="AD27" si="254">IF(ISERROR(AD24/AC24-1),"NA",AD24/AC24-1)</f>
        <v>0.12379875635952509</v>
      </c>
      <c r="AE27" s="984">
        <f t="shared" ref="AE27" si="255">IF(ISERROR(AE24/AD24-1),"NA",AE24/AD24-1)</f>
        <v>-4.5774647887323994E-2</v>
      </c>
      <c r="AF27" s="984">
        <f t="shared" ref="AF27" si="256">IF(ISERROR(AF24/AE24-1),"NA",AF24/AE24-1)</f>
        <v>6.5366367949393878E-2</v>
      </c>
      <c r="AG27" s="985">
        <f t="shared" ref="AG27" si="257">IF(ISERROR(AG24/AF24-1),"NA",AG24/AF24-1)</f>
        <v>5.4923305294408697E-2</v>
      </c>
      <c r="AH27" s="984">
        <f t="shared" ref="AH27" si="258">IF(ISERROR(AH24/AG24-1),"NA",AH24/AG24-1)</f>
        <v>9.943714821763594E-2</v>
      </c>
      <c r="AI27" s="984">
        <f t="shared" ref="AI27" si="259">IF(ISERROR(AI24/AH24-1),"NA",AI24/AH24-1)</f>
        <v>-4.2235494880546121E-2</v>
      </c>
      <c r="AJ27" s="984">
        <f t="shared" ref="AJ27" si="260">IF(ISERROR(AJ24/AI24-1),"NA",AJ24/AI24-1)</f>
        <v>6.3251670378619229E-2</v>
      </c>
      <c r="AK27" s="985">
        <f t="shared" ref="AK27" si="261">IF(ISERROR(AK24/AJ24-1),"NA",AK24/AJ24-1)</f>
        <v>7.1219103477168089E-2</v>
      </c>
      <c r="AL27" s="984">
        <f t="shared" ref="AL27" si="262">IF(ISERROR(AL24/AK24-1),"NA",AL24/AK24-1)</f>
        <v>-5.0840829096597817E-3</v>
      </c>
      <c r="AM27" s="984">
        <f t="shared" ref="AM27" si="263">IF(ISERROR(AM24/AL24-1),"NA",AM24/AL24-1)</f>
        <v>4.9921383647798745E-2</v>
      </c>
      <c r="AN27" s="984">
        <f t="shared" ref="AN27" si="264">IF(ISERROR(AN24/AM24-1),"NA",AN24/AM24-1)</f>
        <v>6.6641707225758129E-2</v>
      </c>
      <c r="AO27" s="985">
        <f t="shared" ref="AO27:AQ27" si="265">IF(ISERROR(AO24/AN24-1),"NA",AO24/AN24-1)</f>
        <v>5.7564057564057469E-2</v>
      </c>
      <c r="AP27" s="984">
        <f t="shared" si="265"/>
        <v>-7.3016926651178204E-3</v>
      </c>
      <c r="AQ27" s="984">
        <f t="shared" si="265"/>
        <v>5.7840187228351825E-2</v>
      </c>
      <c r="AR27" s="984">
        <f t="shared" ref="AR27" si="266">IF(ISERROR(AR24/AQ24-1),"NA",AR24/AQ24-1)</f>
        <v>2.1261061946902693E-2</v>
      </c>
      <c r="AS27" s="985">
        <f t="shared" ref="AS27" si="267">IF(ISERROR(AS24/AR24-1),"NA",AS24/AR24-1)</f>
        <v>4.9756751989155967E-2</v>
      </c>
      <c r="AT27" s="984">
        <f t="shared" ref="AT27" si="268">IF(ISERROR(AT24/AS24-1),"NA",AT24/AS24-1)</f>
        <v>1.1877044764261324E-2</v>
      </c>
      <c r="AU27" s="984">
        <f t="shared" ref="AU27" si="269">IF(ISERROR(AU24/AT24-1),"NA",AU24/AT24-1)</f>
        <v>8.9364735814100538E-2</v>
      </c>
      <c r="AV27" s="984">
        <f t="shared" ref="AV27" si="270">IF(ISERROR(AV24/AU24-1),"NA",AV24/AU24-1)</f>
        <v>-6.3200325028148763E-3</v>
      </c>
      <c r="AW27" s="985">
        <f t="shared" ref="AW27" si="271">IF(ISERROR(AW24/AV24-1),"NA",AW24/AV24-1)</f>
        <v>3.1698587435431858E-2</v>
      </c>
      <c r="AX27" s="984">
        <f t="shared" ref="AX27" si="272">IF(ISERROR(AX24/AW24-1),"NA",AX24/AW24-1)</f>
        <v>2.9615822800314273E-2</v>
      </c>
      <c r="AY27" s="984">
        <f t="shared" ref="AY27" si="273">IF(ISERROR(AY24/AX24-1),"NA",AY24/AX24-1)</f>
        <v>0.10668972925007081</v>
      </c>
      <c r="AZ27" s="984">
        <f t="shared" ref="AZ27" si="274">IF(ISERROR(AZ24/AY24-1),"NA",AZ24/AY24-1)</f>
        <v>-2.4828620855552153E-2</v>
      </c>
      <c r="BA27" s="985">
        <f t="shared" ref="BA27" si="275">IF(ISERROR(BA24/AZ24-1),"NA",BA24/AZ24-1)</f>
        <v>2.6922595892021173E-2</v>
      </c>
      <c r="BB27" s="1006"/>
      <c r="BC27" s="846"/>
      <c r="BD27" s="989" t="s">
        <v>366</v>
      </c>
      <c r="BE27" s="989" t="s">
        <v>366</v>
      </c>
      <c r="BF27" s="989" t="s">
        <v>366</v>
      </c>
      <c r="BG27" s="841" t="s">
        <v>366</v>
      </c>
      <c r="BH27" s="841" t="s">
        <v>366</v>
      </c>
      <c r="BI27" s="989" t="s">
        <v>366</v>
      </c>
      <c r="BJ27" s="989" t="s">
        <v>366</v>
      </c>
      <c r="BK27" s="989" t="s">
        <v>366</v>
      </c>
      <c r="BL27" s="989" t="s">
        <v>366</v>
      </c>
      <c r="BM27" s="1046" t="s">
        <v>366</v>
      </c>
      <c r="BN27" s="1188" t="s">
        <v>366</v>
      </c>
      <c r="BO27" s="1188" t="s">
        <v>366</v>
      </c>
      <c r="BP27" s="1188" t="s">
        <v>366</v>
      </c>
      <c r="BR27" s="1430"/>
      <c r="BS27" s="1430"/>
      <c r="BT27" s="1430"/>
      <c r="BU27" s="1263"/>
    </row>
    <row r="28" spans="1:73" s="1007" customFormat="1" ht="12" customHeight="1">
      <c r="A28" s="1098" t="s">
        <v>153</v>
      </c>
      <c r="B28" s="1008">
        <f>+B24/B$6</f>
        <v>0.7433380084151473</v>
      </c>
      <c r="C28" s="1008">
        <f t="shared" ref="C28:E28" si="276">+C24/C$6</f>
        <v>0.59263271939328277</v>
      </c>
      <c r="D28" s="1008">
        <f t="shared" si="276"/>
        <v>0.24175347222222221</v>
      </c>
      <c r="E28" s="1009">
        <f t="shared" si="276"/>
        <v>0.77851458885941649</v>
      </c>
      <c r="F28" s="1008">
        <f>+F24/F$6</f>
        <v>0.76221079691516713</v>
      </c>
      <c r="G28" s="1008">
        <f t="shared" ref="G28:U28" si="277">+G24/G$6</f>
        <v>0.6082677165354331</v>
      </c>
      <c r="H28" s="1008">
        <f t="shared" si="277"/>
        <v>0.25777253049980325</v>
      </c>
      <c r="I28" s="1009">
        <f t="shared" si="277"/>
        <v>0.84085510688836107</v>
      </c>
      <c r="J28" s="1010">
        <f t="shared" si="277"/>
        <v>0.9</v>
      </c>
      <c r="K28" s="1008">
        <f t="shared" si="277"/>
        <v>0.53248693054518292</v>
      </c>
      <c r="L28" s="1010">
        <f t="shared" si="277"/>
        <v>0.25652472527472525</v>
      </c>
      <c r="M28" s="1009">
        <f t="shared" si="277"/>
        <v>0.90509259259259256</v>
      </c>
      <c r="N28" s="1008">
        <f t="shared" si="277"/>
        <v>0.89370078740157477</v>
      </c>
      <c r="O28" s="1008">
        <f t="shared" si="277"/>
        <v>0.55459387483355527</v>
      </c>
      <c r="P28" s="1008">
        <f t="shared" si="277"/>
        <v>0.27108801955990219</v>
      </c>
      <c r="Q28" s="1009">
        <f t="shared" si="277"/>
        <v>0.91046277665995978</v>
      </c>
      <c r="R28" s="984">
        <f t="shared" si="277"/>
        <v>0.89785407725321886</v>
      </c>
      <c r="S28" s="984">
        <f t="shared" si="277"/>
        <v>0.57370283018867929</v>
      </c>
      <c r="T28" s="984">
        <f t="shared" si="277"/>
        <v>0.32711525649566953</v>
      </c>
      <c r="U28" s="985">
        <f t="shared" si="277"/>
        <v>0.57764317180616742</v>
      </c>
      <c r="V28" s="984">
        <f t="shared" ref="V28:AO28" si="278">+V24/V$6</f>
        <v>0.89266817838246415</v>
      </c>
      <c r="W28" s="984">
        <f t="shared" si="278"/>
        <v>0.68401015228426398</v>
      </c>
      <c r="X28" s="984">
        <f t="shared" si="278"/>
        <v>0.28205128205128205</v>
      </c>
      <c r="Y28" s="985">
        <f t="shared" si="278"/>
        <v>0.48887153455681376</v>
      </c>
      <c r="Z28" s="1270">
        <f t="shared" ref="Z28:AA28" si="279">+Z24/Z$6</f>
        <v>0.71898355754858001</v>
      </c>
      <c r="AA28" s="984">
        <f t="shared" si="279"/>
        <v>0.59147025813692478</v>
      </c>
      <c r="AB28" s="984">
        <f t="shared" si="278"/>
        <v>0.29598721590909094</v>
      </c>
      <c r="AC28" s="985">
        <f t="shared" ref="AC28" si="280">+AC24/AC$6</f>
        <v>0.73280861640430817</v>
      </c>
      <c r="AD28" s="984">
        <f t="shared" si="278"/>
        <v>0.76549865229110514</v>
      </c>
      <c r="AE28" s="984">
        <f t="shared" si="278"/>
        <v>0.62380795790858268</v>
      </c>
      <c r="AF28" s="984">
        <f t="shared" si="278"/>
        <v>0.33582585576603524</v>
      </c>
      <c r="AG28" s="985">
        <f t="shared" si="278"/>
        <v>0.78613569321533927</v>
      </c>
      <c r="AH28" s="984">
        <f t="shared" si="278"/>
        <v>0.78710543989254533</v>
      </c>
      <c r="AI28" s="984">
        <f t="shared" si="278"/>
        <v>0.66302421736562311</v>
      </c>
      <c r="AJ28" s="984">
        <f t="shared" si="278"/>
        <v>0.35431200831230525</v>
      </c>
      <c r="AK28" s="985">
        <f t="shared" si="278"/>
        <v>0.80307788944723602</v>
      </c>
      <c r="AL28" s="984">
        <f t="shared" si="278"/>
        <v>0.77490100517819072</v>
      </c>
      <c r="AM28" s="984">
        <f t="shared" si="278"/>
        <v>0.67398435528639922</v>
      </c>
      <c r="AN28" s="984">
        <f t="shared" si="278"/>
        <v>0.36742326541140058</v>
      </c>
      <c r="AO28" s="985">
        <f t="shared" si="278"/>
        <v>0.78647872618115378</v>
      </c>
      <c r="AP28" s="984">
        <f t="shared" ref="AP28:AQ28" si="281">+AP24/AP$6</f>
        <v>0.76988416988416986</v>
      </c>
      <c r="AQ28" s="984">
        <f t="shared" si="281"/>
        <v>0.68028380993334769</v>
      </c>
      <c r="AR28" s="984">
        <f t="shared" ref="AR28:AS28" si="282">+AR24/AR$6</f>
        <v>0.38066128923953035</v>
      </c>
      <c r="AS28" s="985">
        <f t="shared" si="282"/>
        <v>0.79763569698968462</v>
      </c>
      <c r="AT28" s="984">
        <f t="shared" ref="AT28:AW28" si="283">+AT24/AT$6</f>
        <v>0.77702103094650576</v>
      </c>
      <c r="AU28" s="984">
        <f t="shared" si="283"/>
        <v>0.70531155737668205</v>
      </c>
      <c r="AV28" s="984">
        <f t="shared" si="283"/>
        <v>0.39936867395001152</v>
      </c>
      <c r="AW28" s="985">
        <f t="shared" si="283"/>
        <v>0.80776072623799977</v>
      </c>
      <c r="AX28" s="984">
        <f t="shared" ref="AX28:BA28" si="284">+AX24/AX$6</f>
        <v>0.7927660390406992</v>
      </c>
      <c r="AY28" s="984">
        <f t="shared" si="284"/>
        <v>0.72518261048725485</v>
      </c>
      <c r="AZ28" s="984">
        <f t="shared" si="284"/>
        <v>0.4160602508572086</v>
      </c>
      <c r="BA28" s="985">
        <f t="shared" si="284"/>
        <v>0.82020215735914992</v>
      </c>
      <c r="BB28" s="1006"/>
      <c r="BC28" s="846"/>
      <c r="BD28" s="1011">
        <f t="shared" ref="BD28:BE28" si="285">+BD24/BD$6</f>
        <v>0.47315722198551341</v>
      </c>
      <c r="BE28" s="1011">
        <f t="shared" si="285"/>
        <v>0.49719915008692295</v>
      </c>
      <c r="BF28" s="1017">
        <f>+BF24/BF$6</f>
        <v>0.50804979253112037</v>
      </c>
      <c r="BG28" s="1017">
        <f>+BG24/BG$6</f>
        <v>0.52078419811320753</v>
      </c>
      <c r="BH28" s="1017">
        <f>+BH24/BH$6</f>
        <v>0.52741242349264228</v>
      </c>
      <c r="BI28" s="1017">
        <f t="shared" ref="BI28:BM28" si="286">+BI24/BI$6</f>
        <v>0.48666043807744214</v>
      </c>
      <c r="BJ28" s="1017">
        <f t="shared" si="286"/>
        <v>0.50762219079050763</v>
      </c>
      <c r="BK28" s="1017">
        <f t="shared" si="286"/>
        <v>0.55943763919821832</v>
      </c>
      <c r="BL28" s="1017">
        <f t="shared" si="286"/>
        <v>0.58538532391771569</v>
      </c>
      <c r="BM28" s="1062">
        <f t="shared" si="286"/>
        <v>0.58823217035738939</v>
      </c>
      <c r="BN28" s="1368">
        <f t="shared" ref="BN28:BO28" si="287">+BN24/BN$6</f>
        <v>0.60056393705045041</v>
      </c>
      <c r="BO28" s="1368">
        <f t="shared" si="287"/>
        <v>0.61933909843238832</v>
      </c>
      <c r="BP28" s="1368">
        <f t="shared" ref="BP28" si="288">+BP24/BP$6</f>
        <v>0.63781858914370537</v>
      </c>
      <c r="BR28" s="1430"/>
      <c r="BS28" s="1430"/>
      <c r="BT28" s="1430"/>
      <c r="BU28" s="1263"/>
    </row>
    <row r="29" spans="1:73" s="414" customFormat="1" ht="12.75" hidden="1" customHeight="1" outlineLevel="1">
      <c r="A29" s="1936" t="s">
        <v>410</v>
      </c>
      <c r="B29" s="1926"/>
      <c r="C29" s="1926"/>
      <c r="D29" s="1926"/>
      <c r="E29" s="1927"/>
      <c r="F29" s="1071"/>
      <c r="G29" s="1071"/>
      <c r="H29" s="1071"/>
      <c r="I29" s="1072"/>
      <c r="J29" s="1071"/>
      <c r="K29" s="1071"/>
      <c r="L29" s="1071"/>
      <c r="M29" s="1072"/>
      <c r="N29" s="1071"/>
      <c r="O29" s="1071"/>
      <c r="P29" s="1071"/>
      <c r="Q29" s="1072"/>
      <c r="R29" s="1071"/>
      <c r="S29" s="1071"/>
      <c r="T29" s="1071"/>
      <c r="U29" s="1072"/>
      <c r="V29" s="1071"/>
      <c r="W29" s="1928"/>
      <c r="X29" s="1073"/>
      <c r="Y29" s="1072"/>
      <c r="Z29" s="1929"/>
      <c r="AA29" s="1928"/>
      <c r="AB29" s="1073"/>
      <c r="AC29" s="1074"/>
      <c r="AD29" s="1073"/>
      <c r="AE29" s="1073"/>
      <c r="AF29" s="1073"/>
      <c r="AG29" s="1074"/>
      <c r="AH29" s="1935">
        <f>_xll.VAData("INTU",AH$22,"Revenue - Global business solutions","consensus.vaactuals","CD","IMPL","Current","","","USD")</f>
        <v>2344</v>
      </c>
      <c r="AI29" s="1932">
        <f>_xll.VAData("INTU",AI$22,"Revenue - Global business solutions","consensus.vaactuals","CD","IMPL","Current","","","USD")</f>
        <v>2245</v>
      </c>
      <c r="AJ29" s="1933">
        <f>_xll.VAData("INTU",AJ$22,"Revenue - Global business solutions","consensus.vaactuals","CD","IMPL","Current","","","USD")</f>
        <v>2387</v>
      </c>
      <c r="AK29" s="1934">
        <f>_xll.VAData("INTU",AK$22,"Revenue - Global business solutions","consensus.vaactuals","CD","IMPL","Current","","","USD")</f>
        <v>2557</v>
      </c>
      <c r="AL29" s="1933">
        <f>_xll.VAData("INTU",AL$22,"Revenue - Global business solutions","consensus.vaactuals","CD","IMPL","Current","","","USD")</f>
        <v>2544</v>
      </c>
      <c r="AM29" s="1933">
        <f>_xll.VAData("INTU",AM$22,"Revenue - Global business solutions","consensus.vaactuals","CD","IMPL","Current","","","USD")</f>
        <v>2671</v>
      </c>
      <c r="AN29" s="1933">
        <f>_xll.VAData("INTU",AN$22,"Revenue - Global business solutions","consensus.vaactuals","CD","IMPL","Current","","","USD")</f>
        <v>2849</v>
      </c>
      <c r="AO29" s="1934">
        <f>_xll.VAData("INTU",AO$22,"Revenue - Global business solutions","consensus.vaactuals","CD","IMPL","Current","","","USD")</f>
        <v>3013</v>
      </c>
      <c r="AP29" s="1933">
        <f>_xll.VAData("INTU",AP$22,"Revenue - Global business solutions","consensus.vaactuals","CD","IMPL","Current","","","USD")</f>
        <v>2991</v>
      </c>
      <c r="AQ29" s="1933">
        <f>_xll.VAData("INTU",AQ$22,"Revenue - Global business solutions","consensus.vaactuals","CD","IMPL","Current","","","USD")</f>
        <v>2671</v>
      </c>
      <c r="AR29" s="1933">
        <f>_xll.VAData("INTU",AR$22,"Revenue - Global business solutions","consensus.vaactuals","CD","IMPL","Current","","","USD")</f>
        <v>3272.4107237898606</v>
      </c>
      <c r="AS29" s="1934">
        <f>_xll.VAData("INTU",AS$22,"Revenue - Global business solutions","consensus.vaactuals","CD","IMPL","Current","","","USD")</f>
        <v>3346.5481685344598</v>
      </c>
      <c r="AT29" s="1933">
        <f>_xll.VAData("INTU",AT$22,"Revenue - Global business solutions","consensus.vaactuals","CD","IMPL","Current","","","USD")</f>
        <v>3430.2906198290229</v>
      </c>
      <c r="AU29" s="1933">
        <f>_xll.VAData("INTU",AU$22,"Revenue - Global business solutions","consensus.vaactuals","CD","IMPL","Current","","","USD")</f>
        <v>3624.1713271659341</v>
      </c>
      <c r="AV29" s="1933">
        <f>_xll.VAData("INTU",AV$22,"Revenue - Global business solutions","consensus.vaactuals","CD","IMPL","Current","","","USD")</f>
        <v>3770.3244493132815</v>
      </c>
      <c r="AW29" s="1934">
        <f>_xll.VAData("INTU",AW$22,"Revenue - Global business solutions","consensus.vaactuals","CD","IMPL","Current","","","USD")</f>
        <v>3855.9552624517537</v>
      </c>
      <c r="AX29" s="1933">
        <f>_xll.VAData("INTU",AX$22,"Revenue - Global business solutions","consensus.vaactuals","CD","IMPL","Current","","","USD")</f>
        <v>3952.7932704623499</v>
      </c>
      <c r="AY29" s="1933">
        <f>_xll.VAData("INTU",AY$22,"Revenue - Global business solutions","consensus.vaactuals","CD","IMPL","Current","","","USD")</f>
        <v>4171.1076680785727</v>
      </c>
      <c r="AZ29" s="1933">
        <f>_xll.VAData("INTU",AZ$22,"Revenue - Global business solutions","consensus.vaactuals","CD","IMPL","Current","","","USD")</f>
        <v>4307.6077552771212</v>
      </c>
      <c r="BA29" s="1934">
        <f>_xll.VAData("INTU",BA$22,"Revenue - Global business solutions","consensus.vaactuals","CD","IMPL","Current","","","USD")</f>
        <v>4389.4382712833194</v>
      </c>
      <c r="BB29" s="1949"/>
      <c r="BC29" s="1930"/>
      <c r="BD29" s="1130"/>
      <c r="BE29" s="1130"/>
      <c r="BF29" s="1130"/>
      <c r="BG29" s="1130"/>
      <c r="BH29" s="1130"/>
      <c r="BI29" s="1130"/>
      <c r="BJ29" s="1130"/>
      <c r="BK29" s="1130"/>
      <c r="BL29" s="1993">
        <f>SUM(AH29:AK29)</f>
        <v>9533</v>
      </c>
      <c r="BM29" s="1993">
        <f>SUM(AL29:AO29)</f>
        <v>11077</v>
      </c>
      <c r="BN29" s="1994">
        <f>SUM(AP29:AS29)</f>
        <v>12280.958892324321</v>
      </c>
      <c r="BO29" s="1994">
        <f>SUM(AT29:AW29)</f>
        <v>14680.741658759991</v>
      </c>
      <c r="BP29" s="1994">
        <f>SUM(AX29:BA29)</f>
        <v>16820.946965101364</v>
      </c>
      <c r="BR29" s="1406"/>
      <c r="BS29" s="1431"/>
      <c r="BT29" s="1432"/>
      <c r="BU29" s="1263"/>
    </row>
    <row r="30" spans="1:73" s="1014" customFormat="1" ht="12.75" hidden="1" customHeight="1" outlineLevel="1">
      <c r="A30" s="1999" t="s">
        <v>507</v>
      </c>
      <c r="B30" s="1939" t="str">
        <f>IF(ISERROR(B29/#REF!-1),"NA",B29/#REF!-1)</f>
        <v>NA</v>
      </c>
      <c r="C30" s="1940" t="str">
        <f>IF(ISERROR(C29/#REF!-1),"NA",C29/#REF!-1)</f>
        <v>NA</v>
      </c>
      <c r="D30" s="1940" t="str">
        <f>IF(ISERROR(D29/#REF!-1),"NA",D29/#REF!-1)</f>
        <v>NA</v>
      </c>
      <c r="E30" s="1941" t="str">
        <f t="shared" ref="E30:AG30" si="289">IF(ISERROR(E29/A29-1),"NA",E29/A29-1)</f>
        <v>NA</v>
      </c>
      <c r="F30" s="1939" t="str">
        <f t="shared" si="289"/>
        <v>NA</v>
      </c>
      <c r="G30" s="1940" t="str">
        <f t="shared" si="289"/>
        <v>NA</v>
      </c>
      <c r="H30" s="1940" t="str">
        <f t="shared" si="289"/>
        <v>NA</v>
      </c>
      <c r="I30" s="1941" t="str">
        <f t="shared" si="289"/>
        <v>NA</v>
      </c>
      <c r="J30" s="1939" t="str">
        <f t="shared" si="289"/>
        <v>NA</v>
      </c>
      <c r="K30" s="1940" t="str">
        <f t="shared" si="289"/>
        <v>NA</v>
      </c>
      <c r="L30" s="1940" t="str">
        <f t="shared" si="289"/>
        <v>NA</v>
      </c>
      <c r="M30" s="1941" t="str">
        <f t="shared" si="289"/>
        <v>NA</v>
      </c>
      <c r="N30" s="1939" t="str">
        <f t="shared" si="289"/>
        <v>NA</v>
      </c>
      <c r="O30" s="1940" t="str">
        <f t="shared" si="289"/>
        <v>NA</v>
      </c>
      <c r="P30" s="1940" t="str">
        <f t="shared" si="289"/>
        <v>NA</v>
      </c>
      <c r="Q30" s="1941" t="str">
        <f t="shared" si="289"/>
        <v>NA</v>
      </c>
      <c r="R30" s="1942" t="str">
        <f t="shared" si="289"/>
        <v>NA</v>
      </c>
      <c r="S30" s="1942" t="str">
        <f t="shared" si="289"/>
        <v>NA</v>
      </c>
      <c r="T30" s="1942" t="str">
        <f t="shared" si="289"/>
        <v>NA</v>
      </c>
      <c r="U30" s="1943" t="str">
        <f t="shared" si="289"/>
        <v>NA</v>
      </c>
      <c r="V30" s="1942" t="str">
        <f t="shared" si="289"/>
        <v>NA</v>
      </c>
      <c r="W30" s="1942" t="str">
        <f t="shared" si="289"/>
        <v>NA</v>
      </c>
      <c r="X30" s="1942" t="str">
        <f t="shared" si="289"/>
        <v>NA</v>
      </c>
      <c r="Y30" s="1943" t="str">
        <f t="shared" si="289"/>
        <v>NA</v>
      </c>
      <c r="Z30" s="1944" t="str">
        <f t="shared" si="289"/>
        <v>NA</v>
      </c>
      <c r="AA30" s="1942" t="str">
        <f t="shared" si="289"/>
        <v>NA</v>
      </c>
      <c r="AB30" s="1942" t="str">
        <f t="shared" si="289"/>
        <v>NA</v>
      </c>
      <c r="AC30" s="1943" t="str">
        <f t="shared" si="289"/>
        <v>NA</v>
      </c>
      <c r="AD30" s="1944" t="str">
        <f t="shared" si="289"/>
        <v>NA</v>
      </c>
      <c r="AE30" s="1942" t="str">
        <f t="shared" si="289"/>
        <v>NA</v>
      </c>
      <c r="AF30" s="1942" t="str">
        <f t="shared" si="289"/>
        <v>NA</v>
      </c>
      <c r="AG30" s="1943" t="str">
        <f t="shared" si="289"/>
        <v>NA</v>
      </c>
      <c r="AH30" s="1942"/>
      <c r="AI30" s="1942"/>
      <c r="AJ30" s="1942"/>
      <c r="AK30" s="1943"/>
      <c r="AL30" s="1942">
        <f>IF(ISERROR(AL29/AH29-1),"NA",AL29/AH29-1)</f>
        <v>8.53242320819112E-2</v>
      </c>
      <c r="AM30" s="1942">
        <f t="shared" ref="AM30:BA30" si="290">IF(ISERROR(AM29/AI29-1),"NA",AM29/AI29-1)</f>
        <v>0.18975501113585747</v>
      </c>
      <c r="AN30" s="1942">
        <f t="shared" si="290"/>
        <v>0.19354838709677424</v>
      </c>
      <c r="AO30" s="1943">
        <f t="shared" si="290"/>
        <v>0.17833398513883458</v>
      </c>
      <c r="AP30" s="1942">
        <f>IF(ISERROR(AP29/AL29-1),"NA",AP29/AL29-1)</f>
        <v>0.1757075471698113</v>
      </c>
      <c r="AQ30" s="1942">
        <f t="shared" si="290"/>
        <v>0</v>
      </c>
      <c r="AR30" s="1942">
        <f t="shared" si="290"/>
        <v>0.14861731266755385</v>
      </c>
      <c r="AS30" s="1943">
        <f t="shared" si="290"/>
        <v>0.11070300980234316</v>
      </c>
      <c r="AT30" s="1942">
        <f t="shared" si="290"/>
        <v>0.14687081906687505</v>
      </c>
      <c r="AU30" s="1942">
        <f t="shared" si="290"/>
        <v>0.35685935124145796</v>
      </c>
      <c r="AV30" s="1942">
        <f t="shared" si="290"/>
        <v>0.15215502195481578</v>
      </c>
      <c r="AW30" s="1943">
        <f t="shared" si="290"/>
        <v>0.1522186648042112</v>
      </c>
      <c r="AX30" s="1942">
        <f t="shared" si="290"/>
        <v>0.15232022838326453</v>
      </c>
      <c r="AY30" s="1942">
        <f t="shared" si="290"/>
        <v>0.15091348933008009</v>
      </c>
      <c r="AZ30" s="1942">
        <f t="shared" si="290"/>
        <v>0.14250320182967258</v>
      </c>
      <c r="BA30" s="1943">
        <f t="shared" si="290"/>
        <v>0.13835300788535565</v>
      </c>
      <c r="BB30" s="1945"/>
      <c r="BC30" s="1946"/>
      <c r="BD30" s="1947" t="str">
        <f>IF(ISERROR(BD29/BB29-1),"NA",BD29/BB29-1)</f>
        <v>NA</v>
      </c>
      <c r="BE30" s="1947" t="str">
        <f t="shared" ref="BE30:BJ30" si="291">IF(ISERROR(BE29/BD29-1),"NA",BE29/BD29-1)</f>
        <v>NA</v>
      </c>
      <c r="BF30" s="1947" t="str">
        <f t="shared" si="291"/>
        <v>NA</v>
      </c>
      <c r="BG30" s="1947" t="str">
        <f t="shared" si="291"/>
        <v>NA</v>
      </c>
      <c r="BH30" s="1947" t="str">
        <f t="shared" si="291"/>
        <v>NA</v>
      </c>
      <c r="BI30" s="1947" t="str">
        <f t="shared" si="291"/>
        <v>NA</v>
      </c>
      <c r="BJ30" s="1947" t="str">
        <f t="shared" si="291"/>
        <v>NA</v>
      </c>
      <c r="BK30" s="1947"/>
      <c r="BL30" s="1947"/>
      <c r="BM30" s="1947">
        <f>IF(ISERROR(BM29/BL29-1),"NA",BM29/BL29-1)</f>
        <v>0.16196370502465118</v>
      </c>
      <c r="BN30" s="1948">
        <f>IF(ISERROR(BN29/BM29-1),"NA",BN29/BM29-1)</f>
        <v>0.10868997854331686</v>
      </c>
      <c r="BO30" s="1948">
        <f>IF(ISERROR(BO29/BN29-1),"NA",BO29/BN29-1)</f>
        <v>0.19540679090909996</v>
      </c>
      <c r="BP30" s="1948">
        <f>IF(ISERROR(BP29/BO29-1),"NA",BP29/BO29-1)</f>
        <v>0.14578318698662707</v>
      </c>
      <c r="BR30" s="1425"/>
      <c r="BS30" s="1425"/>
      <c r="BT30" s="1425"/>
      <c r="BU30" s="1263"/>
    </row>
    <row r="31" spans="1:73" s="1014" customFormat="1" ht="12" customHeight="1" collapsed="1">
      <c r="A31" s="1064"/>
      <c r="B31" s="1008"/>
      <c r="C31" s="1008"/>
      <c r="D31" s="1008"/>
      <c r="E31" s="1009"/>
      <c r="F31" s="1008"/>
      <c r="G31" s="1008"/>
      <c r="H31" s="1008"/>
      <c r="I31" s="1009"/>
      <c r="J31" s="1010"/>
      <c r="K31" s="1008"/>
      <c r="L31" s="1010"/>
      <c r="M31" s="1009"/>
      <c r="N31" s="1008"/>
      <c r="O31" s="1008"/>
      <c r="P31" s="1008"/>
      <c r="Q31" s="1009"/>
      <c r="R31" s="984"/>
      <c r="S31" s="984"/>
      <c r="T31" s="984"/>
      <c r="U31" s="985"/>
      <c r="V31" s="984"/>
      <c r="W31" s="984"/>
      <c r="X31" s="984"/>
      <c r="Y31" s="985"/>
      <c r="Z31" s="1270"/>
      <c r="AA31" s="1015"/>
      <c r="AB31" s="1015"/>
      <c r="AC31" s="1016"/>
      <c r="AD31" s="1015"/>
      <c r="AE31" s="1015"/>
      <c r="AF31" s="1015"/>
      <c r="AG31" s="1016"/>
      <c r="AH31" s="1015"/>
      <c r="AI31" s="1015"/>
      <c r="AJ31" s="1015"/>
      <c r="AK31" s="1016"/>
      <c r="AL31" s="1015"/>
      <c r="AM31" s="1015"/>
      <c r="AN31" s="1015"/>
      <c r="AO31" s="1016"/>
      <c r="AP31" s="1015"/>
      <c r="AQ31" s="1015"/>
      <c r="AR31" s="1015"/>
      <c r="AS31" s="1016"/>
      <c r="AT31" s="1015"/>
      <c r="AU31" s="1015"/>
      <c r="AV31" s="1015"/>
      <c r="AW31" s="1016"/>
      <c r="AX31" s="1015"/>
      <c r="AY31" s="1015"/>
      <c r="AZ31" s="1015"/>
      <c r="BA31" s="1016"/>
      <c r="BB31" s="1013"/>
      <c r="BC31" s="846"/>
      <c r="BD31" s="1011"/>
      <c r="BE31" s="1011"/>
      <c r="BF31" s="1017"/>
      <c r="BG31" s="1017"/>
      <c r="BH31" s="1017"/>
      <c r="BI31" s="1017"/>
      <c r="BJ31" s="1017"/>
      <c r="BK31" s="1017"/>
      <c r="BL31" s="1062"/>
      <c r="BM31" s="1062"/>
      <c r="BN31" s="1368"/>
      <c r="BO31" s="1368"/>
      <c r="BP31" s="1368"/>
      <c r="BR31" s="1425"/>
      <c r="BS31" s="1425"/>
      <c r="BT31" s="1425"/>
      <c r="BU31" s="1263"/>
    </row>
    <row r="32" spans="1:73" s="492" customFormat="1" ht="12" customHeight="1">
      <c r="A32" s="1910" t="s">
        <v>417</v>
      </c>
      <c r="B32" s="1911">
        <f>+SUM(B63,B86)</f>
        <v>151</v>
      </c>
      <c r="C32" s="1911">
        <f t="shared" ref="C32:Y32" si="292">+SUM(C63,C86)</f>
        <v>155</v>
      </c>
      <c r="D32" s="1911">
        <f t="shared" si="292"/>
        <v>171</v>
      </c>
      <c r="E32" s="1912">
        <f t="shared" si="292"/>
        <v>179</v>
      </c>
      <c r="F32" s="1913">
        <f t="shared" si="292"/>
        <v>191</v>
      </c>
      <c r="G32" s="1913">
        <f t="shared" si="292"/>
        <v>200</v>
      </c>
      <c r="H32" s="1913">
        <f t="shared" si="292"/>
        <v>225</v>
      </c>
      <c r="I32" s="1914">
        <f t="shared" si="292"/>
        <v>242</v>
      </c>
      <c r="J32" s="1913">
        <f t="shared" si="292"/>
        <v>262</v>
      </c>
      <c r="K32" s="1913">
        <f t="shared" si="292"/>
        <v>285</v>
      </c>
      <c r="L32" s="1913">
        <f t="shared" si="292"/>
        <v>318</v>
      </c>
      <c r="M32" s="1914">
        <f t="shared" si="292"/>
        <v>341</v>
      </c>
      <c r="N32" s="1913">
        <f t="shared" si="292"/>
        <v>371</v>
      </c>
      <c r="O32" s="1913">
        <f t="shared" si="292"/>
        <v>394</v>
      </c>
      <c r="P32" s="1913">
        <f t="shared" si="292"/>
        <v>439</v>
      </c>
      <c r="Q32" s="1914">
        <f t="shared" si="292"/>
        <v>459</v>
      </c>
      <c r="R32" s="1913">
        <f t="shared" si="292"/>
        <v>501</v>
      </c>
      <c r="S32" s="1913">
        <f t="shared" si="292"/>
        <v>530</v>
      </c>
      <c r="T32" s="1913">
        <f t="shared" si="292"/>
        <v>560</v>
      </c>
      <c r="U32" s="1914">
        <f t="shared" si="292"/>
        <v>591</v>
      </c>
      <c r="V32" s="1915">
        <f t="shared" si="292"/>
        <v>621</v>
      </c>
      <c r="W32" s="1915">
        <f t="shared" ref="W32" si="293">+SUM(W63,W86)</f>
        <v>644</v>
      </c>
      <c r="X32" s="1915">
        <f t="shared" si="292"/>
        <v>715</v>
      </c>
      <c r="Y32" s="1916">
        <f t="shared" si="292"/>
        <v>770</v>
      </c>
      <c r="Z32" s="1917">
        <f t="shared" ref="Z32:AH32" si="294">+SUM(Z63,Z86)</f>
        <v>845</v>
      </c>
      <c r="AA32" s="1915">
        <f t="shared" si="294"/>
        <v>1121</v>
      </c>
      <c r="AB32" s="1918">
        <f t="shared" si="294"/>
        <v>1192</v>
      </c>
      <c r="AC32" s="1919">
        <f t="shared" si="294"/>
        <v>1280</v>
      </c>
      <c r="AD32" s="1917">
        <f t="shared" si="294"/>
        <v>1349</v>
      </c>
      <c r="AE32" s="1915">
        <f t="shared" si="294"/>
        <v>1391</v>
      </c>
      <c r="AF32" s="1918">
        <f t="shared" si="294"/>
        <v>1468</v>
      </c>
      <c r="AG32" s="1919">
        <f t="shared" si="294"/>
        <v>1551</v>
      </c>
      <c r="AH32" s="1918">
        <f t="shared" si="294"/>
        <v>1618</v>
      </c>
      <c r="AI32" s="1915">
        <f t="shared" ref="AI32:AK32" si="295">+SUM(AI63,AI86)</f>
        <v>1688</v>
      </c>
      <c r="AJ32" s="1915">
        <f t="shared" si="295"/>
        <v>1754</v>
      </c>
      <c r="AK32" s="1919">
        <f t="shared" si="295"/>
        <v>1832</v>
      </c>
      <c r="AL32" s="1918">
        <f>+SUM(AL63,AL86)</f>
        <v>1943</v>
      </c>
      <c r="AM32" s="1915">
        <f t="shared" ref="AM32:AO32" si="296">+SUM(AM63,AM86)</f>
        <v>2038</v>
      </c>
      <c r="AN32" s="1915">
        <f>+SUM(AN63,AN86)</f>
        <v>2103</v>
      </c>
      <c r="AO32" s="1919">
        <f t="shared" si="296"/>
        <v>2218</v>
      </c>
      <c r="AP32" s="1918">
        <f>+SUM(AP63,AP86)</f>
        <v>2351</v>
      </c>
      <c r="AQ32" s="1915">
        <f t="shared" ref="AQ32" si="297">+SUM(AQ63,AQ86)</f>
        <v>2467</v>
      </c>
      <c r="AR32" s="1918">
        <f t="shared" ref="AR32:BA32" si="298">AN32*(1+AR33)</f>
        <v>2481.54</v>
      </c>
      <c r="AS32" s="1919">
        <f t="shared" si="298"/>
        <v>2595.06</v>
      </c>
      <c r="AT32" s="1918">
        <f t="shared" si="298"/>
        <v>2785.9349999999999</v>
      </c>
      <c r="AU32" s="1918">
        <f t="shared" si="298"/>
        <v>2986.3047105004907</v>
      </c>
      <c r="AV32" s="1918">
        <f t="shared" si="298"/>
        <v>2928.2171999999996</v>
      </c>
      <c r="AW32" s="1919">
        <f t="shared" si="298"/>
        <v>3036.2201999999997</v>
      </c>
      <c r="AX32" s="1918">
        <f t="shared" si="298"/>
        <v>3287.4032999999999</v>
      </c>
      <c r="AY32" s="1918">
        <f t="shared" si="298"/>
        <v>3599.9917938197791</v>
      </c>
      <c r="AZ32" s="1918">
        <f t="shared" si="298"/>
        <v>3440.6552099999994</v>
      </c>
      <c r="BA32" s="1919">
        <f t="shared" si="298"/>
        <v>3537.1965329999998</v>
      </c>
      <c r="BB32" s="1920"/>
      <c r="BC32" s="1921"/>
      <c r="BD32" s="1922">
        <f>SUM(B32:E32)</f>
        <v>656</v>
      </c>
      <c r="BE32" s="1922">
        <f>SUM(F32:I32)</f>
        <v>858</v>
      </c>
      <c r="BF32" s="1922">
        <f>SUM(J32:M32)</f>
        <v>1206</v>
      </c>
      <c r="BG32" s="1922">
        <f>SUM(N32:Q32)</f>
        <v>1663</v>
      </c>
      <c r="BH32" s="1922">
        <f>SUM(R32:U32)</f>
        <v>2182</v>
      </c>
      <c r="BI32" s="1922">
        <f>SUM(V32:Y32)</f>
        <v>2750</v>
      </c>
      <c r="BJ32" s="1922">
        <f>SUM(Z32:AC32)</f>
        <v>4438</v>
      </c>
      <c r="BK32" s="1922">
        <f>SUM(AD32:AG32)</f>
        <v>5759</v>
      </c>
      <c r="BL32" s="1922">
        <f>SUM(AH32:AK32)</f>
        <v>6892</v>
      </c>
      <c r="BM32" s="1922">
        <f>SUM(AL32:AO32)</f>
        <v>8302</v>
      </c>
      <c r="BN32" s="1923">
        <f>SUM(AP32:AS32)</f>
        <v>9894.6</v>
      </c>
      <c r="BO32" s="1923">
        <f>SUM(AT32:AW32)</f>
        <v>11736.67711050049</v>
      </c>
      <c r="BP32" s="1923">
        <f>SUM(AX32:BA32)</f>
        <v>13865.246836819779</v>
      </c>
      <c r="BR32" s="1429"/>
      <c r="BS32" s="1429"/>
      <c r="BT32" s="1429"/>
      <c r="BU32" s="1263"/>
    </row>
    <row r="33" spans="1:73" s="414" customFormat="1" ht="12.75" customHeight="1">
      <c r="A33" s="1968" t="s">
        <v>507</v>
      </c>
      <c r="B33" s="1969" t="str">
        <f>IF(ISERROR(B32/#REF!-1),"NA",B32/#REF!-1)</f>
        <v>NA</v>
      </c>
      <c r="C33" s="1970" t="str">
        <f>IF(ISERROR(C32/#REF!-1),"NA",C32/#REF!-1)</f>
        <v>NA</v>
      </c>
      <c r="D33" s="1970" t="str">
        <f>IF(ISERROR(D32/#REF!-1),"NA",D32/#REF!-1)</f>
        <v>NA</v>
      </c>
      <c r="E33" s="1971" t="str">
        <f t="shared" ref="E33:AQ33" si="299">IF(ISERROR(E32/A32-1),"NA",E32/A32-1)</f>
        <v>NA</v>
      </c>
      <c r="F33" s="1969">
        <f t="shared" si="299"/>
        <v>0.26490066225165565</v>
      </c>
      <c r="G33" s="1970">
        <f t="shared" si="299"/>
        <v>0.29032258064516125</v>
      </c>
      <c r="H33" s="1970">
        <f t="shared" si="299"/>
        <v>0.31578947368421062</v>
      </c>
      <c r="I33" s="1971">
        <f t="shared" si="299"/>
        <v>0.35195530726256985</v>
      </c>
      <c r="J33" s="1969">
        <f t="shared" si="299"/>
        <v>0.37172774869109948</v>
      </c>
      <c r="K33" s="1970">
        <f t="shared" si="299"/>
        <v>0.42500000000000004</v>
      </c>
      <c r="L33" s="1970">
        <f t="shared" si="299"/>
        <v>0.41333333333333333</v>
      </c>
      <c r="M33" s="1971">
        <f t="shared" si="299"/>
        <v>0.40909090909090917</v>
      </c>
      <c r="N33" s="1969">
        <f t="shared" si="299"/>
        <v>0.41603053435114501</v>
      </c>
      <c r="O33" s="1970">
        <f t="shared" si="299"/>
        <v>0.38245614035087727</v>
      </c>
      <c r="P33" s="1970">
        <f t="shared" si="299"/>
        <v>0.38050314465408808</v>
      </c>
      <c r="Q33" s="1971">
        <f t="shared" si="299"/>
        <v>0.34604105571847499</v>
      </c>
      <c r="R33" s="1972">
        <f t="shared" si="299"/>
        <v>0.3504043126684635</v>
      </c>
      <c r="S33" s="1972">
        <f t="shared" si="299"/>
        <v>0.34517766497461921</v>
      </c>
      <c r="T33" s="1972">
        <f t="shared" si="299"/>
        <v>0.27562642369020507</v>
      </c>
      <c r="U33" s="1973">
        <f t="shared" si="299"/>
        <v>0.28758169934640532</v>
      </c>
      <c r="V33" s="1972">
        <f t="shared" si="299"/>
        <v>0.23952095808383222</v>
      </c>
      <c r="W33" s="1972">
        <f t="shared" si="299"/>
        <v>0.21509433962264146</v>
      </c>
      <c r="X33" s="1972">
        <f t="shared" si="299"/>
        <v>0.27678571428571419</v>
      </c>
      <c r="Y33" s="1973">
        <f t="shared" si="299"/>
        <v>0.30287648054145522</v>
      </c>
      <c r="Z33" s="1974">
        <f t="shared" si="299"/>
        <v>0.36070853462157815</v>
      </c>
      <c r="AA33" s="1972">
        <f t="shared" si="299"/>
        <v>0.74068322981366452</v>
      </c>
      <c r="AB33" s="1972">
        <f t="shared" si="299"/>
        <v>0.66713286713286712</v>
      </c>
      <c r="AC33" s="1973">
        <f t="shared" si="299"/>
        <v>0.66233766233766245</v>
      </c>
      <c r="AD33" s="1974">
        <f t="shared" si="299"/>
        <v>0.59644970414201182</v>
      </c>
      <c r="AE33" s="1972">
        <f t="shared" si="299"/>
        <v>0.24085637823371986</v>
      </c>
      <c r="AF33" s="1972">
        <f t="shared" si="299"/>
        <v>0.23154362416107377</v>
      </c>
      <c r="AG33" s="1973">
        <f t="shared" si="299"/>
        <v>0.21171874999999996</v>
      </c>
      <c r="AH33" s="1972">
        <f t="shared" si="299"/>
        <v>0.19940696812453673</v>
      </c>
      <c r="AI33" s="1972">
        <f t="shared" si="299"/>
        <v>0.21351545650611081</v>
      </c>
      <c r="AJ33" s="1972">
        <f t="shared" si="299"/>
        <v>0.19482288828337868</v>
      </c>
      <c r="AK33" s="1973">
        <f t="shared" si="299"/>
        <v>0.18117343649258544</v>
      </c>
      <c r="AL33" s="1972">
        <f t="shared" si="299"/>
        <v>0.2008652657601977</v>
      </c>
      <c r="AM33" s="1972">
        <f t="shared" si="299"/>
        <v>0.20734597156398094</v>
      </c>
      <c r="AN33" s="1972">
        <f t="shared" si="299"/>
        <v>0.19897377423033058</v>
      </c>
      <c r="AO33" s="1973">
        <f t="shared" si="299"/>
        <v>0.2106986899563319</v>
      </c>
      <c r="AP33" s="1972">
        <f t="shared" si="299"/>
        <v>0.20998455995882659</v>
      </c>
      <c r="AQ33" s="1972">
        <f t="shared" si="299"/>
        <v>0.21050049067713439</v>
      </c>
      <c r="AR33" s="1976">
        <v>0.18</v>
      </c>
      <c r="AS33" s="1975">
        <v>0.17</v>
      </c>
      <c r="AT33" s="1976">
        <v>0.185</v>
      </c>
      <c r="AU33" s="1976">
        <f>AQ33</f>
        <v>0.21050049067713439</v>
      </c>
      <c r="AV33" s="1976">
        <f t="shared" ref="AV33:AW33" si="300">AR33</f>
        <v>0.18</v>
      </c>
      <c r="AW33" s="1975">
        <f t="shared" si="300"/>
        <v>0.17</v>
      </c>
      <c r="AX33" s="1976">
        <f>AT33-0.5%</f>
        <v>0.18</v>
      </c>
      <c r="AY33" s="1976">
        <f t="shared" ref="AY33:BA33" si="301">AU33-0.5%</f>
        <v>0.20550049067713438</v>
      </c>
      <c r="AZ33" s="1976">
        <f t="shared" si="301"/>
        <v>0.17499999999999999</v>
      </c>
      <c r="BA33" s="1975">
        <f t="shared" si="301"/>
        <v>0.16500000000000001</v>
      </c>
      <c r="BB33" s="1024"/>
      <c r="BC33" s="1001"/>
      <c r="BD33" s="1977" t="str">
        <f>IF(ISERROR(BD32/BB32-1),"NA",BD32/BB32-1)</f>
        <v>NA</v>
      </c>
      <c r="BE33" s="1977">
        <f t="shared" ref="BE33:BP33" si="302">IF(ISERROR(BE32/BD32-1),"NA",BE32/BD32-1)</f>
        <v>0.30792682926829262</v>
      </c>
      <c r="BF33" s="1977">
        <f t="shared" si="302"/>
        <v>0.40559440559440563</v>
      </c>
      <c r="BG33" s="1977">
        <f t="shared" si="302"/>
        <v>0.37893864013266998</v>
      </c>
      <c r="BH33" s="1977">
        <f t="shared" si="302"/>
        <v>0.31208659049909793</v>
      </c>
      <c r="BI33" s="1977">
        <f t="shared" si="302"/>
        <v>0.26031164069660861</v>
      </c>
      <c r="BJ33" s="1977">
        <f t="shared" si="302"/>
        <v>0.61381818181818182</v>
      </c>
      <c r="BK33" s="1977">
        <f t="shared" si="302"/>
        <v>0.29765660207300582</v>
      </c>
      <c r="BL33" s="1977">
        <f t="shared" si="302"/>
        <v>0.19673554436534113</v>
      </c>
      <c r="BM33" s="1977">
        <f t="shared" si="302"/>
        <v>0.20458502611723728</v>
      </c>
      <c r="BN33" s="1978">
        <f t="shared" si="302"/>
        <v>0.19183329318236564</v>
      </c>
      <c r="BO33" s="1978">
        <f t="shared" si="302"/>
        <v>0.18616994224127192</v>
      </c>
      <c r="BP33" s="1978">
        <f t="shared" si="302"/>
        <v>0.18136050828346595</v>
      </c>
      <c r="BR33" s="1406"/>
      <c r="BS33" s="1406"/>
      <c r="BT33" s="1406"/>
      <c r="BU33" s="1263"/>
    </row>
    <row r="34" spans="1:73" s="1014" customFormat="1" ht="12" customHeight="1">
      <c r="A34" s="1968" t="s">
        <v>712</v>
      </c>
      <c r="B34" s="987"/>
      <c r="C34" s="987"/>
      <c r="D34" s="987"/>
      <c r="E34" s="998"/>
      <c r="F34" s="987"/>
      <c r="G34" s="987"/>
      <c r="H34" s="987"/>
      <c r="I34" s="998"/>
      <c r="J34" s="987"/>
      <c r="K34" s="987"/>
      <c r="L34" s="987"/>
      <c r="M34" s="998"/>
      <c r="N34" s="987"/>
      <c r="O34" s="987"/>
      <c r="P34" s="987"/>
      <c r="Q34" s="998"/>
      <c r="R34" s="984"/>
      <c r="S34" s="984"/>
      <c r="T34" s="984"/>
      <c r="U34" s="985"/>
      <c r="V34" s="984"/>
      <c r="W34" s="984"/>
      <c r="X34" s="984"/>
      <c r="Y34" s="985"/>
      <c r="Z34" s="984"/>
      <c r="AA34" s="984"/>
      <c r="AB34" s="984"/>
      <c r="AC34" s="985"/>
      <c r="AD34" s="984"/>
      <c r="AE34" s="984"/>
      <c r="AF34" s="984"/>
      <c r="AG34" s="985"/>
      <c r="AH34" s="1972">
        <f>(AH32-AH107)/(AD32-AD107)-1</f>
        <v>0.20092165898617509</v>
      </c>
      <c r="AI34" s="1972">
        <f t="shared" ref="AI34:BA34" si="303">(AI32-AI107)/(AE32-AE107)-1</f>
        <v>0.24250681198910073</v>
      </c>
      <c r="AJ34" s="1972">
        <f t="shared" si="303"/>
        <v>0.22871883061049014</v>
      </c>
      <c r="AK34" s="1973">
        <f t="shared" si="303"/>
        <v>0.20642570281124506</v>
      </c>
      <c r="AL34" s="1972">
        <f t="shared" si="303"/>
        <v>0.23637759017651572</v>
      </c>
      <c r="AM34" s="1972">
        <f t="shared" si="303"/>
        <v>0.25146198830409361</v>
      </c>
      <c r="AN34" s="1972">
        <f t="shared" si="303"/>
        <v>0.24492652204338694</v>
      </c>
      <c r="AO34" s="1973">
        <f t="shared" si="303"/>
        <v>0.25832223701731016</v>
      </c>
      <c r="AP34" s="1972">
        <f t="shared" si="303"/>
        <v>0.25387957790192428</v>
      </c>
      <c r="AQ34" s="1972">
        <f t="shared" si="303"/>
        <v>0.25116822429906538</v>
      </c>
      <c r="AR34" s="1972">
        <f t="shared" si="303"/>
        <v>0.20828555368184376</v>
      </c>
      <c r="AS34" s="1973">
        <f t="shared" si="303"/>
        <v>0.1920952380952381</v>
      </c>
      <c r="AT34" s="1972">
        <f t="shared" si="303"/>
        <v>0.20590841584158404</v>
      </c>
      <c r="AU34" s="1972">
        <f t="shared" si="303"/>
        <v>0.22703301143813759</v>
      </c>
      <c r="AV34" s="1972">
        <f t="shared" si="303"/>
        <v>0.19198395935874646</v>
      </c>
      <c r="AW34" s="1973">
        <f t="shared" si="303"/>
        <v>0.18071431741720145</v>
      </c>
      <c r="AX34" s="1972">
        <f t="shared" si="303"/>
        <v>0.19128929959132734</v>
      </c>
      <c r="AY34" s="1972">
        <f t="shared" si="303"/>
        <v>0.21903361547819311</v>
      </c>
      <c r="AZ34" s="1972">
        <f t="shared" si="303"/>
        <v>0.18419125825866756</v>
      </c>
      <c r="BA34" s="1973">
        <f t="shared" si="303"/>
        <v>0.17215730224137094</v>
      </c>
      <c r="BB34" s="1198"/>
      <c r="BC34" s="1908"/>
      <c r="BD34" s="985"/>
      <c r="BE34" s="985"/>
      <c r="BF34" s="985"/>
      <c r="BG34" s="985"/>
      <c r="BH34" s="985"/>
      <c r="BI34" s="985"/>
      <c r="BJ34" s="985"/>
      <c r="BK34" s="985">
        <f t="shared" ref="BK34:BO34" si="304">(BK32-BK53)/(BJ32-BJ53)-1</f>
        <v>0.29765754287610724</v>
      </c>
      <c r="BL34" s="985">
        <f t="shared" si="304"/>
        <v>0.19673679701292413</v>
      </c>
      <c r="BM34" s="985">
        <f t="shared" si="304"/>
        <v>0.20458624343599086</v>
      </c>
      <c r="BN34" s="985">
        <f t="shared" si="304"/>
        <v>0.19183431540539497</v>
      </c>
      <c r="BO34" s="985">
        <f t="shared" si="304"/>
        <v>0.1861704336724832</v>
      </c>
      <c r="BP34" s="985">
        <f>(BP32-BP53)/(BO32-BO53)-1</f>
        <v>0.18136238114967451</v>
      </c>
      <c r="BR34" s="1425"/>
      <c r="BS34" s="1425"/>
      <c r="BT34" s="1425"/>
      <c r="BU34" s="1263"/>
    </row>
    <row r="35" spans="1:73" s="304" customFormat="1" ht="11.65" customHeight="1">
      <c r="A35" s="1684" t="s">
        <v>664</v>
      </c>
      <c r="B35" s="1851"/>
      <c r="C35" s="1701"/>
      <c r="D35" s="1701"/>
      <c r="E35" s="1702"/>
      <c r="F35" s="1701"/>
      <c r="G35" s="1701"/>
      <c r="H35" s="1701"/>
      <c r="I35" s="1702"/>
      <c r="J35" s="1701"/>
      <c r="K35" s="1701"/>
      <c r="L35" s="1701"/>
      <c r="M35" s="1702"/>
      <c r="N35" s="1851"/>
      <c r="O35" s="1851"/>
      <c r="P35" s="1851"/>
      <c r="Q35" s="1852"/>
      <c r="R35" s="1851"/>
      <c r="S35" s="1569"/>
      <c r="T35" s="1569"/>
      <c r="U35" s="1570"/>
      <c r="V35" s="1813">
        <f t="shared" ref="V35:BA35" si="305">V32-R32</f>
        <v>120</v>
      </c>
      <c r="W35" s="1813">
        <f t="shared" si="305"/>
        <v>114</v>
      </c>
      <c r="X35" s="1813">
        <f t="shared" si="305"/>
        <v>155</v>
      </c>
      <c r="Y35" s="1810">
        <f t="shared" si="305"/>
        <v>179</v>
      </c>
      <c r="Z35" s="1813">
        <f t="shared" si="305"/>
        <v>224</v>
      </c>
      <c r="AA35" s="1813">
        <f t="shared" si="305"/>
        <v>477</v>
      </c>
      <c r="AB35" s="1813">
        <f t="shared" si="305"/>
        <v>477</v>
      </c>
      <c r="AC35" s="1810">
        <f t="shared" si="305"/>
        <v>510</v>
      </c>
      <c r="AD35" s="1813">
        <f t="shared" si="305"/>
        <v>504</v>
      </c>
      <c r="AE35" s="1813">
        <f t="shared" si="305"/>
        <v>270</v>
      </c>
      <c r="AF35" s="1813">
        <f t="shared" si="305"/>
        <v>276</v>
      </c>
      <c r="AG35" s="1810">
        <f t="shared" si="305"/>
        <v>271</v>
      </c>
      <c r="AH35" s="1813">
        <f t="shared" si="305"/>
        <v>269</v>
      </c>
      <c r="AI35" s="1813">
        <f t="shared" si="305"/>
        <v>297</v>
      </c>
      <c r="AJ35" s="1813">
        <f t="shared" si="305"/>
        <v>286</v>
      </c>
      <c r="AK35" s="1810">
        <f t="shared" si="305"/>
        <v>281</v>
      </c>
      <c r="AL35" s="1813">
        <f t="shared" si="305"/>
        <v>325</v>
      </c>
      <c r="AM35" s="1813">
        <f t="shared" si="305"/>
        <v>350</v>
      </c>
      <c r="AN35" s="1825">
        <f t="shared" si="305"/>
        <v>349</v>
      </c>
      <c r="AO35" s="1826">
        <f t="shared" si="305"/>
        <v>386</v>
      </c>
      <c r="AP35" s="1813">
        <f t="shared" si="305"/>
        <v>408</v>
      </c>
      <c r="AQ35" s="1813">
        <f t="shared" si="305"/>
        <v>429</v>
      </c>
      <c r="AR35" s="1825">
        <f t="shared" si="305"/>
        <v>378.53999999999996</v>
      </c>
      <c r="AS35" s="1826">
        <f t="shared" si="305"/>
        <v>377.05999999999995</v>
      </c>
      <c r="AT35" s="1825">
        <f t="shared" si="305"/>
        <v>434.93499999999995</v>
      </c>
      <c r="AU35" s="1825">
        <f t="shared" si="305"/>
        <v>519.30471050049073</v>
      </c>
      <c r="AV35" s="1825">
        <f t="shared" si="305"/>
        <v>446.67719999999963</v>
      </c>
      <c r="AW35" s="1826">
        <f t="shared" si="305"/>
        <v>441.1601999999998</v>
      </c>
      <c r="AX35" s="1825">
        <f t="shared" si="305"/>
        <v>501.4683</v>
      </c>
      <c r="AY35" s="1825">
        <f t="shared" si="305"/>
        <v>613.68708331928838</v>
      </c>
      <c r="AZ35" s="1825">
        <f t="shared" si="305"/>
        <v>512.43800999999985</v>
      </c>
      <c r="BA35" s="1826">
        <f t="shared" si="305"/>
        <v>500.97633300000007</v>
      </c>
      <c r="BB35" s="1024"/>
      <c r="BC35" s="1805"/>
      <c r="BD35" s="1805"/>
      <c r="BE35" s="1805"/>
      <c r="BF35" s="1805"/>
      <c r="BG35" s="1805"/>
      <c r="BH35" s="1805"/>
      <c r="BI35" s="1764">
        <f t="shared" ref="BI35:BP35" si="306">BI32-BH32</f>
        <v>568</v>
      </c>
      <c r="BJ35" s="1764">
        <f t="shared" si="306"/>
        <v>1688</v>
      </c>
      <c r="BK35" s="1764">
        <f t="shared" si="306"/>
        <v>1321</v>
      </c>
      <c r="BL35" s="1764">
        <f t="shared" si="306"/>
        <v>1133</v>
      </c>
      <c r="BM35" s="1764">
        <f t="shared" si="306"/>
        <v>1410</v>
      </c>
      <c r="BN35" s="1764">
        <f t="shared" si="306"/>
        <v>1592.6000000000004</v>
      </c>
      <c r="BO35" s="1764">
        <f t="shared" si="306"/>
        <v>1842.0771105004897</v>
      </c>
      <c r="BP35" s="1764">
        <f t="shared" si="306"/>
        <v>2128.5697263192887</v>
      </c>
      <c r="BR35" s="1483"/>
      <c r="BS35" s="1483"/>
      <c r="BT35" s="1483"/>
      <c r="BU35" s="1672"/>
    </row>
    <row r="36" spans="1:73" s="414" customFormat="1" ht="12" customHeight="1">
      <c r="A36" s="1968" t="s">
        <v>509</v>
      </c>
      <c r="B36" s="1969" t="str">
        <f t="shared" ref="B36:AG36" si="307">IF(ISERROR(B32/A32-1),"NA",B32/A32-1)</f>
        <v>NA</v>
      </c>
      <c r="C36" s="1970">
        <f t="shared" si="307"/>
        <v>2.6490066225165476E-2</v>
      </c>
      <c r="D36" s="1970">
        <f t="shared" si="307"/>
        <v>0.10322580645161294</v>
      </c>
      <c r="E36" s="1971">
        <f t="shared" si="307"/>
        <v>4.6783625730994149E-2</v>
      </c>
      <c r="F36" s="1969">
        <f t="shared" si="307"/>
        <v>6.7039106145251326E-2</v>
      </c>
      <c r="G36" s="1970">
        <f t="shared" si="307"/>
        <v>4.7120418848167533E-2</v>
      </c>
      <c r="H36" s="1970">
        <f t="shared" si="307"/>
        <v>0.125</v>
      </c>
      <c r="I36" s="1971">
        <f t="shared" si="307"/>
        <v>7.5555555555555598E-2</v>
      </c>
      <c r="J36" s="1969">
        <f t="shared" si="307"/>
        <v>8.2644628099173501E-2</v>
      </c>
      <c r="K36" s="1970">
        <f t="shared" si="307"/>
        <v>8.7786259541984712E-2</v>
      </c>
      <c r="L36" s="1970">
        <f t="shared" si="307"/>
        <v>0.11578947368421044</v>
      </c>
      <c r="M36" s="1971">
        <f t="shared" si="307"/>
        <v>7.2327044025157328E-2</v>
      </c>
      <c r="N36" s="1969">
        <f t="shared" si="307"/>
        <v>8.7976539589442737E-2</v>
      </c>
      <c r="O36" s="1970">
        <f t="shared" si="307"/>
        <v>6.1994609164420567E-2</v>
      </c>
      <c r="P36" s="1970">
        <f t="shared" si="307"/>
        <v>0.1142131979695431</v>
      </c>
      <c r="Q36" s="1971">
        <f t="shared" si="307"/>
        <v>4.5558086560364419E-2</v>
      </c>
      <c r="R36" s="1972">
        <f t="shared" si="307"/>
        <v>9.1503267973856106E-2</v>
      </c>
      <c r="S36" s="1972">
        <f t="shared" si="307"/>
        <v>5.7884231536926123E-2</v>
      </c>
      <c r="T36" s="1972">
        <f t="shared" si="307"/>
        <v>5.6603773584905648E-2</v>
      </c>
      <c r="U36" s="1973">
        <f t="shared" si="307"/>
        <v>5.5357142857142883E-2</v>
      </c>
      <c r="V36" s="1972">
        <f t="shared" si="307"/>
        <v>5.0761421319796884E-2</v>
      </c>
      <c r="W36" s="1972">
        <f t="shared" si="307"/>
        <v>3.7037037037036979E-2</v>
      </c>
      <c r="X36" s="1972">
        <f t="shared" si="307"/>
        <v>0.11024844720496896</v>
      </c>
      <c r="Y36" s="1973">
        <f t="shared" si="307"/>
        <v>7.6923076923076872E-2</v>
      </c>
      <c r="Z36" s="1974">
        <f t="shared" si="307"/>
        <v>9.740259740259738E-2</v>
      </c>
      <c r="AA36" s="1972">
        <f t="shared" si="307"/>
        <v>0.32662721893491131</v>
      </c>
      <c r="AB36" s="1972">
        <f t="shared" si="307"/>
        <v>6.3336306868867043E-2</v>
      </c>
      <c r="AC36" s="1973">
        <f t="shared" si="307"/>
        <v>7.3825503355704702E-2</v>
      </c>
      <c r="AD36" s="1972">
        <f t="shared" si="307"/>
        <v>5.3906250000000044E-2</v>
      </c>
      <c r="AE36" s="1972">
        <f t="shared" si="307"/>
        <v>3.1134173461823567E-2</v>
      </c>
      <c r="AF36" s="1972">
        <f t="shared" si="307"/>
        <v>5.5355859094176951E-2</v>
      </c>
      <c r="AG36" s="1973">
        <f t="shared" si="307"/>
        <v>5.653950953678466E-2</v>
      </c>
      <c r="AH36" s="1972">
        <f t="shared" ref="AH36:BA36" si="308">IF(ISERROR(AH32/AG32-1),"NA",AH32/AG32-1)</f>
        <v>4.3197936814957982E-2</v>
      </c>
      <c r="AI36" s="1972">
        <f t="shared" si="308"/>
        <v>4.3263288009888656E-2</v>
      </c>
      <c r="AJ36" s="1972">
        <f t="shared" si="308"/>
        <v>3.9099526066350698E-2</v>
      </c>
      <c r="AK36" s="1973">
        <f t="shared" si="308"/>
        <v>4.4469783352337533E-2</v>
      </c>
      <c r="AL36" s="1972">
        <f t="shared" si="308"/>
        <v>6.0589519650654955E-2</v>
      </c>
      <c r="AM36" s="1972">
        <f t="shared" si="308"/>
        <v>4.8893463715903307E-2</v>
      </c>
      <c r="AN36" s="1972">
        <f t="shared" si="308"/>
        <v>3.1894013738959837E-2</v>
      </c>
      <c r="AO36" s="1973">
        <f t="shared" si="308"/>
        <v>5.468378506894922E-2</v>
      </c>
      <c r="AP36" s="1972">
        <f t="shared" si="308"/>
        <v>5.996393146979262E-2</v>
      </c>
      <c r="AQ36" s="1972">
        <f t="shared" si="308"/>
        <v>4.9340706082518171E-2</v>
      </c>
      <c r="AR36" s="1972">
        <f t="shared" si="308"/>
        <v>5.8937981353870406E-3</v>
      </c>
      <c r="AS36" s="1973">
        <f t="shared" si="308"/>
        <v>4.5745786890398765E-2</v>
      </c>
      <c r="AT36" s="1972">
        <f t="shared" si="308"/>
        <v>7.3553212642482269E-2</v>
      </c>
      <c r="AU36" s="1972">
        <f t="shared" si="308"/>
        <v>7.1921889958125762E-2</v>
      </c>
      <c r="AV36" s="1972">
        <f t="shared" si="308"/>
        <v>-1.9451300564287011E-2</v>
      </c>
      <c r="AW36" s="1973">
        <f t="shared" si="308"/>
        <v>3.688353445912429E-2</v>
      </c>
      <c r="AX36" s="1972">
        <f t="shared" si="308"/>
        <v>8.2728881126606035E-2</v>
      </c>
      <c r="AY36" s="1972">
        <f t="shared" si="308"/>
        <v>9.5086749417018446E-2</v>
      </c>
      <c r="AZ36" s="1972">
        <f t="shared" si="308"/>
        <v>-4.4260263063187533E-2</v>
      </c>
      <c r="BA36" s="1973">
        <f t="shared" si="308"/>
        <v>2.8058993740323279E-2</v>
      </c>
      <c r="BB36" s="1024"/>
      <c r="BC36" s="1979"/>
      <c r="BD36" s="1980" t="s">
        <v>366</v>
      </c>
      <c r="BE36" s="1980" t="s">
        <v>366</v>
      </c>
      <c r="BF36" s="1980" t="s">
        <v>366</v>
      </c>
      <c r="BG36" s="1981" t="s">
        <v>366</v>
      </c>
      <c r="BH36" s="1981" t="s">
        <v>366</v>
      </c>
      <c r="BI36" s="1809" t="s">
        <v>670</v>
      </c>
      <c r="BJ36" s="1867" t="s">
        <v>670</v>
      </c>
      <c r="BK36" s="1809" t="s">
        <v>670</v>
      </c>
      <c r="BL36" s="1809" t="s">
        <v>670</v>
      </c>
      <c r="BM36" s="1808" t="s">
        <v>670</v>
      </c>
      <c r="BN36" s="1808" t="s">
        <v>670</v>
      </c>
      <c r="BO36" s="1808" t="s">
        <v>670</v>
      </c>
      <c r="BP36" s="1808" t="s">
        <v>670</v>
      </c>
      <c r="BR36" s="1406"/>
      <c r="BS36" s="1406"/>
      <c r="BT36" s="1406"/>
      <c r="BU36" s="1263"/>
    </row>
    <row r="37" spans="1:73" s="569" customFormat="1" ht="11.65" customHeight="1">
      <c r="A37" s="1684" t="s">
        <v>668</v>
      </c>
      <c r="B37" s="1127"/>
      <c r="C37" s="1125"/>
      <c r="D37" s="1125"/>
      <c r="E37" s="1126"/>
      <c r="F37" s="1125"/>
      <c r="G37" s="1125"/>
      <c r="H37" s="1125"/>
      <c r="I37" s="1126"/>
      <c r="J37" s="1125"/>
      <c r="K37" s="1125"/>
      <c r="L37" s="1125"/>
      <c r="M37" s="1126"/>
      <c r="N37" s="1127"/>
      <c r="O37" s="1127"/>
      <c r="P37" s="1127"/>
      <c r="Q37" s="1128"/>
      <c r="R37" s="1127"/>
      <c r="S37" s="1294"/>
      <c r="T37" s="1294"/>
      <c r="U37" s="1557"/>
      <c r="V37" s="1813">
        <f t="shared" ref="V37:BA37" si="309">V32-U32</f>
        <v>30</v>
      </c>
      <c r="W37" s="1813">
        <f t="shared" si="309"/>
        <v>23</v>
      </c>
      <c r="X37" s="1813">
        <f t="shared" si="309"/>
        <v>71</v>
      </c>
      <c r="Y37" s="1810">
        <f t="shared" si="309"/>
        <v>55</v>
      </c>
      <c r="Z37" s="1813">
        <f t="shared" si="309"/>
        <v>75</v>
      </c>
      <c r="AA37" s="1813">
        <f t="shared" si="309"/>
        <v>276</v>
      </c>
      <c r="AB37" s="1813">
        <f t="shared" si="309"/>
        <v>71</v>
      </c>
      <c r="AC37" s="1810">
        <f t="shared" si="309"/>
        <v>88</v>
      </c>
      <c r="AD37" s="1813">
        <f t="shared" si="309"/>
        <v>69</v>
      </c>
      <c r="AE37" s="1813">
        <f t="shared" si="309"/>
        <v>42</v>
      </c>
      <c r="AF37" s="1813">
        <f t="shared" si="309"/>
        <v>77</v>
      </c>
      <c r="AG37" s="1810">
        <f t="shared" si="309"/>
        <v>83</v>
      </c>
      <c r="AH37" s="1813">
        <f t="shared" si="309"/>
        <v>67</v>
      </c>
      <c r="AI37" s="1813">
        <f t="shared" si="309"/>
        <v>70</v>
      </c>
      <c r="AJ37" s="1813">
        <f t="shared" si="309"/>
        <v>66</v>
      </c>
      <c r="AK37" s="1810">
        <f t="shared" si="309"/>
        <v>78</v>
      </c>
      <c r="AL37" s="1813">
        <f t="shared" si="309"/>
        <v>111</v>
      </c>
      <c r="AM37" s="1813">
        <f t="shared" si="309"/>
        <v>95</v>
      </c>
      <c r="AN37" s="1813">
        <f t="shared" si="309"/>
        <v>65</v>
      </c>
      <c r="AO37" s="1810">
        <f t="shared" si="309"/>
        <v>115</v>
      </c>
      <c r="AP37" s="1813">
        <f t="shared" si="309"/>
        <v>133</v>
      </c>
      <c r="AQ37" s="1813">
        <f t="shared" si="309"/>
        <v>116</v>
      </c>
      <c r="AR37" s="1825">
        <f t="shared" si="309"/>
        <v>14.539999999999964</v>
      </c>
      <c r="AS37" s="1826">
        <f t="shared" si="309"/>
        <v>113.51999999999998</v>
      </c>
      <c r="AT37" s="1825">
        <f t="shared" si="309"/>
        <v>190.875</v>
      </c>
      <c r="AU37" s="1825">
        <f t="shared" si="309"/>
        <v>200.36971050049078</v>
      </c>
      <c r="AV37" s="1825">
        <f t="shared" si="309"/>
        <v>-58.087510500491135</v>
      </c>
      <c r="AW37" s="1826">
        <f t="shared" si="309"/>
        <v>108.00300000000016</v>
      </c>
      <c r="AX37" s="1825">
        <f t="shared" si="309"/>
        <v>251.18310000000019</v>
      </c>
      <c r="AY37" s="1825">
        <f t="shared" si="309"/>
        <v>312.58849381977916</v>
      </c>
      <c r="AZ37" s="1825">
        <f t="shared" si="309"/>
        <v>-159.33658381977966</v>
      </c>
      <c r="BA37" s="1826">
        <f t="shared" si="309"/>
        <v>96.541323000000375</v>
      </c>
      <c r="BB37" s="1804"/>
      <c r="BC37" s="1729"/>
      <c r="BD37" s="1729"/>
      <c r="BE37" s="1729"/>
      <c r="BF37" s="1729"/>
      <c r="BG37" s="1729"/>
      <c r="BH37" s="1729"/>
      <c r="BI37" s="1809" t="s">
        <v>670</v>
      </c>
      <c r="BJ37" s="1867" t="s">
        <v>670</v>
      </c>
      <c r="BK37" s="1809" t="s">
        <v>670</v>
      </c>
      <c r="BL37" s="1809" t="s">
        <v>670</v>
      </c>
      <c r="BM37" s="1808" t="s">
        <v>670</v>
      </c>
      <c r="BN37" s="1808" t="s">
        <v>670</v>
      </c>
      <c r="BO37" s="1808" t="s">
        <v>670</v>
      </c>
      <c r="BP37" s="1808" t="s">
        <v>670</v>
      </c>
      <c r="BR37" s="1862"/>
      <c r="BS37" s="1862"/>
      <c r="BT37" s="1862"/>
      <c r="BU37" s="1675"/>
    </row>
    <row r="38" spans="1:73" s="414" customFormat="1" ht="12" customHeight="1">
      <c r="A38" s="1968" t="s">
        <v>680</v>
      </c>
      <c r="B38" s="1982">
        <f t="shared" ref="B38:AG38" si="310">+B32/B$6</f>
        <v>0.21178120617110799</v>
      </c>
      <c r="C38" s="1982">
        <f t="shared" si="310"/>
        <v>0.16793066088840736</v>
      </c>
      <c r="D38" s="1982">
        <f t="shared" si="310"/>
        <v>7.421875E-2</v>
      </c>
      <c r="E38" s="1983">
        <f t="shared" si="310"/>
        <v>0.23740053050397877</v>
      </c>
      <c r="F38" s="1982">
        <f t="shared" si="310"/>
        <v>0.24550128534704371</v>
      </c>
      <c r="G38" s="1982">
        <f t="shared" si="310"/>
        <v>0.19685039370078741</v>
      </c>
      <c r="H38" s="1982">
        <f t="shared" si="310"/>
        <v>8.8547815820543094E-2</v>
      </c>
      <c r="I38" s="1983">
        <f t="shared" si="310"/>
        <v>0.28741092636579574</v>
      </c>
      <c r="J38" s="1984">
        <f t="shared" si="310"/>
        <v>0.28791208791208789</v>
      </c>
      <c r="K38" s="1982">
        <f t="shared" si="310"/>
        <v>0.2128454070201643</v>
      </c>
      <c r="L38" s="1984">
        <f t="shared" si="310"/>
        <v>0.1092032967032967</v>
      </c>
      <c r="M38" s="1983">
        <f t="shared" si="310"/>
        <v>0.39467592592592593</v>
      </c>
      <c r="N38" s="1982">
        <f t="shared" si="310"/>
        <v>0.36515748031496065</v>
      </c>
      <c r="O38" s="1982">
        <f t="shared" si="310"/>
        <v>0.2623169107856192</v>
      </c>
      <c r="P38" s="1982">
        <f t="shared" si="310"/>
        <v>0.13416870415647922</v>
      </c>
      <c r="Q38" s="1983">
        <f t="shared" si="310"/>
        <v>0.46177062374245476</v>
      </c>
      <c r="R38" s="1972">
        <f t="shared" si="310"/>
        <v>0.43004291845493564</v>
      </c>
      <c r="S38" s="1972">
        <f t="shared" si="310"/>
        <v>0.3125</v>
      </c>
      <c r="T38" s="1972">
        <f t="shared" si="310"/>
        <v>0.18654230512991338</v>
      </c>
      <c r="U38" s="1973">
        <f t="shared" si="310"/>
        <v>0.32544052863436124</v>
      </c>
      <c r="V38" s="1972">
        <f t="shared" si="310"/>
        <v>0.46938775510204084</v>
      </c>
      <c r="W38" s="1972">
        <f t="shared" si="310"/>
        <v>0.40862944162436549</v>
      </c>
      <c r="X38" s="1972">
        <f t="shared" si="310"/>
        <v>0.17133956386292834</v>
      </c>
      <c r="Y38" s="1973">
        <f t="shared" si="310"/>
        <v>0.30066380320187425</v>
      </c>
      <c r="Z38" s="1974">
        <f t="shared" si="310"/>
        <v>0.4210264075734928</v>
      </c>
      <c r="AA38" s="1972">
        <f t="shared" si="310"/>
        <v>0.41937897493453047</v>
      </c>
      <c r="AB38" s="1972">
        <f t="shared" si="310"/>
        <v>0.21164772727272732</v>
      </c>
      <c r="AC38" s="1973">
        <f t="shared" si="310"/>
        <v>0.53024026512013256</v>
      </c>
      <c r="AD38" s="1972">
        <f t="shared" si="310"/>
        <v>0.51944551405467843</v>
      </c>
      <c r="AE38" s="1972">
        <f t="shared" si="310"/>
        <v>0.45741532390660966</v>
      </c>
      <c r="AF38" s="1972">
        <f t="shared" si="310"/>
        <v>0.24393486208042539</v>
      </c>
      <c r="AG38" s="1973">
        <f t="shared" si="310"/>
        <v>0.57190265486725667</v>
      </c>
      <c r="AH38" s="1972">
        <f t="shared" ref="AH38:BA38" si="311">+AH32/AH$6</f>
        <v>0.54331766286098049</v>
      </c>
      <c r="AI38" s="1972">
        <f t="shared" si="311"/>
        <v>0.49852333136444182</v>
      </c>
      <c r="AJ38" s="1972">
        <f t="shared" si="311"/>
        <v>0.26035327297016481</v>
      </c>
      <c r="AK38" s="1973">
        <f t="shared" si="311"/>
        <v>0.57537688442211044</v>
      </c>
      <c r="AL38" s="1972">
        <f t="shared" si="311"/>
        <v>0.59183673469387754</v>
      </c>
      <c r="AM38" s="1972">
        <f t="shared" si="311"/>
        <v>0.51425687610396165</v>
      </c>
      <c r="AN38" s="1972">
        <f t="shared" si="311"/>
        <v>0.27121485684807839</v>
      </c>
      <c r="AO38" s="1973">
        <f t="shared" si="311"/>
        <v>0.57896110676063695</v>
      </c>
      <c r="AP38" s="1972">
        <f t="shared" ref="AP38:AQ38" si="312">+AP32/AP$6</f>
        <v>0.60514800514800515</v>
      </c>
      <c r="AQ38" s="1972">
        <f t="shared" si="312"/>
        <v>0.53042356482476882</v>
      </c>
      <c r="AR38" s="1972">
        <f t="shared" si="311"/>
        <v>0.29233899231554905</v>
      </c>
      <c r="AS38" s="1973">
        <f t="shared" si="311"/>
        <v>0.61022509025302596</v>
      </c>
      <c r="AT38" s="1972">
        <f t="shared" si="311"/>
        <v>0.63068729767052267</v>
      </c>
      <c r="AU38" s="1972">
        <f t="shared" si="311"/>
        <v>0.56331606678251056</v>
      </c>
      <c r="AV38" s="1972">
        <f t="shared" si="311"/>
        <v>0.31475147038732404</v>
      </c>
      <c r="AW38" s="1973">
        <f t="shared" si="311"/>
        <v>0.639813864970188</v>
      </c>
      <c r="AX38" s="1972">
        <f t="shared" si="311"/>
        <v>0.66032914195864389</v>
      </c>
      <c r="AY38" s="1972">
        <f t="shared" si="311"/>
        <v>0.59770302361548011</v>
      </c>
      <c r="AZ38" s="1972">
        <f t="shared" si="311"/>
        <v>0.33608799102053011</v>
      </c>
      <c r="BA38" s="1973">
        <f t="shared" si="311"/>
        <v>0.66328168003098753</v>
      </c>
      <c r="BB38" s="1024"/>
      <c r="BC38" s="1001"/>
      <c r="BD38" s="1985">
        <f t="shared" ref="BD38:BP38" si="313">+BD32/BD$6</f>
        <v>0.13975287601193012</v>
      </c>
      <c r="BE38" s="1985">
        <f t="shared" si="313"/>
        <v>0.16573305002897432</v>
      </c>
      <c r="BF38" s="1986">
        <f t="shared" si="313"/>
        <v>0.20016597510373443</v>
      </c>
      <c r="BG38" s="1986">
        <f t="shared" si="313"/>
        <v>0.24513561320754718</v>
      </c>
      <c r="BH38" s="1986">
        <f t="shared" si="313"/>
        <v>0.28415158223727049</v>
      </c>
      <c r="BI38" s="1986">
        <f t="shared" si="313"/>
        <v>0.28547700612477939</v>
      </c>
      <c r="BJ38" s="1986">
        <f t="shared" si="313"/>
        <v>0.34873487348734872</v>
      </c>
      <c r="BK38" s="1986">
        <f t="shared" si="313"/>
        <v>0.40082126948775054</v>
      </c>
      <c r="BL38" s="1986">
        <f t="shared" si="313"/>
        <v>0.42321154436598096</v>
      </c>
      <c r="BM38" s="1987">
        <f t="shared" si="313"/>
        <v>0.44086878020285697</v>
      </c>
      <c r="BN38" s="1988">
        <f t="shared" si="313"/>
        <v>0.46503304770282838</v>
      </c>
      <c r="BO38" s="1988">
        <f t="shared" si="313"/>
        <v>0.49381540212031871</v>
      </c>
      <c r="BP38" s="1988">
        <f t="shared" si="313"/>
        <v>0.5218047923554161</v>
      </c>
      <c r="BR38" s="1406"/>
      <c r="BS38" s="1406"/>
      <c r="BT38" s="1406"/>
      <c r="BU38" s="1263"/>
    </row>
    <row r="39" spans="1:73" s="414" customFormat="1" ht="12.75" hidden="1" customHeight="1" outlineLevel="1">
      <c r="A39" s="1937" t="s">
        <v>410</v>
      </c>
      <c r="B39" s="1926"/>
      <c r="C39" s="1926"/>
      <c r="D39" s="1926"/>
      <c r="E39" s="1927"/>
      <c r="F39" s="1071"/>
      <c r="G39" s="1071"/>
      <c r="H39" s="1071"/>
      <c r="I39" s="1072"/>
      <c r="J39" s="1071"/>
      <c r="K39" s="1071"/>
      <c r="L39" s="1071"/>
      <c r="M39" s="1072"/>
      <c r="N39" s="1071"/>
      <c r="O39" s="1071"/>
      <c r="P39" s="1071"/>
      <c r="Q39" s="1072"/>
      <c r="R39" s="1071"/>
      <c r="S39" s="1071"/>
      <c r="T39" s="1071"/>
      <c r="U39" s="1072"/>
      <c r="V39" s="1071"/>
      <c r="W39" s="1928"/>
      <c r="X39" s="1073"/>
      <c r="Y39" s="1072"/>
      <c r="Z39" s="1929"/>
      <c r="AA39" s="1928"/>
      <c r="AB39" s="1073"/>
      <c r="AC39" s="1074"/>
      <c r="AD39" s="1073"/>
      <c r="AE39" s="1073"/>
      <c r="AF39" s="1073"/>
      <c r="AG39" s="1074"/>
      <c r="AH39" s="1935">
        <f>_xll.VAData("INTU",AH$22,"Revenue - Total online ecosystem","consensus.vaactuals")</f>
        <v>1618</v>
      </c>
      <c r="AI39" s="1932">
        <f>_xll.VAData("INTU",AI$22,"Revenue - Total online ecosystem","consensus.vaactuals")</f>
        <v>1688</v>
      </c>
      <c r="AJ39" s="1933">
        <f>_xll.VAData("INTU",AJ$22,"Revenue - Total online ecosystem","consensus.vaactuals")</f>
        <v>1754</v>
      </c>
      <c r="AK39" s="1934">
        <f>_xll.VAData("INTU",AK$22,"Revenue - Total online ecosystem","consensus.vaactuals")</f>
        <v>1832</v>
      </c>
      <c r="AL39" s="1933">
        <f>_xll.VAData("INTU",AL$22,"Revenue - Total online ecosystem","consensus.vaactuals")</f>
        <v>1943</v>
      </c>
      <c r="AM39" s="1933">
        <f>_xll.VAData("INTU",AM$22,"Revenue - Total online ecosystem","consensus.vaactuals")</f>
        <v>2038</v>
      </c>
      <c r="AN39" s="1933">
        <f>_xll.VAData("INTU",AN$22,"Revenue - Total online ecosystem","consensus.vaactuals")</f>
        <v>2103</v>
      </c>
      <c r="AO39" s="1934">
        <f>_xll.VAData("INTU",AO$22,"Revenue - Total online ecosystem","consensus.vaactuals")</f>
        <v>2218</v>
      </c>
      <c r="AP39" s="1933">
        <f>_xll.VAData("INTU",AP$22,"Revenue - Total online ecosystem","consensus.vaactuals")</f>
        <v>2351</v>
      </c>
      <c r="AQ39" s="1933">
        <f>_xll.VAData("INTU",AQ$22,"Revenue - Total online ecosystem","consensus.vaactuals")</f>
        <v>2038</v>
      </c>
      <c r="AR39" s="1933">
        <f>_xll.VAData("INTU",AR$22,"Revenue - Total online ecosystem","consensus.vaactuals")</f>
        <v>2495.4495221940806</v>
      </c>
      <c r="AS39" s="1934">
        <f>_xll.VAData("INTU",AS$22,"Revenue - Total online ecosystem","consensus.vaactuals")</f>
        <v>2545.3516859750962</v>
      </c>
      <c r="AT39" s="1933">
        <f>_xll.VAData("INTU",AT$22,"Revenue - Total online ecosystem","consensus.vaactuals")</f>
        <v>2757.1396160999848</v>
      </c>
      <c r="AU39" s="1933">
        <f>_xll.VAData("INTU",AU$22,"Revenue - Total online ecosystem","consensus.vaactuals")</f>
        <v>2902.6733935816437</v>
      </c>
      <c r="AV39" s="1933">
        <f>_xll.VAData("INTU",AV$22,"Revenue - Total online ecosystem","consensus.vaactuals")</f>
        <v>2955.5398128566139</v>
      </c>
      <c r="AW39" s="1934">
        <f>_xll.VAData("INTU",AW$22,"Revenue - Total online ecosystem","consensus.vaactuals")</f>
        <v>3017.8741858863664</v>
      </c>
      <c r="AX39" s="1933">
        <f>_xll.VAData("INTU",AX$22,"Revenue - Total online ecosystem","consensus.vaactuals")</f>
        <v>3251.7719441291647</v>
      </c>
      <c r="AY39" s="1933">
        <f>_xll.VAData("INTU",AY$22,"Revenue - Total online ecosystem","consensus.vaactuals")</f>
        <v>3412.1971818173838</v>
      </c>
      <c r="AZ39" s="1933">
        <f>_xll.VAData("INTU",AZ$22,"Revenue - Total online ecosystem","consensus.vaactuals")</f>
        <v>3455.1792654162591</v>
      </c>
      <c r="BA39" s="1934">
        <f>_xll.VAData("INTU",BA$22,"Revenue - Total online ecosystem","consensus.vaactuals")</f>
        <v>3506.8233817803052</v>
      </c>
      <c r="BB39" s="1949"/>
      <c r="BC39" s="1930"/>
      <c r="BD39" s="1130"/>
      <c r="BE39" s="1130"/>
      <c r="BF39" s="1130"/>
      <c r="BG39" s="1130"/>
      <c r="BH39" s="1130"/>
      <c r="BI39" s="1130"/>
      <c r="BJ39" s="1130"/>
      <c r="BK39" s="1130"/>
      <c r="BL39" s="1130">
        <f>SUM(AH39:AK39)</f>
        <v>6892</v>
      </c>
      <c r="BM39" s="1130">
        <f>SUM(AL39:AO39)</f>
        <v>8302</v>
      </c>
      <c r="BN39" s="1931">
        <f>SUM(AP39:AS39)</f>
        <v>9429.8012081691777</v>
      </c>
      <c r="BO39" s="1931">
        <f>SUM(AT39:AW39)</f>
        <v>11633.22700842461</v>
      </c>
      <c r="BP39" s="1931">
        <f>SUM(AX39:BA39)</f>
        <v>13625.971773143112</v>
      </c>
      <c r="BR39" s="1406"/>
      <c r="BS39" s="1431"/>
      <c r="BT39" s="1432"/>
      <c r="BU39" s="1263"/>
    </row>
    <row r="40" spans="1:73" s="1014" customFormat="1" ht="12.75" hidden="1" customHeight="1" outlineLevel="1">
      <c r="A40" s="1938" t="s">
        <v>507</v>
      </c>
      <c r="B40" s="1939" t="str">
        <f>IF(ISERROR(B39/#REF!-1),"NA",B39/#REF!-1)</f>
        <v>NA</v>
      </c>
      <c r="C40" s="1940" t="str">
        <f>IF(ISERROR(C39/#REF!-1),"NA",C39/#REF!-1)</f>
        <v>NA</v>
      </c>
      <c r="D40" s="1940" t="str">
        <f>IF(ISERROR(D39/#REF!-1),"NA",D39/#REF!-1)</f>
        <v>NA</v>
      </c>
      <c r="E40" s="1941" t="str">
        <f t="shared" ref="E40:AG40" si="314">IF(ISERROR(E39/A39-1),"NA",E39/A39-1)</f>
        <v>NA</v>
      </c>
      <c r="F40" s="1939" t="str">
        <f t="shared" si="314"/>
        <v>NA</v>
      </c>
      <c r="G40" s="1940" t="str">
        <f t="shared" si="314"/>
        <v>NA</v>
      </c>
      <c r="H40" s="1940" t="str">
        <f t="shared" si="314"/>
        <v>NA</v>
      </c>
      <c r="I40" s="1941" t="str">
        <f t="shared" si="314"/>
        <v>NA</v>
      </c>
      <c r="J40" s="1939" t="str">
        <f t="shared" si="314"/>
        <v>NA</v>
      </c>
      <c r="K40" s="1940" t="str">
        <f t="shared" si="314"/>
        <v>NA</v>
      </c>
      <c r="L40" s="1940" t="str">
        <f t="shared" si="314"/>
        <v>NA</v>
      </c>
      <c r="M40" s="1941" t="str">
        <f t="shared" si="314"/>
        <v>NA</v>
      </c>
      <c r="N40" s="1939" t="str">
        <f t="shared" si="314"/>
        <v>NA</v>
      </c>
      <c r="O40" s="1940" t="str">
        <f t="shared" si="314"/>
        <v>NA</v>
      </c>
      <c r="P40" s="1940" t="str">
        <f t="shared" si="314"/>
        <v>NA</v>
      </c>
      <c r="Q40" s="1941" t="str">
        <f t="shared" si="314"/>
        <v>NA</v>
      </c>
      <c r="R40" s="1942" t="str">
        <f t="shared" si="314"/>
        <v>NA</v>
      </c>
      <c r="S40" s="1942" t="str">
        <f t="shared" si="314"/>
        <v>NA</v>
      </c>
      <c r="T40" s="1942" t="str">
        <f t="shared" si="314"/>
        <v>NA</v>
      </c>
      <c r="U40" s="1943" t="str">
        <f t="shared" si="314"/>
        <v>NA</v>
      </c>
      <c r="V40" s="1942" t="str">
        <f t="shared" si="314"/>
        <v>NA</v>
      </c>
      <c r="W40" s="1942" t="str">
        <f t="shared" si="314"/>
        <v>NA</v>
      </c>
      <c r="X40" s="1942" t="str">
        <f t="shared" si="314"/>
        <v>NA</v>
      </c>
      <c r="Y40" s="1943" t="str">
        <f t="shared" si="314"/>
        <v>NA</v>
      </c>
      <c r="Z40" s="1944" t="str">
        <f t="shared" si="314"/>
        <v>NA</v>
      </c>
      <c r="AA40" s="1942" t="str">
        <f t="shared" si="314"/>
        <v>NA</v>
      </c>
      <c r="AB40" s="1942" t="str">
        <f t="shared" si="314"/>
        <v>NA</v>
      </c>
      <c r="AC40" s="1943" t="str">
        <f t="shared" si="314"/>
        <v>NA</v>
      </c>
      <c r="AD40" s="1944" t="str">
        <f t="shared" si="314"/>
        <v>NA</v>
      </c>
      <c r="AE40" s="1942" t="str">
        <f t="shared" si="314"/>
        <v>NA</v>
      </c>
      <c r="AF40" s="1942" t="str">
        <f t="shared" si="314"/>
        <v>NA</v>
      </c>
      <c r="AG40" s="1943" t="str">
        <f t="shared" si="314"/>
        <v>NA</v>
      </c>
      <c r="AH40" s="1942"/>
      <c r="AI40" s="1942"/>
      <c r="AJ40" s="1942"/>
      <c r="AK40" s="1943"/>
      <c r="AL40" s="1942">
        <f>IF(ISERROR(AL39/AH39-1),"NA",AL39/AH39-1)</f>
        <v>0.2008652657601977</v>
      </c>
      <c r="AM40" s="1942">
        <f t="shared" ref="AM40" si="315">IF(ISERROR(AM39/AI39-1),"NA",AM39/AI39-1)</f>
        <v>0.20734597156398094</v>
      </c>
      <c r="AN40" s="1942">
        <f t="shared" ref="AN40" si="316">IF(ISERROR(AN39/AJ39-1),"NA",AN39/AJ39-1)</f>
        <v>0.19897377423033058</v>
      </c>
      <c r="AO40" s="1943">
        <f t="shared" ref="AO40" si="317">IF(ISERROR(AO39/AK39-1),"NA",AO39/AK39-1)</f>
        <v>0.2106986899563319</v>
      </c>
      <c r="AP40" s="1942">
        <f>IF(ISERROR(AP39/AL39-1),"NA",AP39/AL39-1)</f>
        <v>0.20998455995882659</v>
      </c>
      <c r="AQ40" s="1942">
        <f t="shared" ref="AQ40" si="318">IF(ISERROR(AQ39/AM39-1),"NA",AQ39/AM39-1)</f>
        <v>0</v>
      </c>
      <c r="AR40" s="1942">
        <f t="shared" ref="AR40" si="319">IF(ISERROR(AR39/AN39-1),"NA",AR39/AN39-1)</f>
        <v>0.18661413323541631</v>
      </c>
      <c r="AS40" s="1943">
        <f t="shared" ref="AS40" si="320">IF(ISERROR(AS39/AO39-1),"NA",AS39/AO39-1)</f>
        <v>0.14758867717542667</v>
      </c>
      <c r="AT40" s="1942">
        <f t="shared" ref="AT40" si="321">IF(ISERROR(AT39/AP39-1),"NA",AT39/AP39-1)</f>
        <v>0.17275185712462138</v>
      </c>
      <c r="AU40" s="1942">
        <f t="shared" ref="AU40" si="322">IF(ISERROR(AU39/AQ39-1),"NA",AU39/AQ39-1)</f>
        <v>0.42427546299393715</v>
      </c>
      <c r="AV40" s="1942">
        <f t="shared" ref="AV40" si="323">IF(ISERROR(AV39/AR39-1),"NA",AV39/AR39-1)</f>
        <v>0.1843717080111511</v>
      </c>
      <c r="AW40" s="1943">
        <f t="shared" ref="AW40" si="324">IF(ISERROR(AW39/AS39-1),"NA",AW39/AS39-1)</f>
        <v>0.18564134084687467</v>
      </c>
      <c r="AX40" s="1942">
        <f t="shared" ref="AX40" si="325">IF(ISERROR(AX39/AT39-1),"NA",AX39/AT39-1)</f>
        <v>0.17940053711492654</v>
      </c>
      <c r="AY40" s="1942">
        <f t="shared" ref="AY40" si="326">IF(ISERROR(AY39/AU39-1),"NA",AY39/AU39-1)</f>
        <v>0.1755360383853013</v>
      </c>
      <c r="AZ40" s="1942">
        <f t="shared" ref="AZ40" si="327">IF(ISERROR(AZ39/AV39-1),"NA",AZ39/AV39-1)</f>
        <v>0.16905184304613696</v>
      </c>
      <c r="BA40" s="1943">
        <f t="shared" ref="BA40" si="328">IF(ISERROR(BA39/AW39-1),"NA",BA39/AW39-1)</f>
        <v>0.16201775348375946</v>
      </c>
      <c r="BB40" s="1945"/>
      <c r="BC40" s="1946"/>
      <c r="BD40" s="1947" t="str">
        <f>IF(ISERROR(BD39/BB39-1),"NA",BD39/BB39-1)</f>
        <v>NA</v>
      </c>
      <c r="BE40" s="1947" t="str">
        <f t="shared" ref="BE40:BJ40" si="329">IF(ISERROR(BE39/BD39-1),"NA",BE39/BD39-1)</f>
        <v>NA</v>
      </c>
      <c r="BF40" s="1947" t="str">
        <f t="shared" si="329"/>
        <v>NA</v>
      </c>
      <c r="BG40" s="1947" t="str">
        <f t="shared" si="329"/>
        <v>NA</v>
      </c>
      <c r="BH40" s="1947" t="str">
        <f t="shared" si="329"/>
        <v>NA</v>
      </c>
      <c r="BI40" s="1947" t="str">
        <f t="shared" si="329"/>
        <v>NA</v>
      </c>
      <c r="BJ40" s="1947" t="str">
        <f t="shared" si="329"/>
        <v>NA</v>
      </c>
      <c r="BK40" s="1947"/>
      <c r="BL40" s="1947"/>
      <c r="BM40" s="1947">
        <f>IF(ISERROR(BM39/BL39-1),"NA",BM39/BL39-1)</f>
        <v>0.20458502611723728</v>
      </c>
      <c r="BN40" s="1948">
        <f>IF(ISERROR(BN39/BM39-1),"NA",BN39/BM39-1)</f>
        <v>0.13584692943497689</v>
      </c>
      <c r="BO40" s="1948">
        <f>IF(ISERROR(BO39/BN39-1),"NA",BO39/BN39-1)</f>
        <v>0.23366619842914305</v>
      </c>
      <c r="BP40" s="1948">
        <f>IF(ISERROR(BP39/BO39-1),"NA",BP39/BO39-1)</f>
        <v>0.17129767718582167</v>
      </c>
      <c r="BR40" s="1425"/>
      <c r="BS40" s="1425"/>
      <c r="BT40" s="1425"/>
      <c r="BU40" s="1263"/>
    </row>
    <row r="41" spans="1:73" s="1014" customFormat="1" ht="12" customHeight="1" collapsed="1">
      <c r="A41" s="983"/>
      <c r="B41" s="1008"/>
      <c r="C41" s="1008"/>
      <c r="D41" s="1008"/>
      <c r="E41" s="1009"/>
      <c r="F41" s="1008"/>
      <c r="G41" s="1008"/>
      <c r="H41" s="1008"/>
      <c r="I41" s="1009"/>
      <c r="J41" s="1010"/>
      <c r="K41" s="1008"/>
      <c r="L41" s="1010"/>
      <c r="M41" s="1009"/>
      <c r="N41" s="1008"/>
      <c r="O41" s="1008"/>
      <c r="P41" s="1008"/>
      <c r="Q41" s="1009"/>
      <c r="R41" s="984"/>
      <c r="S41" s="984"/>
      <c r="T41" s="984"/>
      <c r="U41" s="985"/>
      <c r="V41" s="984"/>
      <c r="W41" s="984"/>
      <c r="X41" s="984"/>
      <c r="Y41" s="985"/>
      <c r="Z41" s="1270"/>
      <c r="AA41" s="1015"/>
      <c r="AB41" s="1015"/>
      <c r="AC41" s="1016"/>
      <c r="AD41" s="1015"/>
      <c r="AE41" s="1015"/>
      <c r="AF41" s="1015"/>
      <c r="AG41" s="1016"/>
      <c r="AH41" s="1015"/>
      <c r="AI41" s="1015"/>
      <c r="AJ41" s="1015"/>
      <c r="AK41" s="1016"/>
      <c r="AL41" s="1015"/>
      <c r="AM41" s="1015"/>
      <c r="AN41" s="1015"/>
      <c r="AO41" s="1016"/>
      <c r="AP41" s="1015"/>
      <c r="AQ41" s="1015"/>
      <c r="AR41" s="1015"/>
      <c r="AS41" s="1016"/>
      <c r="AT41" s="1015"/>
      <c r="AU41" s="1015"/>
      <c r="AV41" s="1015"/>
      <c r="AW41" s="1016"/>
      <c r="AX41" s="1015"/>
      <c r="AY41" s="1015"/>
      <c r="AZ41" s="1015"/>
      <c r="BA41" s="1016"/>
      <c r="BB41" s="1013"/>
      <c r="BC41" s="846"/>
      <c r="BD41" s="1011"/>
      <c r="BE41" s="1011"/>
      <c r="BF41" s="1017"/>
      <c r="BG41" s="1017"/>
      <c r="BH41" s="1017"/>
      <c r="BI41" s="1017"/>
      <c r="BJ41" s="1017"/>
      <c r="BK41" s="1017"/>
      <c r="BL41" s="1062"/>
      <c r="BM41" s="1062"/>
      <c r="BN41" s="1368"/>
      <c r="BO41" s="1368"/>
      <c r="BP41" s="1368"/>
      <c r="BR41" s="1425"/>
      <c r="BS41" s="1425"/>
      <c r="BT41" s="1425"/>
      <c r="BU41" s="1263"/>
    </row>
    <row r="42" spans="1:73" s="304" customFormat="1" ht="11.65" hidden="1" customHeight="1" outlineLevel="1">
      <c r="A42" s="1697" t="s">
        <v>671</v>
      </c>
      <c r="B42" s="1110"/>
      <c r="C42" s="1108"/>
      <c r="D42" s="1108"/>
      <c r="E42" s="1109"/>
      <c r="F42" s="1108"/>
      <c r="G42" s="1108"/>
      <c r="H42" s="1108"/>
      <c r="I42" s="1109"/>
      <c r="J42" s="1108"/>
      <c r="K42" s="1108"/>
      <c r="L42" s="1108"/>
      <c r="M42" s="1109"/>
      <c r="N42" s="1110"/>
      <c r="O42" s="1110"/>
      <c r="P42" s="1110"/>
      <c r="Q42" s="1111"/>
      <c r="R42" s="1110"/>
      <c r="S42" s="1569"/>
      <c r="T42" s="1569"/>
      <c r="U42" s="1570"/>
      <c r="V42" s="1833"/>
      <c r="W42" s="1833"/>
      <c r="X42" s="1833"/>
      <c r="Y42" s="1834"/>
      <c r="Z42" s="1957">
        <v>90</v>
      </c>
      <c r="AA42" s="1833">
        <f>Z42+AA46</f>
        <v>100</v>
      </c>
      <c r="AB42" s="1833">
        <f>AA42+AB46</f>
        <v>110</v>
      </c>
      <c r="AC42" s="1834">
        <f>BJ42-SUM(Z42:AB42)</f>
        <v>118.20428571428573</v>
      </c>
      <c r="AD42" s="1833">
        <f t="shared" ref="AD42:AQ42" si="330">AC42+AD46</f>
        <v>130.70428571428573</v>
      </c>
      <c r="AE42" s="1833">
        <f t="shared" si="330"/>
        <v>143.20428571428573</v>
      </c>
      <c r="AF42" s="1833">
        <f t="shared" si="330"/>
        <v>158.20428571428573</v>
      </c>
      <c r="AG42" s="1834">
        <f>BK42-SUM(AD42:AF42)</f>
        <v>175.47714285714284</v>
      </c>
      <c r="AH42" s="1833">
        <f t="shared" si="330"/>
        <v>187.97714285714284</v>
      </c>
      <c r="AI42" s="1833">
        <f t="shared" si="330"/>
        <v>200.47714285714284</v>
      </c>
      <c r="AJ42" s="1833">
        <f t="shared" si="330"/>
        <v>212.97714285714284</v>
      </c>
      <c r="AK42" s="1834">
        <f>BL42-SUM(AH42:AJ42)</f>
        <v>231.56607142857149</v>
      </c>
      <c r="AL42" s="1833">
        <f t="shared" si="330"/>
        <v>276.56607142857149</v>
      </c>
      <c r="AM42" s="1833">
        <f t="shared" si="330"/>
        <v>289.06607142857149</v>
      </c>
      <c r="AN42" s="1833">
        <f t="shared" si="330"/>
        <v>299.06607142857149</v>
      </c>
      <c r="AO42" s="1845">
        <f t="shared" si="330"/>
        <v>319.06607142857149</v>
      </c>
      <c r="AP42" s="1833">
        <f t="shared" si="330"/>
        <v>364.06607142857149</v>
      </c>
      <c r="AQ42" s="1833">
        <f t="shared" si="330"/>
        <v>376.56607142857149</v>
      </c>
      <c r="AR42" s="1833">
        <f t="shared" ref="AR42:BA42" si="331">(AR49*AR52)/4</f>
        <v>411.78548232576526</v>
      </c>
      <c r="AS42" s="1845">
        <f t="shared" si="331"/>
        <v>433.48533589204061</v>
      </c>
      <c r="AT42" s="1844">
        <f t="shared" si="331"/>
        <v>478.05557471711336</v>
      </c>
      <c r="AU42" s="1844">
        <f t="shared" si="331"/>
        <v>492.33296662573179</v>
      </c>
      <c r="AV42" s="1844">
        <f t="shared" si="331"/>
        <v>547.36248340908912</v>
      </c>
      <c r="AW42" s="1845">
        <f t="shared" si="331"/>
        <v>565.40546878865632</v>
      </c>
      <c r="AX42" s="1844">
        <f t="shared" si="331"/>
        <v>603.023963137235</v>
      </c>
      <c r="AY42" s="1844">
        <f t="shared" si="331"/>
        <v>614.36387369277247</v>
      </c>
      <c r="AZ42" s="1844">
        <f t="shared" si="331"/>
        <v>703.81855865120713</v>
      </c>
      <c r="BA42" s="1845">
        <f t="shared" si="331"/>
        <v>709.45782562383283</v>
      </c>
      <c r="BB42" s="1799"/>
      <c r="BC42" s="1710"/>
      <c r="BD42" s="1710"/>
      <c r="BE42" s="1710"/>
      <c r="BF42" s="1710"/>
      <c r="BG42" s="1710"/>
      <c r="BH42" s="1710"/>
      <c r="BI42" s="1733">
        <f>AVERAGE(BH52:BI52)*BI49</f>
        <v>242.31428571428575</v>
      </c>
      <c r="BJ42" s="1733">
        <f>AVERAGE(BI52:BJ52)*BJ49</f>
        <v>418.20428571428573</v>
      </c>
      <c r="BK42" s="1733">
        <f>AVERAGE(BJ52:BK52)*BK49</f>
        <v>607.59</v>
      </c>
      <c r="BL42" s="1733">
        <f>AVERAGE(BK52:BL52)*BL49</f>
        <v>832.99750000000006</v>
      </c>
      <c r="BM42" s="1827">
        <f>SUM(AL42:AO42)</f>
        <v>1183.764285714286</v>
      </c>
      <c r="BN42" s="1827">
        <f>SUM(AP42:AS42)</f>
        <v>1585.902961074949</v>
      </c>
      <c r="BO42" s="1827">
        <f>SUM(AT42:AW42)</f>
        <v>2083.1564935405909</v>
      </c>
      <c r="BP42" s="1828">
        <f>SUM(AX42:BA42)</f>
        <v>2630.6642211050475</v>
      </c>
      <c r="BR42" s="1672"/>
      <c r="BS42" s="1672"/>
      <c r="BT42" s="1672"/>
      <c r="BU42" s="1672"/>
    </row>
    <row r="43" spans="1:73" s="304" customFormat="1" ht="11.65" hidden="1" customHeight="1" outlineLevel="1">
      <c r="A43" s="1698" t="s">
        <v>507</v>
      </c>
      <c r="B43" s="1110"/>
      <c r="C43" s="1108"/>
      <c r="D43" s="1108"/>
      <c r="E43" s="1109"/>
      <c r="F43" s="1108"/>
      <c r="G43" s="1108"/>
      <c r="H43" s="1108"/>
      <c r="I43" s="1109"/>
      <c r="J43" s="1108"/>
      <c r="K43" s="1108"/>
      <c r="L43" s="1108"/>
      <c r="M43" s="1109"/>
      <c r="N43" s="1110"/>
      <c r="O43" s="1110"/>
      <c r="P43" s="1110"/>
      <c r="Q43" s="1111"/>
      <c r="R43" s="1110"/>
      <c r="S43" s="1569"/>
      <c r="T43" s="1569"/>
      <c r="U43" s="1570"/>
      <c r="V43" s="1569"/>
      <c r="W43" s="1569"/>
      <c r="X43" s="1569"/>
      <c r="Y43" s="1570"/>
      <c r="Z43" s="1829"/>
      <c r="AA43" s="1829"/>
      <c r="AB43" s="1829"/>
      <c r="AC43" s="1830"/>
      <c r="AD43" s="1829">
        <f t="shared" ref="AD43" si="332">AD42/Z42-1</f>
        <v>0.45226984126984138</v>
      </c>
      <c r="AE43" s="1829">
        <f t="shared" ref="AE43" si="333">AE42/AA42-1</f>
        <v>0.43204285714285739</v>
      </c>
      <c r="AF43" s="1829">
        <f t="shared" ref="AF43" si="334">AF42/AB42-1</f>
        <v>0.43822077922077929</v>
      </c>
      <c r="AG43" s="1830">
        <f t="shared" ref="AG43" si="335">AG42/AC42-1</f>
        <v>0.4845243706416249</v>
      </c>
      <c r="AH43" s="1829">
        <f t="shared" ref="AH43" si="336">AH42/AD42-1</f>
        <v>0.43818652793109814</v>
      </c>
      <c r="AI43" s="1829">
        <f t="shared" ref="AI43" si="337">AI42/AE42-1</f>
        <v>0.39993815029478341</v>
      </c>
      <c r="AJ43" s="1829">
        <f t="shared" ref="AJ43" si="338">AJ42/AF42-1</f>
        <v>0.34621601365323285</v>
      </c>
      <c r="AK43" s="1830">
        <f t="shared" ref="AK43" si="339">AK42/AG42-1</f>
        <v>0.31963666411579905</v>
      </c>
      <c r="AL43" s="1829">
        <f t="shared" ref="AL43" si="340">AL42/AH42-1</f>
        <v>0.47127500303988379</v>
      </c>
      <c r="AM43" s="1829">
        <f t="shared" ref="AM43" si="341">AM42/AI42-1</f>
        <v>0.44189041857283384</v>
      </c>
      <c r="AN43" s="1831">
        <f t="shared" ref="AN43" si="342">AN42/AJ42-1</f>
        <v>0.40421675028842841</v>
      </c>
      <c r="AO43" s="1753">
        <f t="shared" ref="AO43:AQ43" si="343">AO42/AK42-1</f>
        <v>0.37786191845894024</v>
      </c>
      <c r="AP43" s="1829">
        <f t="shared" si="343"/>
        <v>0.31638009517229793</v>
      </c>
      <c r="AQ43" s="1829">
        <f t="shared" si="343"/>
        <v>0.30269896279273767</v>
      </c>
      <c r="AR43" s="1831">
        <f t="shared" ref="AR43" si="344">AR42/AN42-1</f>
        <v>0.3769047099149645</v>
      </c>
      <c r="AS43" s="1753">
        <f t="shared" ref="AS43" si="345">AS42/AO42-1</f>
        <v>0.35860680501431452</v>
      </c>
      <c r="AT43" s="1831">
        <f t="shared" ref="AT43" si="346">AT42/AP42-1</f>
        <v>0.31310114354038676</v>
      </c>
      <c r="AU43" s="1831">
        <f t="shared" ref="AU43" si="347">AU42/AQ42-1</f>
        <v>0.30742784329447859</v>
      </c>
      <c r="AV43" s="1831">
        <f t="shared" ref="AV43" si="348">AV42/AR42-1</f>
        <v>0.3292418186226107</v>
      </c>
      <c r="AW43" s="1753">
        <f t="shared" ref="AW43" si="349">AW42/AS42-1</f>
        <v>0.30432432650840679</v>
      </c>
      <c r="AX43" s="1831">
        <f t="shared" ref="AX43" si="350">AX42/AT42-1</f>
        <v>0.26140975030794489</v>
      </c>
      <c r="AY43" s="1831">
        <f t="shared" ref="AY43" si="351">AY42/AU42-1</f>
        <v>0.24786255509842348</v>
      </c>
      <c r="AZ43" s="1831">
        <f t="shared" ref="AZ43" si="352">AZ42/AV42-1</f>
        <v>0.28583631502779761</v>
      </c>
      <c r="BA43" s="1753">
        <f t="shared" ref="BA43" si="353">BA42/AW42-1</f>
        <v>0.25477708438830482</v>
      </c>
      <c r="BB43" s="1799"/>
      <c r="BC43" s="1710"/>
      <c r="BD43" s="1710"/>
      <c r="BE43" s="1710"/>
      <c r="BF43" s="1710"/>
      <c r="BG43" s="1710"/>
      <c r="BH43" s="1710"/>
      <c r="BI43" s="1710"/>
      <c r="BJ43" s="1808">
        <f>BJ42/BI42-1</f>
        <v>0.72587548638132282</v>
      </c>
      <c r="BK43" s="1808">
        <f>BK42/BJ42-1</f>
        <v>0.45285455160328336</v>
      </c>
      <c r="BL43" s="1809">
        <f>BL42/BK42-1</f>
        <v>0.37098619134613808</v>
      </c>
      <c r="BM43" s="1809">
        <f t="shared" ref="BM43:BP43" si="354">BM42/BL42-1</f>
        <v>0.42108984206349453</v>
      </c>
      <c r="BN43" s="1809">
        <f t="shared" si="354"/>
        <v>0.33971178233174326</v>
      </c>
      <c r="BO43" s="1809">
        <f t="shared" si="354"/>
        <v>0.31354600165989721</v>
      </c>
      <c r="BP43" s="1809">
        <f t="shared" si="354"/>
        <v>0.26282601871830447</v>
      </c>
      <c r="BR43" s="1483"/>
      <c r="BS43" s="1483"/>
      <c r="BT43" s="1483"/>
      <c r="BU43" s="1672"/>
    </row>
    <row r="44" spans="1:73" s="304" customFormat="1" ht="11.65" hidden="1" customHeight="1" outlineLevel="1">
      <c r="A44" s="1698" t="s">
        <v>664</v>
      </c>
      <c r="B44" s="1110"/>
      <c r="C44" s="1108"/>
      <c r="D44" s="1108"/>
      <c r="E44" s="1109"/>
      <c r="F44" s="1108"/>
      <c r="G44" s="1108"/>
      <c r="H44" s="1108"/>
      <c r="I44" s="1109"/>
      <c r="J44" s="1108"/>
      <c r="K44" s="1108"/>
      <c r="L44" s="1108"/>
      <c r="M44" s="1109"/>
      <c r="N44" s="1110"/>
      <c r="O44" s="1110"/>
      <c r="P44" s="1110"/>
      <c r="Q44" s="1111"/>
      <c r="R44" s="1110"/>
      <c r="S44" s="1569"/>
      <c r="T44" s="1569"/>
      <c r="U44" s="1570"/>
      <c r="V44" s="1569"/>
      <c r="W44" s="1569"/>
      <c r="X44" s="1569"/>
      <c r="Y44" s="1570"/>
      <c r="Z44" s="1569"/>
      <c r="AA44" s="1569"/>
      <c r="AB44" s="1569"/>
      <c r="AC44" s="1570"/>
      <c r="AD44" s="1813">
        <f>AD42-Z42</f>
        <v>40.704285714285732</v>
      </c>
      <c r="AE44" s="1813">
        <f t="shared" ref="AE44:BA44" si="355">AE42-AA42</f>
        <v>43.204285714285732</v>
      </c>
      <c r="AF44" s="1813">
        <f t="shared" si="355"/>
        <v>48.204285714285732</v>
      </c>
      <c r="AG44" s="1810">
        <f t="shared" si="355"/>
        <v>57.272857142857106</v>
      </c>
      <c r="AH44" s="1813">
        <f t="shared" si="355"/>
        <v>57.272857142857106</v>
      </c>
      <c r="AI44" s="1813">
        <f t="shared" si="355"/>
        <v>57.272857142857106</v>
      </c>
      <c r="AJ44" s="1813">
        <f t="shared" si="355"/>
        <v>54.772857142857106</v>
      </c>
      <c r="AK44" s="1810">
        <f t="shared" si="355"/>
        <v>56.088928571428653</v>
      </c>
      <c r="AL44" s="1813">
        <f t="shared" si="355"/>
        <v>88.588928571428653</v>
      </c>
      <c r="AM44" s="1813">
        <f t="shared" si="355"/>
        <v>88.588928571428653</v>
      </c>
      <c r="AN44" s="1825">
        <f t="shared" si="355"/>
        <v>86.088928571428653</v>
      </c>
      <c r="AO44" s="1826">
        <f t="shared" si="355"/>
        <v>87.5</v>
      </c>
      <c r="AP44" s="1813">
        <f t="shared" si="355"/>
        <v>87.5</v>
      </c>
      <c r="AQ44" s="1813">
        <f t="shared" si="355"/>
        <v>87.5</v>
      </c>
      <c r="AR44" s="1825">
        <f t="shared" si="355"/>
        <v>112.71941089719377</v>
      </c>
      <c r="AS44" s="1826">
        <f t="shared" si="355"/>
        <v>114.41926446346912</v>
      </c>
      <c r="AT44" s="1825">
        <f t="shared" si="355"/>
        <v>113.98950328854187</v>
      </c>
      <c r="AU44" s="1825">
        <f t="shared" si="355"/>
        <v>115.7668951971603</v>
      </c>
      <c r="AV44" s="1825">
        <f t="shared" si="355"/>
        <v>135.57700108332386</v>
      </c>
      <c r="AW44" s="1826">
        <f t="shared" si="355"/>
        <v>131.92013289661571</v>
      </c>
      <c r="AX44" s="1825">
        <f t="shared" si="355"/>
        <v>124.96838842012164</v>
      </c>
      <c r="AY44" s="1825">
        <f t="shared" si="355"/>
        <v>122.03090706704069</v>
      </c>
      <c r="AZ44" s="1825">
        <f t="shared" si="355"/>
        <v>156.456075242118</v>
      </c>
      <c r="BA44" s="1826">
        <f t="shared" si="355"/>
        <v>144.05235683517651</v>
      </c>
      <c r="BB44" s="1799"/>
      <c r="BC44" s="1710"/>
      <c r="BD44" s="1710"/>
      <c r="BE44" s="1710"/>
      <c r="BF44" s="1710"/>
      <c r="BG44" s="1710"/>
      <c r="BH44" s="1710"/>
      <c r="BI44" s="1710"/>
      <c r="BJ44" s="1764">
        <f>BJ42-BI42</f>
        <v>175.89</v>
      </c>
      <c r="BK44" s="1764">
        <f t="shared" ref="BK44:BP44" si="356">BK42-BJ42</f>
        <v>189.3857142857143</v>
      </c>
      <c r="BL44" s="1764">
        <f t="shared" si="356"/>
        <v>225.40750000000003</v>
      </c>
      <c r="BM44" s="1764">
        <f t="shared" si="356"/>
        <v>350.7667857142859</v>
      </c>
      <c r="BN44" s="1764">
        <f t="shared" si="356"/>
        <v>402.138675360663</v>
      </c>
      <c r="BO44" s="1764">
        <f t="shared" si="356"/>
        <v>497.25353246564191</v>
      </c>
      <c r="BP44" s="1764">
        <f t="shared" si="356"/>
        <v>547.50772756445667</v>
      </c>
      <c r="BR44" s="1483"/>
      <c r="BS44" s="1483"/>
      <c r="BT44" s="1483"/>
      <c r="BU44" s="1672"/>
    </row>
    <row r="45" spans="1:73" s="304" customFormat="1" ht="11.65" hidden="1" customHeight="1" outlineLevel="1">
      <c r="A45" s="1698" t="s">
        <v>509</v>
      </c>
      <c r="B45" s="1110"/>
      <c r="C45" s="1108"/>
      <c r="D45" s="1108"/>
      <c r="E45" s="1109"/>
      <c r="F45" s="1108"/>
      <c r="G45" s="1108"/>
      <c r="H45" s="1108"/>
      <c r="I45" s="1109"/>
      <c r="J45" s="1108"/>
      <c r="K45" s="1108"/>
      <c r="L45" s="1108"/>
      <c r="M45" s="1109"/>
      <c r="N45" s="1110"/>
      <c r="O45" s="1110"/>
      <c r="P45" s="1110"/>
      <c r="Q45" s="1111"/>
      <c r="R45" s="1110"/>
      <c r="S45" s="1569"/>
      <c r="T45" s="1569"/>
      <c r="U45" s="1570"/>
      <c r="V45" s="1569"/>
      <c r="W45" s="1569"/>
      <c r="X45" s="1569"/>
      <c r="Y45" s="1570"/>
      <c r="Z45" s="1569"/>
      <c r="AA45" s="1569"/>
      <c r="AB45" s="1569"/>
      <c r="AC45" s="1570"/>
      <c r="AD45" s="1821">
        <f>AD42/AC42-1</f>
        <v>0.10574912681435289</v>
      </c>
      <c r="AE45" s="1821">
        <f t="shared" ref="AE45:BA45" si="357">AE42/AD42-1</f>
        <v>9.5635731695320914E-2</v>
      </c>
      <c r="AF45" s="1821">
        <f t="shared" si="357"/>
        <v>0.104745468511517</v>
      </c>
      <c r="AG45" s="1822">
        <f t="shared" si="357"/>
        <v>0.10918071571115084</v>
      </c>
      <c r="AH45" s="1821">
        <f t="shared" si="357"/>
        <v>7.1234348795935931E-2</v>
      </c>
      <c r="AI45" s="1821">
        <f t="shared" si="357"/>
        <v>6.6497446498054558E-2</v>
      </c>
      <c r="AJ45" s="1821">
        <f t="shared" si="357"/>
        <v>6.2351247737540527E-2</v>
      </c>
      <c r="AK45" s="1822">
        <f t="shared" si="357"/>
        <v>8.7281331329988943E-2</v>
      </c>
      <c r="AL45" s="1821">
        <f t="shared" si="357"/>
        <v>0.19432898663602649</v>
      </c>
      <c r="AM45" s="1821">
        <f t="shared" si="357"/>
        <v>4.519715645318545E-2</v>
      </c>
      <c r="AN45" s="1823">
        <f t="shared" si="357"/>
        <v>3.4594167176312807E-2</v>
      </c>
      <c r="AO45" s="1824">
        <f t="shared" si="357"/>
        <v>6.6874854457626975E-2</v>
      </c>
      <c r="AP45" s="1821">
        <f t="shared" si="357"/>
        <v>0.14103661915075794</v>
      </c>
      <c r="AQ45" s="1821">
        <f t="shared" si="357"/>
        <v>3.4334427130083389E-2</v>
      </c>
      <c r="AR45" s="1823">
        <f t="shared" si="357"/>
        <v>9.3527838988739953E-2</v>
      </c>
      <c r="AS45" s="1824">
        <f t="shared" si="357"/>
        <v>5.2696985439395716E-2</v>
      </c>
      <c r="AT45" s="1823">
        <f t="shared" si="357"/>
        <v>0.10281833117458206</v>
      </c>
      <c r="AU45" s="1823">
        <f t="shared" si="357"/>
        <v>2.9865548408397835E-2</v>
      </c>
      <c r="AV45" s="1823">
        <f t="shared" si="357"/>
        <v>0.11177296771432821</v>
      </c>
      <c r="AW45" s="1824">
        <f t="shared" si="357"/>
        <v>3.296350394201597E-2</v>
      </c>
      <c r="AX45" s="1823">
        <f t="shared" si="357"/>
        <v>6.6533658454301481E-2</v>
      </c>
      <c r="AY45" s="1823">
        <f t="shared" si="357"/>
        <v>1.8805074505731989E-2</v>
      </c>
      <c r="AZ45" s="1823">
        <f t="shared" si="357"/>
        <v>0.14560537946469276</v>
      </c>
      <c r="BA45" s="1824">
        <f t="shared" si="357"/>
        <v>8.012387430409218E-3</v>
      </c>
      <c r="BB45" s="1799"/>
      <c r="BC45" s="1710"/>
      <c r="BD45" s="1710"/>
      <c r="BE45" s="1710"/>
      <c r="BF45" s="1710"/>
      <c r="BG45" s="1710"/>
      <c r="BH45" s="1710"/>
      <c r="BI45" s="1710"/>
      <c r="BJ45" s="1867" t="s">
        <v>670</v>
      </c>
      <c r="BK45" s="1809" t="s">
        <v>670</v>
      </c>
      <c r="BL45" s="1809" t="s">
        <v>670</v>
      </c>
      <c r="BM45" s="1808" t="s">
        <v>670</v>
      </c>
      <c r="BN45" s="1808" t="s">
        <v>670</v>
      </c>
      <c r="BO45" s="1808" t="s">
        <v>670</v>
      </c>
      <c r="BP45" s="1808" t="s">
        <v>670</v>
      </c>
      <c r="BR45" s="1483"/>
      <c r="BS45" s="1483"/>
      <c r="BT45" s="1483"/>
      <c r="BU45" s="1672"/>
    </row>
    <row r="46" spans="1:73" s="304" customFormat="1" ht="11.65" hidden="1" customHeight="1" outlineLevel="1">
      <c r="A46" s="1698" t="s">
        <v>668</v>
      </c>
      <c r="B46" s="1110"/>
      <c r="C46" s="1108"/>
      <c r="D46" s="1108"/>
      <c r="E46" s="1109"/>
      <c r="F46" s="1108"/>
      <c r="G46" s="1108"/>
      <c r="H46" s="1108"/>
      <c r="I46" s="1109"/>
      <c r="J46" s="1108"/>
      <c r="K46" s="1108"/>
      <c r="L46" s="1108"/>
      <c r="M46" s="1109"/>
      <c r="N46" s="1110"/>
      <c r="O46" s="1110"/>
      <c r="P46" s="1110"/>
      <c r="Q46" s="1111"/>
      <c r="R46" s="1110"/>
      <c r="S46" s="1569"/>
      <c r="T46" s="1569"/>
      <c r="U46" s="1570"/>
      <c r="V46" s="1569"/>
      <c r="W46" s="1569"/>
      <c r="X46" s="1569"/>
      <c r="Y46" s="1570"/>
      <c r="Z46" s="1864"/>
      <c r="AA46" s="1957">
        <v>10</v>
      </c>
      <c r="AB46" s="1957">
        <v>10</v>
      </c>
      <c r="AC46" s="1834">
        <f t="shared" ref="AC46" si="358">AC42-AB42</f>
        <v>8.2042857142857315</v>
      </c>
      <c r="AD46" s="1957">
        <v>12.5</v>
      </c>
      <c r="AE46" s="1957">
        <v>12.5</v>
      </c>
      <c r="AF46" s="1957">
        <v>15</v>
      </c>
      <c r="AG46" s="1834">
        <f t="shared" ref="AG46:AK46" si="359">AG42-AF42</f>
        <v>17.272857142857106</v>
      </c>
      <c r="AH46" s="1957">
        <v>12.5</v>
      </c>
      <c r="AI46" s="1957">
        <v>12.5</v>
      </c>
      <c r="AJ46" s="1957">
        <v>12.5</v>
      </c>
      <c r="AK46" s="1834">
        <f t="shared" si="359"/>
        <v>18.588928571428653</v>
      </c>
      <c r="AL46" s="1957">
        <v>45</v>
      </c>
      <c r="AM46" s="1957">
        <v>12.5</v>
      </c>
      <c r="AN46" s="1957">
        <v>10</v>
      </c>
      <c r="AO46" s="2034">
        <v>20</v>
      </c>
      <c r="AP46" s="1957">
        <v>45</v>
      </c>
      <c r="AQ46" s="1957">
        <v>12.5</v>
      </c>
      <c r="AR46" s="1844">
        <f t="shared" ref="AR46:BA46" si="360">AR42-AQ42</f>
        <v>35.219410897193768</v>
      </c>
      <c r="AS46" s="1845">
        <f t="shared" si="360"/>
        <v>21.699853566275351</v>
      </c>
      <c r="AT46" s="1844">
        <f t="shared" si="360"/>
        <v>44.570238825072749</v>
      </c>
      <c r="AU46" s="1844">
        <f t="shared" si="360"/>
        <v>14.277391908618426</v>
      </c>
      <c r="AV46" s="1844">
        <f t="shared" si="360"/>
        <v>55.029516783357337</v>
      </c>
      <c r="AW46" s="1845">
        <f t="shared" si="360"/>
        <v>18.042985379567199</v>
      </c>
      <c r="AX46" s="1844">
        <f t="shared" si="360"/>
        <v>37.618494348578679</v>
      </c>
      <c r="AY46" s="1844">
        <f t="shared" si="360"/>
        <v>11.339910555537472</v>
      </c>
      <c r="AZ46" s="1844">
        <f t="shared" si="360"/>
        <v>89.454684958434655</v>
      </c>
      <c r="BA46" s="1845">
        <f t="shared" si="360"/>
        <v>5.6392669726257054</v>
      </c>
      <c r="BB46" s="1799"/>
      <c r="BC46" s="1710"/>
      <c r="BD46" s="1710"/>
      <c r="BE46" s="1710"/>
      <c r="BF46" s="1710"/>
      <c r="BG46" s="1710"/>
      <c r="BH46" s="1710"/>
      <c r="BI46" s="1710"/>
      <c r="BJ46" s="1867" t="s">
        <v>670</v>
      </c>
      <c r="BK46" s="1809" t="s">
        <v>670</v>
      </c>
      <c r="BL46" s="1809" t="s">
        <v>670</v>
      </c>
      <c r="BM46" s="1808" t="s">
        <v>670</v>
      </c>
      <c r="BN46" s="1808" t="s">
        <v>670</v>
      </c>
      <c r="BO46" s="1808" t="s">
        <v>670</v>
      </c>
      <c r="BP46" s="1808" t="s">
        <v>670</v>
      </c>
      <c r="BR46" s="1483"/>
      <c r="BS46" s="1483"/>
      <c r="BT46" s="1483"/>
      <c r="BU46" s="1672"/>
    </row>
    <row r="47" spans="1:73" s="304" customFormat="1" ht="11.65" hidden="1" customHeight="1" outlineLevel="1">
      <c r="A47" s="1698" t="s">
        <v>665</v>
      </c>
      <c r="B47" s="1110"/>
      <c r="C47" s="1108"/>
      <c r="D47" s="1108"/>
      <c r="E47" s="1109"/>
      <c r="F47" s="1108"/>
      <c r="G47" s="1108"/>
      <c r="H47" s="1108"/>
      <c r="I47" s="1109"/>
      <c r="J47" s="1108"/>
      <c r="K47" s="1108"/>
      <c r="L47" s="1108"/>
      <c r="M47" s="1109"/>
      <c r="N47" s="1110"/>
      <c r="O47" s="1110"/>
      <c r="P47" s="1110"/>
      <c r="Q47" s="1111"/>
      <c r="R47" s="1110"/>
      <c r="S47" s="1569"/>
      <c r="T47" s="1569"/>
      <c r="U47" s="1570"/>
      <c r="V47" s="1569"/>
      <c r="W47" s="1569"/>
      <c r="X47" s="1569"/>
      <c r="Y47" s="1570"/>
      <c r="Z47" s="1817">
        <f t="shared" ref="Z47:BA47" si="361">Z42/Z32</f>
        <v>0.10650887573964497</v>
      </c>
      <c r="AA47" s="1817">
        <f t="shared" si="361"/>
        <v>8.9206066012488844E-2</v>
      </c>
      <c r="AB47" s="1817">
        <f t="shared" si="361"/>
        <v>9.2281879194630878E-2</v>
      </c>
      <c r="AC47" s="1818">
        <f t="shared" si="361"/>
        <v>9.2347098214285731E-2</v>
      </c>
      <c r="AD47" s="1817">
        <f t="shared" si="361"/>
        <v>9.6889759610293349E-2</v>
      </c>
      <c r="AE47" s="1817">
        <f t="shared" si="361"/>
        <v>0.1029506008010681</v>
      </c>
      <c r="AF47" s="1817">
        <f t="shared" si="361"/>
        <v>0.10776858699883224</v>
      </c>
      <c r="AG47" s="1818">
        <f t="shared" si="361"/>
        <v>0.11313806760615271</v>
      </c>
      <c r="AH47" s="1817">
        <f t="shared" si="361"/>
        <v>0.11617870386720817</v>
      </c>
      <c r="AI47" s="1817">
        <f t="shared" si="361"/>
        <v>0.1187660798916723</v>
      </c>
      <c r="AJ47" s="1817">
        <f t="shared" si="361"/>
        <v>0.12142368463919204</v>
      </c>
      <c r="AK47" s="1818">
        <f t="shared" si="361"/>
        <v>0.12640069401122897</v>
      </c>
      <c r="AL47" s="1817">
        <f t="shared" si="361"/>
        <v>0.14233971766781858</v>
      </c>
      <c r="AM47" s="1817">
        <f t="shared" si="361"/>
        <v>0.14183811159399975</v>
      </c>
      <c r="AN47" s="1819">
        <f t="shared" si="361"/>
        <v>0.14220925888186947</v>
      </c>
      <c r="AO47" s="1820">
        <f t="shared" si="361"/>
        <v>0.14385305294344972</v>
      </c>
      <c r="AP47" s="1817">
        <f t="shared" ref="AP47:AQ47" si="362">AP42/AP32</f>
        <v>0.1548558364221912</v>
      </c>
      <c r="AQ47" s="1817">
        <f t="shared" si="362"/>
        <v>0.15264129364757661</v>
      </c>
      <c r="AR47" s="1819">
        <f t="shared" si="361"/>
        <v>0.165939490125392</v>
      </c>
      <c r="AS47" s="1820">
        <f t="shared" si="361"/>
        <v>0.16704250995816691</v>
      </c>
      <c r="AT47" s="1819">
        <f t="shared" si="361"/>
        <v>0.17159609779736906</v>
      </c>
      <c r="AU47" s="1819">
        <f t="shared" si="361"/>
        <v>0.16486360715120027</v>
      </c>
      <c r="AV47" s="1819">
        <f t="shared" si="361"/>
        <v>0.18692687257252952</v>
      </c>
      <c r="AW47" s="1820">
        <f t="shared" si="361"/>
        <v>0.18622017888842726</v>
      </c>
      <c r="AX47" s="1819">
        <f t="shared" si="361"/>
        <v>0.1834347380308449</v>
      </c>
      <c r="AY47" s="1819">
        <f t="shared" si="361"/>
        <v>0.17065702059306651</v>
      </c>
      <c r="AZ47" s="1819">
        <f t="shared" si="361"/>
        <v>0.20455945617730387</v>
      </c>
      <c r="BA47" s="1820">
        <f t="shared" si="361"/>
        <v>0.20057065503853158</v>
      </c>
      <c r="BB47" s="1799"/>
      <c r="BC47" s="1710"/>
      <c r="BD47" s="1710"/>
      <c r="BE47" s="1710"/>
      <c r="BF47" s="1710"/>
      <c r="BG47" s="1710"/>
      <c r="BH47" s="1710"/>
      <c r="BI47" s="1710"/>
      <c r="BJ47" s="1809">
        <f t="shared" ref="BJ47:BP47" si="363">BJ42/BJ32</f>
        <v>9.4232601557973347E-2</v>
      </c>
      <c r="BK47" s="1809">
        <f t="shared" si="363"/>
        <v>0.10550269143948603</v>
      </c>
      <c r="BL47" s="1809">
        <f t="shared" si="363"/>
        <v>0.12086440800928613</v>
      </c>
      <c r="BM47" s="1809">
        <f t="shared" si="363"/>
        <v>0.14258784458134016</v>
      </c>
      <c r="BN47" s="1809">
        <f t="shared" si="363"/>
        <v>0.16027964355051735</v>
      </c>
      <c r="BO47" s="1809">
        <f t="shared" si="363"/>
        <v>0.17749116499736084</v>
      </c>
      <c r="BP47" s="1809">
        <f t="shared" si="363"/>
        <v>0.18973078893332082</v>
      </c>
      <c r="BR47" s="1483"/>
      <c r="BS47" s="1483"/>
      <c r="BT47" s="1483"/>
      <c r="BU47" s="1672"/>
    </row>
    <row r="48" spans="1:73" s="304" customFormat="1" ht="11.65" hidden="1" customHeight="1" outlineLevel="1">
      <c r="A48" s="1698"/>
      <c r="B48" s="1110"/>
      <c r="C48" s="1108"/>
      <c r="D48" s="1108"/>
      <c r="E48" s="1109"/>
      <c r="F48" s="1108"/>
      <c r="G48" s="1108"/>
      <c r="H48" s="1108"/>
      <c r="I48" s="1109"/>
      <c r="J48" s="1108"/>
      <c r="K48" s="1108"/>
      <c r="L48" s="1108"/>
      <c r="M48" s="1109"/>
      <c r="N48" s="1110"/>
      <c r="O48" s="1110"/>
      <c r="P48" s="1110"/>
      <c r="Q48" s="1111"/>
      <c r="R48" s="1110"/>
      <c r="S48" s="1569"/>
      <c r="T48" s="1569"/>
      <c r="U48" s="1570"/>
      <c r="V48" s="1569"/>
      <c r="W48" s="1569"/>
      <c r="X48" s="1569"/>
      <c r="Y48" s="1570"/>
      <c r="Z48" s="1817"/>
      <c r="AA48" s="1817"/>
      <c r="AB48" s="1817"/>
      <c r="AC48" s="1818"/>
      <c r="AD48" s="1817"/>
      <c r="AE48" s="1817"/>
      <c r="AF48" s="1817"/>
      <c r="AG48" s="1818"/>
      <c r="AH48" s="1817"/>
      <c r="AI48" s="1817"/>
      <c r="AJ48" s="1817"/>
      <c r="AK48" s="1818"/>
      <c r="AL48" s="1817"/>
      <c r="AM48" s="1817"/>
      <c r="AN48" s="1819"/>
      <c r="AO48" s="1820"/>
      <c r="AP48" s="1817"/>
      <c r="AQ48" s="1817"/>
      <c r="AR48" s="1819"/>
      <c r="AS48" s="1820"/>
      <c r="AT48" s="1819"/>
      <c r="AU48" s="1819"/>
      <c r="AV48" s="1819"/>
      <c r="AW48" s="1820"/>
      <c r="AX48" s="1819"/>
      <c r="AY48" s="1819"/>
      <c r="AZ48" s="1819"/>
      <c r="BA48" s="1820"/>
      <c r="BB48" s="1799"/>
      <c r="BC48" s="1710"/>
      <c r="BD48" s="1710"/>
      <c r="BE48" s="1710"/>
      <c r="BF48" s="1710"/>
      <c r="BG48" s="1710"/>
      <c r="BH48" s="1710"/>
      <c r="BI48" s="1710"/>
      <c r="BJ48" s="1809"/>
      <c r="BK48" s="1809"/>
      <c r="BL48" s="1809"/>
      <c r="BM48" s="1886"/>
      <c r="BN48" s="1886"/>
      <c r="BO48" s="1886"/>
      <c r="BP48" s="1809"/>
      <c r="BR48" s="1483"/>
      <c r="BS48" s="1483"/>
      <c r="BT48" s="1483"/>
      <c r="BU48" s="1672"/>
    </row>
    <row r="49" spans="1:75" s="570" customFormat="1" hidden="1" outlineLevel="1">
      <c r="A49" s="1887" t="s">
        <v>672</v>
      </c>
      <c r="B49" s="837"/>
      <c r="C49" s="837"/>
      <c r="D49" s="837"/>
      <c r="E49" s="838"/>
      <c r="F49" s="836"/>
      <c r="G49" s="836"/>
      <c r="H49" s="837"/>
      <c r="I49" s="838"/>
      <c r="J49" s="836"/>
      <c r="K49" s="836"/>
      <c r="L49" s="837"/>
      <c r="M49" s="838"/>
      <c r="N49" s="836"/>
      <c r="O49" s="836"/>
      <c r="P49" s="837"/>
      <c r="Q49" s="838"/>
      <c r="R49" s="836"/>
      <c r="S49" s="836"/>
      <c r="T49" s="837"/>
      <c r="U49" s="838"/>
      <c r="V49" s="836"/>
      <c r="W49" s="836"/>
      <c r="X49" s="837"/>
      <c r="Y49" s="838"/>
      <c r="Z49" s="1838">
        <f t="shared" ref="Z49:AQ49" si="364">(Z42*4)/AVERAGE(Y52:Z52)</f>
        <v>2918.3555298204978</v>
      </c>
      <c r="AA49" s="1838">
        <f t="shared" si="364"/>
        <v>2966.101694915254</v>
      </c>
      <c r="AB49" s="1838">
        <f t="shared" si="364"/>
        <v>2996.1089494163421</v>
      </c>
      <c r="AC49" s="1839">
        <f t="shared" si="364"/>
        <v>2975.0292134831461</v>
      </c>
      <c r="AD49" s="1838">
        <f t="shared" si="364"/>
        <v>3048.4964598084134</v>
      </c>
      <c r="AE49" s="1838">
        <f t="shared" si="364"/>
        <v>3096.3088803088804</v>
      </c>
      <c r="AF49" s="1838">
        <f t="shared" si="364"/>
        <v>3172.0157536698894</v>
      </c>
      <c r="AG49" s="1839">
        <f t="shared" si="364"/>
        <v>3272.3010323010317</v>
      </c>
      <c r="AH49" s="1838">
        <f t="shared" si="364"/>
        <v>3276.2900715841893</v>
      </c>
      <c r="AI49" s="1838">
        <f t="shared" si="364"/>
        <v>3279.7896581945661</v>
      </c>
      <c r="AJ49" s="1838">
        <f t="shared" si="364"/>
        <v>3282.8846683181941</v>
      </c>
      <c r="AK49" s="1839">
        <f t="shared" si="364"/>
        <v>3368.2337662337668</v>
      </c>
      <c r="AL49" s="1869">
        <f t="shared" si="364"/>
        <v>3808.1386771576113</v>
      </c>
      <c r="AM49" s="1838">
        <f t="shared" si="364"/>
        <v>3784.8258124853878</v>
      </c>
      <c r="AN49" s="1838">
        <f t="shared" si="364"/>
        <v>3732.4938711834193</v>
      </c>
      <c r="AO49" s="1839">
        <f t="shared" si="364"/>
        <v>3775.4271937590734</v>
      </c>
      <c r="AP49" s="1869">
        <f t="shared" si="364"/>
        <v>4095.346566872764</v>
      </c>
      <c r="AQ49" s="1838">
        <f t="shared" si="364"/>
        <v>4064.5033209592434</v>
      </c>
      <c r="AR49" s="1838">
        <f>AN49*(1+AR50)</f>
        <v>4169.0296623631602</v>
      </c>
      <c r="AS49" s="1839">
        <f t="shared" ref="AS49:BA49" si="365">AO49*(1+AS50)</f>
        <v>4156.3386153894307</v>
      </c>
      <c r="AT49" s="1838">
        <f>AP49*(1+AT50)</f>
        <v>4404.2155301221928</v>
      </c>
      <c r="AU49" s="1838">
        <f t="shared" si="365"/>
        <v>4364.8474367279741</v>
      </c>
      <c r="AV49" s="1838">
        <f t="shared" si="365"/>
        <v>4656.6207274583276</v>
      </c>
      <c r="AW49" s="1839">
        <f t="shared" si="365"/>
        <v>4575.6810552018642</v>
      </c>
      <c r="AX49" s="1838">
        <f t="shared" si="365"/>
        <v>4736.3792340977097</v>
      </c>
      <c r="AY49" s="1838">
        <f t="shared" si="365"/>
        <v>4687.3853067524187</v>
      </c>
      <c r="AZ49" s="1838">
        <f t="shared" si="365"/>
        <v>5201.2382629830381</v>
      </c>
      <c r="BA49" s="1839">
        <f t="shared" si="365"/>
        <v>5037.3319058778261</v>
      </c>
      <c r="BB49" s="1804"/>
      <c r="BC49" s="1047"/>
      <c r="BD49" s="1047"/>
      <c r="BE49" s="1047"/>
      <c r="BF49" s="1047"/>
      <c r="BG49" s="1047"/>
      <c r="BH49" s="1047"/>
      <c r="BI49" s="1761">
        <v>2512</v>
      </c>
      <c r="BJ49" s="1761">
        <v>2957</v>
      </c>
      <c r="BK49" s="1761">
        <v>3140</v>
      </c>
      <c r="BL49" s="1761">
        <v>3299</v>
      </c>
      <c r="BM49" s="1761">
        <v>3713</v>
      </c>
      <c r="BN49" s="1870">
        <f>BN42/AVERAGE(BM52:BN52)</f>
        <v>4144.6887009158836</v>
      </c>
      <c r="BO49" s="1870">
        <f>BO42/AVERAGE(BN52:BO52)</f>
        <v>4571.082327150345</v>
      </c>
      <c r="BP49" s="1870">
        <f>BP42/AVERAGE(BO52:BP52)</f>
        <v>4974.6399423334205</v>
      </c>
      <c r="BR49" s="1440"/>
      <c r="BS49" s="1440"/>
      <c r="BT49" s="1440"/>
      <c r="BU49" s="1260"/>
    </row>
    <row r="50" spans="1:75" s="304" customFormat="1" ht="11.65" hidden="1" customHeight="1" outlineLevel="1">
      <c r="A50" s="1888" t="s">
        <v>507</v>
      </c>
      <c r="B50" s="1110"/>
      <c r="C50" s="1108"/>
      <c r="D50" s="1108"/>
      <c r="E50" s="1109"/>
      <c r="F50" s="1108"/>
      <c r="G50" s="1108"/>
      <c r="H50" s="1108"/>
      <c r="I50" s="1109"/>
      <c r="J50" s="1108"/>
      <c r="K50" s="1108"/>
      <c r="L50" s="1108"/>
      <c r="M50" s="1109"/>
      <c r="N50" s="1110"/>
      <c r="O50" s="1110"/>
      <c r="P50" s="1110"/>
      <c r="Q50" s="1111"/>
      <c r="R50" s="1110"/>
      <c r="S50" s="1569"/>
      <c r="T50" s="1569"/>
      <c r="U50" s="1570"/>
      <c r="V50" s="1569"/>
      <c r="W50" s="1569"/>
      <c r="X50" s="1569"/>
      <c r="Y50" s="1570"/>
      <c r="Z50" s="1829"/>
      <c r="AA50" s="1829"/>
      <c r="AB50" s="1829"/>
      <c r="AC50" s="1830"/>
      <c r="AD50" s="1829">
        <f t="shared" ref="AD50" si="366">AD49/Z49-1</f>
        <v>4.4593925811335255E-2</v>
      </c>
      <c r="AE50" s="1829">
        <f t="shared" ref="AE50" si="367">AE49/AA49-1</f>
        <v>4.389842250413678E-2</v>
      </c>
      <c r="AF50" s="1829">
        <f t="shared" ref="AF50" si="368">AF49/AB49-1</f>
        <v>5.8711751549560542E-2</v>
      </c>
      <c r="AG50" s="1830">
        <f t="shared" ref="AG50" si="369">AG49/AC49-1</f>
        <v>9.9922319239965196E-2</v>
      </c>
      <c r="AH50" s="1829">
        <f t="shared" ref="AH50" si="370">AH49/AD49-1</f>
        <v>7.4723265970297881E-2</v>
      </c>
      <c r="AI50" s="1829">
        <f t="shared" ref="AI50" si="371">AI49/AE49-1</f>
        <v>5.925790513102247E-2</v>
      </c>
      <c r="AJ50" s="1829">
        <f t="shared" ref="AJ50" si="372">AJ49/AF49-1</f>
        <v>3.4952195467514269E-2</v>
      </c>
      <c r="AK50" s="1830">
        <f t="shared" ref="AK50" si="373">AK49/AG49-1</f>
        <v>2.9316598010323158E-2</v>
      </c>
      <c r="AL50" s="1829">
        <f t="shared" ref="AL50" si="374">AL49/AH49-1</f>
        <v>0.16233257555130232</v>
      </c>
      <c r="AM50" s="1829">
        <f t="shared" ref="AM50" si="375">AM49/AI49-1</f>
        <v>0.15398431208202235</v>
      </c>
      <c r="AN50" s="1831">
        <f t="shared" ref="AN50" si="376">AN49/AJ49-1</f>
        <v>0.13695552792464016</v>
      </c>
      <c r="AO50" s="1753">
        <f t="shared" ref="AO50:AQ50" si="377">AO49/AK49-1</f>
        <v>0.12089227048531592</v>
      </c>
      <c r="AP50" s="1829">
        <f t="shared" si="377"/>
        <v>7.5419493370321389E-2</v>
      </c>
      <c r="AQ50" s="1829">
        <f t="shared" si="377"/>
        <v>7.3894420068489008E-2</v>
      </c>
      <c r="AR50" s="2131">
        <f>AN50-2%</f>
        <v>0.11695552792464016</v>
      </c>
      <c r="AS50" s="2132">
        <f>AO50-2%</f>
        <v>0.10089227048531592</v>
      </c>
      <c r="AT50" s="2131">
        <f t="shared" ref="AT50:BA50" si="378">AP50</f>
        <v>7.5419493370321389E-2</v>
      </c>
      <c r="AU50" s="2131">
        <f t="shared" si="378"/>
        <v>7.3894420068489008E-2</v>
      </c>
      <c r="AV50" s="2131">
        <f t="shared" si="378"/>
        <v>0.11695552792464016</v>
      </c>
      <c r="AW50" s="2132">
        <f t="shared" si="378"/>
        <v>0.10089227048531592</v>
      </c>
      <c r="AX50" s="2131">
        <f t="shared" si="378"/>
        <v>7.5419493370321389E-2</v>
      </c>
      <c r="AY50" s="2131">
        <f t="shared" si="378"/>
        <v>7.3894420068489008E-2</v>
      </c>
      <c r="AZ50" s="2131">
        <f t="shared" si="378"/>
        <v>0.11695552792464016</v>
      </c>
      <c r="BA50" s="2132">
        <f t="shared" si="378"/>
        <v>0.10089227048531592</v>
      </c>
      <c r="BB50" s="1799"/>
      <c r="BC50" s="1710"/>
      <c r="BD50" s="1710"/>
      <c r="BE50" s="1710"/>
      <c r="BF50" s="1710"/>
      <c r="BG50" s="1710"/>
      <c r="BH50" s="1710"/>
      <c r="BI50" s="1808"/>
      <c r="BJ50" s="1808">
        <f>BJ49/BI49-1</f>
        <v>0.17714968152866239</v>
      </c>
      <c r="BK50" s="1808">
        <f>BK49/BJ49-1</f>
        <v>6.1887047683462981E-2</v>
      </c>
      <c r="BL50" s="1809">
        <f>BL49/BK49-1</f>
        <v>5.0636942675159169E-2</v>
      </c>
      <c r="BM50" s="1809">
        <f>BM49/BL49-1</f>
        <v>0.12549257350712328</v>
      </c>
      <c r="BN50" s="1809">
        <f t="shared" ref="BN50" si="379">BN49/BM49-1</f>
        <v>0.11626412629029992</v>
      </c>
      <c r="BO50" s="1809">
        <f t="shared" ref="BO50" si="380">BO49/BN49-1</f>
        <v>0.10287711743954087</v>
      </c>
      <c r="BP50" s="1809">
        <f t="shared" ref="BP50" si="381">BP49/BO49-1</f>
        <v>8.8284915103390205E-2</v>
      </c>
      <c r="BR50" s="1483"/>
      <c r="BS50" s="1483"/>
      <c r="BT50" s="1483"/>
      <c r="BU50" s="1672"/>
    </row>
    <row r="51" spans="1:75" s="304" customFormat="1" ht="11.65" hidden="1" customHeight="1" outlineLevel="1">
      <c r="A51" s="1888"/>
      <c r="B51" s="1110"/>
      <c r="C51" s="1108"/>
      <c r="D51" s="1108"/>
      <c r="E51" s="1109"/>
      <c r="F51" s="1108"/>
      <c r="G51" s="1108"/>
      <c r="H51" s="1108"/>
      <c r="I51" s="1109"/>
      <c r="J51" s="1108"/>
      <c r="K51" s="1108"/>
      <c r="L51" s="1108"/>
      <c r="M51" s="1109"/>
      <c r="N51" s="1110"/>
      <c r="O51" s="1110"/>
      <c r="P51" s="1110"/>
      <c r="Q51" s="1111"/>
      <c r="R51" s="1110"/>
      <c r="S51" s="1569"/>
      <c r="T51" s="1569"/>
      <c r="U51" s="1570"/>
      <c r="V51" s="1569"/>
      <c r="W51" s="1569"/>
      <c r="X51" s="1569"/>
      <c r="Y51" s="1570"/>
      <c r="Z51" s="1569"/>
      <c r="AA51" s="1569"/>
      <c r="AB51" s="1569"/>
      <c r="AC51" s="1570"/>
      <c r="AD51" s="1569"/>
      <c r="AE51" s="1569"/>
      <c r="AF51" s="1569"/>
      <c r="AG51" s="1570"/>
      <c r="AH51" s="1569"/>
      <c r="AI51" s="1569"/>
      <c r="AJ51" s="1569"/>
      <c r="AK51" s="1570"/>
      <c r="AL51" s="1569"/>
      <c r="AM51" s="1569"/>
      <c r="AN51" s="398"/>
      <c r="AO51" s="401"/>
      <c r="AP51" s="1569"/>
      <c r="AQ51" s="1569"/>
      <c r="AR51" s="398"/>
      <c r="AS51" s="401"/>
      <c r="AT51" s="398"/>
      <c r="AU51" s="398"/>
      <c r="AV51" s="398"/>
      <c r="AW51" s="401"/>
      <c r="AX51" s="398"/>
      <c r="AY51" s="398"/>
      <c r="AZ51" s="398"/>
      <c r="BA51" s="401"/>
      <c r="BB51" s="1799"/>
      <c r="BC51" s="1710"/>
      <c r="BD51" s="1710"/>
      <c r="BE51" s="1710"/>
      <c r="BF51" s="1710"/>
      <c r="BG51" s="1710"/>
      <c r="BH51" s="1710"/>
      <c r="BI51" s="1710"/>
      <c r="BJ51" s="1711"/>
      <c r="BK51" s="1710"/>
      <c r="BL51" s="1731"/>
      <c r="BM51" s="1710"/>
      <c r="BN51" s="1710"/>
      <c r="BO51" s="1710"/>
      <c r="BP51" s="1710"/>
      <c r="BR51" s="1483"/>
      <c r="BS51" s="1483"/>
      <c r="BT51" s="1483"/>
      <c r="BU51" s="1672"/>
    </row>
    <row r="52" spans="1:75" s="304" customFormat="1" ht="11.65" hidden="1" customHeight="1" outlineLevel="1">
      <c r="A52" s="1887" t="s">
        <v>573</v>
      </c>
      <c r="B52" s="1110"/>
      <c r="C52" s="1108"/>
      <c r="D52" s="1108"/>
      <c r="E52" s="1109"/>
      <c r="F52" s="1108"/>
      <c r="G52" s="1108"/>
      <c r="H52" s="1108"/>
      <c r="I52" s="1109"/>
      <c r="J52" s="1108"/>
      <c r="K52" s="1108"/>
      <c r="L52" s="1108"/>
      <c r="M52" s="1109"/>
      <c r="N52" s="1110"/>
      <c r="O52" s="1110"/>
      <c r="P52" s="1110"/>
      <c r="Q52" s="1840"/>
      <c r="R52" s="1110"/>
      <c r="S52" s="1569"/>
      <c r="T52" s="1569"/>
      <c r="U52" s="1840">
        <f>BH52</f>
        <v>7.5068243858052788E-2</v>
      </c>
      <c r="V52" s="1841">
        <f>U52+V53</f>
        <v>8.6068243858052784E-2</v>
      </c>
      <c r="W52" s="1841">
        <f>V52+W53</f>
        <v>9.706824385805278E-2</v>
      </c>
      <c r="X52" s="1841">
        <f>W52+X53</f>
        <v>0.10806824385805278</v>
      </c>
      <c r="Y52" s="1840">
        <f>BI52</f>
        <v>0.11785714285714287</v>
      </c>
      <c r="Z52" s="1841">
        <f>Y52+Z53</f>
        <v>0.12885714285714286</v>
      </c>
      <c r="AA52" s="1841">
        <f>Z52+AA53</f>
        <v>0.14085714285714288</v>
      </c>
      <c r="AB52" s="1841">
        <f>AA52+AB53</f>
        <v>0.15285714285714289</v>
      </c>
      <c r="AC52" s="1840">
        <f>BJ52</f>
        <v>0.16500000000000001</v>
      </c>
      <c r="AD52" s="1841">
        <f>AC52+AD53</f>
        <v>0.17800000000000002</v>
      </c>
      <c r="AE52" s="1841">
        <f>AD52+AE53</f>
        <v>0.19200000000000003</v>
      </c>
      <c r="AF52" s="1841">
        <f>AE52+AF53</f>
        <v>0.20700000000000002</v>
      </c>
      <c r="AG52" s="1840">
        <f>BK52</f>
        <v>0.222</v>
      </c>
      <c r="AH52" s="1841">
        <f>AG52+AH53</f>
        <v>0.23699999999999999</v>
      </c>
      <c r="AI52" s="1841">
        <f>AH52+AI53</f>
        <v>0.252</v>
      </c>
      <c r="AJ52" s="1841">
        <f>AI52+AJ53</f>
        <v>0.26700000000000002</v>
      </c>
      <c r="AK52" s="1840">
        <f>BL52</f>
        <v>0.28299999999999997</v>
      </c>
      <c r="AL52" s="1841">
        <f t="shared" ref="AL52:BA52" si="382">AK52+AL53</f>
        <v>0.29799999999999999</v>
      </c>
      <c r="AM52" s="1841">
        <f t="shared" si="382"/>
        <v>0.313</v>
      </c>
      <c r="AN52" s="1841">
        <f t="shared" si="382"/>
        <v>0.32800000000000001</v>
      </c>
      <c r="AO52" s="1840">
        <f>BM52</f>
        <v>0.34808999999999996</v>
      </c>
      <c r="AP52" s="1841">
        <f t="shared" si="382"/>
        <v>0.36308999999999997</v>
      </c>
      <c r="AQ52" s="1841">
        <f t="shared" si="382"/>
        <v>0.37808999999999998</v>
      </c>
      <c r="AR52" s="1841">
        <f t="shared" si="382"/>
        <v>0.39509</v>
      </c>
      <c r="AS52" s="1840">
        <f t="shared" si="382"/>
        <v>0.41717999999999994</v>
      </c>
      <c r="AT52" s="1841">
        <f t="shared" si="382"/>
        <v>0.43417999999999995</v>
      </c>
      <c r="AU52" s="1841">
        <f t="shared" si="382"/>
        <v>0.45117999999999997</v>
      </c>
      <c r="AV52" s="1841">
        <f t="shared" si="382"/>
        <v>0.47017999999999999</v>
      </c>
      <c r="AW52" s="1840">
        <f t="shared" si="382"/>
        <v>0.49426999999999993</v>
      </c>
      <c r="AX52" s="1841">
        <f t="shared" si="382"/>
        <v>0.50926999999999989</v>
      </c>
      <c r="AY52" s="1841">
        <f t="shared" si="382"/>
        <v>0.5242699999999999</v>
      </c>
      <c r="AZ52" s="1841">
        <f t="shared" si="382"/>
        <v>0.54126999999999992</v>
      </c>
      <c r="BA52" s="1840">
        <f t="shared" si="382"/>
        <v>0.56335999999999986</v>
      </c>
      <c r="BB52" s="1799"/>
      <c r="BC52" s="1710"/>
      <c r="BD52" s="1710"/>
      <c r="BE52" s="1710"/>
      <c r="BF52" s="1710"/>
      <c r="BG52" s="1710"/>
      <c r="BH52" s="1842">
        <f>BI52/(1+BI54)</f>
        <v>7.5068243858052788E-2</v>
      </c>
      <c r="BI52" s="1842">
        <f>BJ52/(1+BJ54)</f>
        <v>0.11785714285714287</v>
      </c>
      <c r="BJ52" s="1843">
        <v>0.16500000000000001</v>
      </c>
      <c r="BK52" s="1843">
        <v>0.222</v>
      </c>
      <c r="BL52" s="1843">
        <v>0.28299999999999997</v>
      </c>
      <c r="BM52" s="1842">
        <f>BL52*(1+BM54)</f>
        <v>0.34808999999999996</v>
      </c>
      <c r="BN52" s="1842">
        <f>AS52</f>
        <v>0.41717999999999994</v>
      </c>
      <c r="BO52" s="1842">
        <f>AW52</f>
        <v>0.49426999999999993</v>
      </c>
      <c r="BP52" s="1842">
        <f>BA52</f>
        <v>0.56335999999999986</v>
      </c>
      <c r="BR52" s="1483"/>
      <c r="BS52" s="1483"/>
      <c r="BT52" s="1483"/>
      <c r="BU52" s="1672"/>
    </row>
    <row r="53" spans="1:75" s="304" customFormat="1" ht="11.65" hidden="1" customHeight="1" outlineLevel="1">
      <c r="A53" s="1766" t="s">
        <v>385</v>
      </c>
      <c r="B53" s="836"/>
      <c r="C53" s="837"/>
      <c r="D53" s="837"/>
      <c r="E53" s="838"/>
      <c r="F53" s="837"/>
      <c r="G53" s="837"/>
      <c r="H53" s="837"/>
      <c r="I53" s="838"/>
      <c r="J53" s="837"/>
      <c r="K53" s="837"/>
      <c r="L53" s="837"/>
      <c r="M53" s="838"/>
      <c r="N53" s="836"/>
      <c r="O53" s="836"/>
      <c r="P53" s="836"/>
      <c r="Q53" s="1041"/>
      <c r="R53" s="836"/>
      <c r="S53" s="1294"/>
      <c r="T53" s="1294"/>
      <c r="U53" s="1811"/>
      <c r="V53" s="1956">
        <v>1.0999999999999999E-2</v>
      </c>
      <c r="W53" s="1956">
        <v>1.0999999999999999E-2</v>
      </c>
      <c r="X53" s="1956">
        <v>1.0999999999999999E-2</v>
      </c>
      <c r="Y53" s="1811">
        <f>Y52-X52</f>
        <v>9.7888989990900926E-3</v>
      </c>
      <c r="Z53" s="1956">
        <v>1.0999999999999999E-2</v>
      </c>
      <c r="AA53" s="1956">
        <v>1.2E-2</v>
      </c>
      <c r="AB53" s="1956">
        <v>1.2E-2</v>
      </c>
      <c r="AC53" s="1811">
        <f>AC52-AB52</f>
        <v>1.2142857142857122E-2</v>
      </c>
      <c r="AD53" s="1956">
        <v>1.2999999999999999E-2</v>
      </c>
      <c r="AE53" s="1956">
        <v>1.4E-2</v>
      </c>
      <c r="AF53" s="1956">
        <v>1.4999999999999999E-2</v>
      </c>
      <c r="AG53" s="1811">
        <f>AG52-AF52</f>
        <v>1.4999999999999986E-2</v>
      </c>
      <c r="AH53" s="1956">
        <v>1.4999999999999999E-2</v>
      </c>
      <c r="AI53" s="1956">
        <v>1.4999999999999999E-2</v>
      </c>
      <c r="AJ53" s="1956">
        <v>1.4999999999999999E-2</v>
      </c>
      <c r="AK53" s="1811">
        <f>AK52-AJ52</f>
        <v>1.5999999999999959E-2</v>
      </c>
      <c r="AL53" s="1956">
        <v>1.4999999999999999E-2</v>
      </c>
      <c r="AM53" s="1956">
        <v>1.4999999999999999E-2</v>
      </c>
      <c r="AN53" s="1956">
        <v>1.4999999999999999E-2</v>
      </c>
      <c r="AO53" s="1811">
        <f>AO52-AN52</f>
        <v>2.0089999999999941E-2</v>
      </c>
      <c r="AP53" s="1956">
        <v>1.4999999999999999E-2</v>
      </c>
      <c r="AQ53" s="1956">
        <v>1.4999999999999999E-2</v>
      </c>
      <c r="AR53" s="1814">
        <f t="shared" ref="AR53:AW53" si="383">AN53+0.002</f>
        <v>1.7000000000000001E-2</v>
      </c>
      <c r="AS53" s="1815">
        <f t="shared" si="383"/>
        <v>2.2089999999999943E-2</v>
      </c>
      <c r="AT53" s="1814">
        <f t="shared" si="383"/>
        <v>1.7000000000000001E-2</v>
      </c>
      <c r="AU53" s="1814">
        <f t="shared" si="383"/>
        <v>1.7000000000000001E-2</v>
      </c>
      <c r="AV53" s="1814">
        <f t="shared" si="383"/>
        <v>1.9000000000000003E-2</v>
      </c>
      <c r="AW53" s="1815">
        <f t="shared" si="383"/>
        <v>2.4089999999999945E-2</v>
      </c>
      <c r="AX53" s="1814">
        <f t="shared" ref="AX53:BA53" si="384">AT53-0.002</f>
        <v>1.5000000000000001E-2</v>
      </c>
      <c r="AY53" s="1814">
        <f t="shared" si="384"/>
        <v>1.5000000000000001E-2</v>
      </c>
      <c r="AZ53" s="1814">
        <f t="shared" si="384"/>
        <v>1.7000000000000001E-2</v>
      </c>
      <c r="BA53" s="1815">
        <f t="shared" si="384"/>
        <v>2.2089999999999943E-2</v>
      </c>
      <c r="BB53" s="1799"/>
      <c r="BC53" s="1674"/>
      <c r="BD53" s="1674"/>
      <c r="BE53" s="1674"/>
      <c r="BF53" s="1674"/>
      <c r="BG53" s="1674"/>
      <c r="BH53" s="1741"/>
      <c r="BI53" s="1741">
        <f>BI52-BH52</f>
        <v>4.278889899909008E-2</v>
      </c>
      <c r="BJ53" s="1812">
        <f>BJ52-BI52</f>
        <v>4.7142857142857139E-2</v>
      </c>
      <c r="BK53" s="1741">
        <f>BK52-BJ52</f>
        <v>5.6999999999999995E-2</v>
      </c>
      <c r="BL53" s="1741">
        <f>BL52-BK52</f>
        <v>6.0999999999999971E-2</v>
      </c>
      <c r="BM53" s="1741">
        <f>BM52-BL52</f>
        <v>6.5089999999999981E-2</v>
      </c>
      <c r="BN53" s="1741">
        <f t="shared" ref="BN53:BP53" si="385">BN52-BM52</f>
        <v>6.9089999999999985E-2</v>
      </c>
      <c r="BO53" s="1741">
        <f t="shared" si="385"/>
        <v>7.7089999999999992E-2</v>
      </c>
      <c r="BP53" s="1741">
        <f t="shared" si="385"/>
        <v>6.9089999999999929E-2</v>
      </c>
      <c r="BR53" s="1483"/>
      <c r="BS53" s="1483"/>
      <c r="BT53" s="1483"/>
      <c r="BU53" s="1675"/>
    </row>
    <row r="54" spans="1:75" s="304" customFormat="1" ht="11.65" hidden="1" customHeight="1" outlineLevel="1">
      <c r="A54" s="1888" t="s">
        <v>507</v>
      </c>
      <c r="B54" s="836"/>
      <c r="C54" s="837"/>
      <c r="D54" s="837"/>
      <c r="E54" s="838"/>
      <c r="F54" s="837"/>
      <c r="G54" s="837"/>
      <c r="H54" s="837"/>
      <c r="I54" s="838"/>
      <c r="J54" s="837"/>
      <c r="K54" s="837"/>
      <c r="L54" s="837"/>
      <c r="M54" s="838"/>
      <c r="N54" s="836"/>
      <c r="O54" s="836"/>
      <c r="P54" s="836"/>
      <c r="Q54" s="1041"/>
      <c r="R54" s="836"/>
      <c r="S54" s="1294"/>
      <c r="T54" s="1294"/>
      <c r="U54" s="1557"/>
      <c r="V54" s="1294"/>
      <c r="W54" s="1294"/>
      <c r="X54" s="1294"/>
      <c r="Y54" s="1557"/>
      <c r="Z54" s="1829">
        <f>Z52/V52-1</f>
        <v>0.49715083149203387</v>
      </c>
      <c r="AA54" s="1829">
        <f t="shared" ref="AA54:BA54" si="386">AA52/W52-1</f>
        <v>0.45111456907703573</v>
      </c>
      <c r="AB54" s="1829">
        <f t="shared" si="386"/>
        <v>0.41445014187442664</v>
      </c>
      <c r="AC54" s="1830">
        <f t="shared" si="386"/>
        <v>0.39999999999999991</v>
      </c>
      <c r="AD54" s="1829">
        <f t="shared" si="386"/>
        <v>0.38137472283813745</v>
      </c>
      <c r="AE54" s="1829">
        <f t="shared" si="386"/>
        <v>0.36308316430020282</v>
      </c>
      <c r="AF54" s="1829">
        <f t="shared" si="386"/>
        <v>0.35420560747663532</v>
      </c>
      <c r="AG54" s="1830">
        <f t="shared" si="386"/>
        <v>0.34545454545454546</v>
      </c>
      <c r="AH54" s="1829">
        <f t="shared" si="386"/>
        <v>0.33146067415730318</v>
      </c>
      <c r="AI54" s="1829">
        <f t="shared" si="386"/>
        <v>0.31249999999999978</v>
      </c>
      <c r="AJ54" s="1829">
        <f t="shared" si="386"/>
        <v>0.28985507246376807</v>
      </c>
      <c r="AK54" s="1830">
        <f t="shared" si="386"/>
        <v>0.27477477477477463</v>
      </c>
      <c r="AL54" s="1829">
        <f t="shared" si="386"/>
        <v>0.2573839662447257</v>
      </c>
      <c r="AM54" s="1829">
        <f t="shared" si="386"/>
        <v>0.24206349206349209</v>
      </c>
      <c r="AN54" s="1831">
        <f t="shared" si="386"/>
        <v>0.22846441947565532</v>
      </c>
      <c r="AO54" s="1830">
        <f t="shared" si="386"/>
        <v>0.22999999999999998</v>
      </c>
      <c r="AP54" s="1829">
        <f t="shared" si="386"/>
        <v>0.21842281879194636</v>
      </c>
      <c r="AQ54" s="1829">
        <f t="shared" si="386"/>
        <v>0.20795527156549509</v>
      </c>
      <c r="AR54" s="1831">
        <f t="shared" si="386"/>
        <v>0.20454268292682931</v>
      </c>
      <c r="AS54" s="1753">
        <f t="shared" si="386"/>
        <v>0.19848315090924751</v>
      </c>
      <c r="AT54" s="1831">
        <f t="shared" si="386"/>
        <v>0.19579167699468458</v>
      </c>
      <c r="AU54" s="1831">
        <f t="shared" si="386"/>
        <v>0.19331376127377076</v>
      </c>
      <c r="AV54" s="1831">
        <f t="shared" si="386"/>
        <v>0.19005796147713183</v>
      </c>
      <c r="AW54" s="1753">
        <f t="shared" si="386"/>
        <v>0.1847883407641786</v>
      </c>
      <c r="AX54" s="1831">
        <f t="shared" si="386"/>
        <v>0.17294670413192681</v>
      </c>
      <c r="AY54" s="1831">
        <f t="shared" si="386"/>
        <v>0.16199742896404978</v>
      </c>
      <c r="AZ54" s="1831">
        <f t="shared" si="386"/>
        <v>0.15119741375643359</v>
      </c>
      <c r="BA54" s="1753">
        <f t="shared" si="386"/>
        <v>0.13978190058065421</v>
      </c>
      <c r="BB54" s="1799"/>
      <c r="BC54" s="1674"/>
      <c r="BD54" s="1674"/>
      <c r="BE54" s="1674"/>
      <c r="BF54" s="1674"/>
      <c r="BG54" s="1674"/>
      <c r="BH54" s="1674"/>
      <c r="BI54" s="1709">
        <v>0.56999999999999995</v>
      </c>
      <c r="BJ54" s="1506">
        <v>0.4</v>
      </c>
      <c r="BK54" s="1709">
        <v>0.35</v>
      </c>
      <c r="BL54" s="1708">
        <v>0.28000000000000003</v>
      </c>
      <c r="BM54" s="1708">
        <v>0.23</v>
      </c>
      <c r="BN54" s="1846">
        <f t="shared" ref="BN54:BP54" si="387">BN52/BM52-1</f>
        <v>0.19848315090924751</v>
      </c>
      <c r="BO54" s="1846">
        <f t="shared" si="387"/>
        <v>0.1847883407641786</v>
      </c>
      <c r="BP54" s="1846">
        <f t="shared" si="387"/>
        <v>0.13978190058065421</v>
      </c>
      <c r="BR54" s="1483"/>
      <c r="BS54" s="1483"/>
      <c r="BT54" s="1483"/>
      <c r="BU54" s="1675"/>
    </row>
    <row r="55" spans="1:75" s="304" customFormat="1" ht="11.65" hidden="1" customHeight="1" outlineLevel="1">
      <c r="A55" s="1888"/>
      <c r="B55" s="836"/>
      <c r="C55" s="837"/>
      <c r="D55" s="837"/>
      <c r="E55" s="838"/>
      <c r="F55" s="837"/>
      <c r="G55" s="837"/>
      <c r="H55" s="837"/>
      <c r="I55" s="838"/>
      <c r="J55" s="837"/>
      <c r="K55" s="837"/>
      <c r="L55" s="837"/>
      <c r="M55" s="838"/>
      <c r="N55" s="836"/>
      <c r="O55" s="836"/>
      <c r="P55" s="836"/>
      <c r="Q55" s="1041"/>
      <c r="R55" s="836"/>
      <c r="S55" s="1294"/>
      <c r="T55" s="1294"/>
      <c r="U55" s="1557"/>
      <c r="V55" s="1294"/>
      <c r="W55" s="1294"/>
      <c r="X55" s="1294"/>
      <c r="Y55" s="1557"/>
      <c r="Z55" s="1294"/>
      <c r="AA55" s="1294"/>
      <c r="AB55" s="1294"/>
      <c r="AC55" s="1557"/>
      <c r="AD55" s="1294"/>
      <c r="AE55" s="1294"/>
      <c r="AF55" s="1294"/>
      <c r="AG55" s="1557"/>
      <c r="AH55" s="1294"/>
      <c r="AI55" s="1294"/>
      <c r="AJ55" s="1294"/>
      <c r="AK55" s="1557"/>
      <c r="AL55" s="1294"/>
      <c r="AM55" s="1294"/>
      <c r="AN55" s="398"/>
      <c r="AO55" s="401"/>
      <c r="AP55" s="1294"/>
      <c r="AQ55" s="1294"/>
      <c r="AR55" s="398"/>
      <c r="AS55" s="401"/>
      <c r="AT55" s="398"/>
      <c r="AU55" s="398"/>
      <c r="AV55" s="398"/>
      <c r="AW55" s="401"/>
      <c r="AX55" s="398"/>
      <c r="AY55" s="398"/>
      <c r="AZ55" s="398"/>
      <c r="BA55" s="401"/>
      <c r="BB55" s="1799"/>
      <c r="BC55" s="1674"/>
      <c r="BD55" s="1119"/>
      <c r="BE55" s="1119"/>
      <c r="BF55" s="1119"/>
      <c r="BG55" s="1119"/>
      <c r="BH55" s="1119"/>
      <c r="BI55" s="1119"/>
      <c r="BJ55" s="1816"/>
      <c r="BK55" s="1816"/>
      <c r="BL55" s="1816"/>
      <c r="BM55" s="1119"/>
      <c r="BN55" s="1119"/>
      <c r="BO55" s="1119"/>
      <c r="BP55" s="1119"/>
      <c r="BR55" s="1483"/>
      <c r="BS55" s="1483"/>
      <c r="BT55" s="1483"/>
      <c r="BU55" s="1675"/>
    </row>
    <row r="56" spans="1:75" s="304" customFormat="1" ht="11.65" hidden="1" customHeight="1" outlineLevel="1">
      <c r="A56" s="1697" t="s">
        <v>675</v>
      </c>
      <c r="B56" s="1110"/>
      <c r="C56" s="1108"/>
      <c r="D56" s="1108"/>
      <c r="E56" s="1109"/>
      <c r="F56" s="1108"/>
      <c r="G56" s="1108"/>
      <c r="H56" s="1108"/>
      <c r="I56" s="1109"/>
      <c r="J56" s="1108"/>
      <c r="K56" s="1108"/>
      <c r="L56" s="1108"/>
      <c r="M56" s="1109"/>
      <c r="N56" s="1110"/>
      <c r="O56" s="1110"/>
      <c r="P56" s="1110"/>
      <c r="Q56" s="1111"/>
      <c r="R56" s="1110"/>
      <c r="S56" s="1569"/>
      <c r="T56" s="1569"/>
      <c r="U56" s="1570"/>
      <c r="V56" s="1833"/>
      <c r="W56" s="1833"/>
      <c r="X56" s="1833"/>
      <c r="Y56" s="1834"/>
      <c r="Z56" s="1833">
        <f t="shared" ref="Z56:BA56" si="388">Z32-Z42</f>
        <v>755</v>
      </c>
      <c r="AA56" s="1833">
        <f t="shared" si="388"/>
        <v>1021</v>
      </c>
      <c r="AB56" s="1833">
        <f t="shared" si="388"/>
        <v>1082</v>
      </c>
      <c r="AC56" s="1834">
        <f t="shared" si="388"/>
        <v>1161.7957142857142</v>
      </c>
      <c r="AD56" s="1833">
        <f t="shared" si="388"/>
        <v>1218.2957142857142</v>
      </c>
      <c r="AE56" s="1833">
        <f t="shared" si="388"/>
        <v>1247.7957142857142</v>
      </c>
      <c r="AF56" s="1833">
        <f t="shared" si="388"/>
        <v>1309.7957142857142</v>
      </c>
      <c r="AG56" s="1834">
        <f t="shared" si="388"/>
        <v>1375.5228571428572</v>
      </c>
      <c r="AH56" s="1833">
        <f t="shared" si="388"/>
        <v>1430.0228571428572</v>
      </c>
      <c r="AI56" s="1833">
        <f t="shared" si="388"/>
        <v>1487.5228571428572</v>
      </c>
      <c r="AJ56" s="1833">
        <f t="shared" si="388"/>
        <v>1541.0228571428572</v>
      </c>
      <c r="AK56" s="1834">
        <f t="shared" si="388"/>
        <v>1600.4339285714286</v>
      </c>
      <c r="AL56" s="1833">
        <f t="shared" si="388"/>
        <v>1666.4339285714286</v>
      </c>
      <c r="AM56" s="1833">
        <f t="shared" si="388"/>
        <v>1748.9339285714286</v>
      </c>
      <c r="AN56" s="1833">
        <f t="shared" si="388"/>
        <v>1803.9339285714286</v>
      </c>
      <c r="AO56" s="1845">
        <f t="shared" si="388"/>
        <v>1898.9339285714286</v>
      </c>
      <c r="AP56" s="1833">
        <f t="shared" ref="AP56:AQ56" si="389">AP32-AP42</f>
        <v>1986.9339285714286</v>
      </c>
      <c r="AQ56" s="1833">
        <f t="shared" si="389"/>
        <v>2090.4339285714286</v>
      </c>
      <c r="AR56" s="1833">
        <f t="shared" si="388"/>
        <v>2069.7545176742346</v>
      </c>
      <c r="AS56" s="1845">
        <f t="shared" si="388"/>
        <v>2161.5746641079595</v>
      </c>
      <c r="AT56" s="1844">
        <f t="shared" si="388"/>
        <v>2307.8794252828866</v>
      </c>
      <c r="AU56" s="1844">
        <f t="shared" si="388"/>
        <v>2493.9717438747589</v>
      </c>
      <c r="AV56" s="1844">
        <f t="shared" si="388"/>
        <v>2380.8547165909104</v>
      </c>
      <c r="AW56" s="1845">
        <f t="shared" si="388"/>
        <v>2470.8147312113433</v>
      </c>
      <c r="AX56" s="1844">
        <f t="shared" si="388"/>
        <v>2684.3793368627648</v>
      </c>
      <c r="AY56" s="1844">
        <f t="shared" si="388"/>
        <v>2985.6279201270067</v>
      </c>
      <c r="AZ56" s="1844">
        <f t="shared" si="388"/>
        <v>2736.8366513487922</v>
      </c>
      <c r="BA56" s="1845">
        <f t="shared" si="388"/>
        <v>2827.738707376167</v>
      </c>
      <c r="BB56" s="1799"/>
      <c r="BC56" s="1710"/>
      <c r="BD56" s="1710"/>
      <c r="BE56" s="1710"/>
      <c r="BF56" s="1710"/>
      <c r="BG56" s="1710"/>
      <c r="BH56" s="1710"/>
      <c r="BI56" s="1827"/>
      <c r="BJ56" s="1827">
        <f>SUM(Z56:AC56)</f>
        <v>4019.795714285714</v>
      </c>
      <c r="BK56" s="1827">
        <f>SUM(AD56:AG56)</f>
        <v>5151.41</v>
      </c>
      <c r="BL56" s="1827">
        <f>SUM(AH56:AK56)</f>
        <v>6059.0025000000005</v>
      </c>
      <c r="BM56" s="1827">
        <f>SUM(AL56:AO56)</f>
        <v>7118.2357142857145</v>
      </c>
      <c r="BN56" s="1827">
        <f>SUM(AP56:AS56)</f>
        <v>8308.6970389250528</v>
      </c>
      <c r="BO56" s="1827">
        <f>SUM(AT56:AW56)</f>
        <v>9653.5206169599005</v>
      </c>
      <c r="BP56" s="1828">
        <f>SUM(AX56:BA56)</f>
        <v>11234.582615714731</v>
      </c>
      <c r="BR56" s="1483"/>
      <c r="BS56" s="1483"/>
      <c r="BT56" s="1483"/>
      <c r="BU56" s="1672"/>
    </row>
    <row r="57" spans="1:75" s="304" customFormat="1" ht="11.65" hidden="1" customHeight="1" outlineLevel="1">
      <c r="A57" s="1698" t="s">
        <v>507</v>
      </c>
      <c r="B57" s="1110"/>
      <c r="C57" s="1108"/>
      <c r="D57" s="1108"/>
      <c r="E57" s="1109"/>
      <c r="F57" s="1108"/>
      <c r="G57" s="1108"/>
      <c r="H57" s="1108"/>
      <c r="I57" s="1109"/>
      <c r="J57" s="1108"/>
      <c r="K57" s="1108"/>
      <c r="L57" s="1108"/>
      <c r="M57" s="1109"/>
      <c r="N57" s="1110"/>
      <c r="O57" s="1110"/>
      <c r="P57" s="1110"/>
      <c r="Q57" s="1111"/>
      <c r="R57" s="1110"/>
      <c r="S57" s="1569"/>
      <c r="T57" s="1569"/>
      <c r="U57" s="1570"/>
      <c r="V57" s="1569"/>
      <c r="W57" s="1569"/>
      <c r="X57" s="1569"/>
      <c r="Y57" s="1570"/>
      <c r="Z57" s="1829"/>
      <c r="AA57" s="1829"/>
      <c r="AB57" s="1829"/>
      <c r="AC57" s="1830"/>
      <c r="AD57" s="1829">
        <f t="shared" ref="AD57" si="390">AD56/Z56-1</f>
        <v>0.61363670766319767</v>
      </c>
      <c r="AE57" s="1829">
        <f t="shared" ref="AE57" si="391">AE56/AA56-1</f>
        <v>0.22213096404085619</v>
      </c>
      <c r="AF57" s="1829">
        <f t="shared" ref="AF57" si="392">AF56/AB56-1</f>
        <v>0.21053208344335883</v>
      </c>
      <c r="AG57" s="1830">
        <f t="shared" ref="AG57" si="393">AG56/AC56-1</f>
        <v>0.18396275716040567</v>
      </c>
      <c r="AH57" s="1829">
        <f t="shared" ref="AH57" si="394">AH56/AD56-1</f>
        <v>0.1737896147662954</v>
      </c>
      <c r="AI57" s="1829">
        <f t="shared" ref="AI57" si="395">AI56/AE56-1</f>
        <v>0.19212050507351841</v>
      </c>
      <c r="AJ57" s="1829">
        <f t="shared" ref="AJ57" si="396">AJ56/AF56-1</f>
        <v>0.17653679908644437</v>
      </c>
      <c r="AK57" s="1830">
        <f t="shared" ref="AK57" si="397">AK56/AG56-1</f>
        <v>0.16350951222703891</v>
      </c>
      <c r="AL57" s="1829">
        <f t="shared" ref="AL57" si="398">AL56/AH56-1</f>
        <v>0.16531978509834011</v>
      </c>
      <c r="AM57" s="1829">
        <f t="shared" ref="AM57" si="399">AM56/AI56-1</f>
        <v>0.17573583503158652</v>
      </c>
      <c r="AN57" s="1831">
        <f t="shared" ref="AN57" si="400">AN56/AJ56-1</f>
        <v>0.17060815821773301</v>
      </c>
      <c r="AO57" s="1753">
        <f t="shared" ref="AO57:AQ57" si="401">AO56/AK56-1</f>
        <v>0.18651191696894709</v>
      </c>
      <c r="AP57" s="1829">
        <f t="shared" si="401"/>
        <v>0.19232685707182684</v>
      </c>
      <c r="AQ57" s="1829">
        <f t="shared" si="401"/>
        <v>0.19526180744800659</v>
      </c>
      <c r="AR57" s="1831">
        <f t="shared" ref="AR57" si="402">AR56/AN56-1</f>
        <v>0.14735605605761548</v>
      </c>
      <c r="AS57" s="1753">
        <f t="shared" ref="AS57" si="403">AS56/AO56-1</f>
        <v>0.13830957021981072</v>
      </c>
      <c r="AT57" s="1831">
        <f t="shared" ref="AT57" si="404">AT56/AP56-1</f>
        <v>0.16152801665740957</v>
      </c>
      <c r="AU57" s="1831">
        <f t="shared" ref="AU57" si="405">AU56/AQ56-1</f>
        <v>0.1930402151380608</v>
      </c>
      <c r="AV57" s="1831">
        <f t="shared" ref="AV57" si="406">AV56/AR56-1</f>
        <v>0.150307776241144</v>
      </c>
      <c r="AW57" s="1753">
        <f t="shared" ref="AW57" si="407">AW56/AS56-1</f>
        <v>0.14306240364405887</v>
      </c>
      <c r="AX57" s="1831">
        <f t="shared" ref="AX57" si="408">AX56/AT56-1</f>
        <v>0.16313673385849836</v>
      </c>
      <c r="AY57" s="1831">
        <f t="shared" ref="AY57" si="409">AY56/AU56-1</f>
        <v>0.19713782943201519</v>
      </c>
      <c r="AZ57" s="1831">
        <f t="shared" ref="AZ57" si="410">AZ56/AV56-1</f>
        <v>0.14951854570429401</v>
      </c>
      <c r="BA57" s="1753">
        <f t="shared" ref="BA57" si="411">BA56/AW56-1</f>
        <v>0.14445598516803315</v>
      </c>
      <c r="BB57" s="1799"/>
      <c r="BC57" s="1710"/>
      <c r="BD57" s="1710"/>
      <c r="BE57" s="1710"/>
      <c r="BF57" s="1710"/>
      <c r="BG57" s="1710"/>
      <c r="BH57" s="1710"/>
      <c r="BI57" s="1710"/>
      <c r="BJ57" s="1808"/>
      <c r="BK57" s="1808">
        <f>BK56/BJ56-1</f>
        <v>0.28151039658376398</v>
      </c>
      <c r="BL57" s="1809">
        <f>BL56/BK56-1</f>
        <v>0.17618331680064303</v>
      </c>
      <c r="BM57" s="1809">
        <f t="shared" ref="BM57" si="412">BM56/BL56-1</f>
        <v>0.1748197354739025</v>
      </c>
      <c r="BN57" s="1809">
        <f t="shared" ref="BN57" si="413">BN56/BM56-1</f>
        <v>0.16724106540194783</v>
      </c>
      <c r="BO57" s="1809">
        <f t="shared" ref="BO57" si="414">BO56/BN56-1</f>
        <v>0.16185733716544748</v>
      </c>
      <c r="BP57" s="1809">
        <f t="shared" ref="BP57" si="415">BP56/BO56-1</f>
        <v>0.16378086933145641</v>
      </c>
      <c r="BR57" s="1483"/>
      <c r="BS57" s="1483"/>
      <c r="BT57" s="1483"/>
      <c r="BU57" s="1672"/>
    </row>
    <row r="58" spans="1:75" s="304" customFormat="1" ht="11.65" hidden="1" customHeight="1" outlineLevel="1">
      <c r="A58" s="1698" t="s">
        <v>664</v>
      </c>
      <c r="B58" s="1110"/>
      <c r="C58" s="1108"/>
      <c r="D58" s="1108"/>
      <c r="E58" s="1109"/>
      <c r="F58" s="1108"/>
      <c r="G58" s="1108"/>
      <c r="H58" s="1108"/>
      <c r="I58" s="1109"/>
      <c r="J58" s="1108"/>
      <c r="K58" s="1108"/>
      <c r="L58" s="1108"/>
      <c r="M58" s="1109"/>
      <c r="N58" s="1110"/>
      <c r="O58" s="1110"/>
      <c r="P58" s="1110"/>
      <c r="Q58" s="1111"/>
      <c r="R58" s="1110"/>
      <c r="S58" s="1569"/>
      <c r="T58" s="1569"/>
      <c r="U58" s="1570"/>
      <c r="V58" s="1569"/>
      <c r="W58" s="1569"/>
      <c r="X58" s="1569"/>
      <c r="Y58" s="1570"/>
      <c r="Z58" s="1569"/>
      <c r="AA58" s="1569"/>
      <c r="AB58" s="1569"/>
      <c r="AC58" s="1570"/>
      <c r="AD58" s="1813">
        <f>AD56-Z56</f>
        <v>463.29571428571421</v>
      </c>
      <c r="AE58" s="1813">
        <f t="shared" ref="AE58" si="416">AE56-AA56</f>
        <v>226.79571428571421</v>
      </c>
      <c r="AF58" s="1813">
        <f t="shared" ref="AF58" si="417">AF56-AB56</f>
        <v>227.79571428571421</v>
      </c>
      <c r="AG58" s="1810">
        <f t="shared" ref="AG58" si="418">AG56-AC56</f>
        <v>213.72714285714301</v>
      </c>
      <c r="AH58" s="1813">
        <f t="shared" ref="AH58" si="419">AH56-AD56</f>
        <v>211.72714285714301</v>
      </c>
      <c r="AI58" s="1813">
        <f t="shared" ref="AI58" si="420">AI56-AE56</f>
        <v>239.72714285714301</v>
      </c>
      <c r="AJ58" s="1813">
        <f t="shared" ref="AJ58" si="421">AJ56-AF56</f>
        <v>231.22714285714301</v>
      </c>
      <c r="AK58" s="1810">
        <f t="shared" ref="AK58" si="422">AK56-AG56</f>
        <v>224.9110714285714</v>
      </c>
      <c r="AL58" s="1813">
        <f t="shared" ref="AL58" si="423">AL56-AH56</f>
        <v>236.4110714285714</v>
      </c>
      <c r="AM58" s="1813">
        <f t="shared" ref="AM58" si="424">AM56-AI56</f>
        <v>261.4110714285714</v>
      </c>
      <c r="AN58" s="1825">
        <f t="shared" ref="AN58" si="425">AN56-AJ56</f>
        <v>262.9110714285714</v>
      </c>
      <c r="AO58" s="1826">
        <f t="shared" ref="AO58:AQ58" si="426">AO56-AK56</f>
        <v>298.5</v>
      </c>
      <c r="AP58" s="1813">
        <f t="shared" si="426"/>
        <v>320.5</v>
      </c>
      <c r="AQ58" s="1813">
        <f t="shared" si="426"/>
        <v>341.5</v>
      </c>
      <c r="AR58" s="1825">
        <f t="shared" ref="AR58" si="427">AR56-AN56</f>
        <v>265.82058910280603</v>
      </c>
      <c r="AS58" s="1826">
        <f t="shared" ref="AS58" si="428">AS56-AO56</f>
        <v>262.64073553653088</v>
      </c>
      <c r="AT58" s="1825">
        <f t="shared" ref="AT58" si="429">AT56-AP56</f>
        <v>320.94549671145796</v>
      </c>
      <c r="AU58" s="1825">
        <f t="shared" ref="AU58" si="430">AU56-AQ56</f>
        <v>403.53781530333026</v>
      </c>
      <c r="AV58" s="1825">
        <f t="shared" ref="AV58" si="431">AV56-AR56</f>
        <v>311.10019891667571</v>
      </c>
      <c r="AW58" s="1826">
        <f t="shared" ref="AW58" si="432">AW56-AS56</f>
        <v>309.24006710338381</v>
      </c>
      <c r="AX58" s="1825">
        <f t="shared" ref="AX58" si="433">AX56-AT56</f>
        <v>376.49991157987824</v>
      </c>
      <c r="AY58" s="1825">
        <f t="shared" ref="AY58" si="434">AY56-AU56</f>
        <v>491.65617625224786</v>
      </c>
      <c r="AZ58" s="1825">
        <f t="shared" ref="AZ58" si="435">AZ56-AV56</f>
        <v>355.98193475788185</v>
      </c>
      <c r="BA58" s="1826">
        <f t="shared" ref="BA58" si="436">BA56-AW56</f>
        <v>356.92397616482367</v>
      </c>
      <c r="BB58" s="1799"/>
      <c r="BC58" s="1710"/>
      <c r="BD58" s="1710"/>
      <c r="BE58" s="1710"/>
      <c r="BF58" s="1710"/>
      <c r="BG58" s="1710"/>
      <c r="BH58" s="1710"/>
      <c r="BI58" s="1710"/>
      <c r="BJ58" s="1764"/>
      <c r="BK58" s="1764">
        <f t="shared" ref="BK58:BP58" si="437">BK56-BJ56</f>
        <v>1131.6142857142859</v>
      </c>
      <c r="BL58" s="1764">
        <f t="shared" si="437"/>
        <v>907.59250000000065</v>
      </c>
      <c r="BM58" s="1764">
        <f t="shared" si="437"/>
        <v>1059.233214285714</v>
      </c>
      <c r="BN58" s="1764">
        <f t="shared" si="437"/>
        <v>1190.4613246393383</v>
      </c>
      <c r="BO58" s="1764">
        <f t="shared" si="437"/>
        <v>1344.8235780348477</v>
      </c>
      <c r="BP58" s="1764">
        <f t="shared" si="437"/>
        <v>1581.0619987548307</v>
      </c>
      <c r="BR58" s="1483"/>
      <c r="BS58" s="1483"/>
      <c r="BT58" s="1483"/>
      <c r="BU58" s="1672"/>
    </row>
    <row r="59" spans="1:75" s="304" customFormat="1" ht="11.65" hidden="1" customHeight="1" outlineLevel="1">
      <c r="A59" s="1698" t="s">
        <v>509</v>
      </c>
      <c r="B59" s="1110"/>
      <c r="C59" s="1108"/>
      <c r="D59" s="1108"/>
      <c r="E59" s="1109"/>
      <c r="F59" s="1108"/>
      <c r="G59" s="1108"/>
      <c r="H59" s="1108"/>
      <c r="I59" s="1109"/>
      <c r="J59" s="1108"/>
      <c r="K59" s="1108"/>
      <c r="L59" s="1108"/>
      <c r="M59" s="1109"/>
      <c r="N59" s="1110"/>
      <c r="O59" s="1110"/>
      <c r="P59" s="1110"/>
      <c r="Q59" s="1111"/>
      <c r="R59" s="1110"/>
      <c r="S59" s="1569"/>
      <c r="T59" s="1569"/>
      <c r="U59" s="1570"/>
      <c r="V59" s="1569"/>
      <c r="W59" s="1569"/>
      <c r="X59" s="1569"/>
      <c r="Y59" s="1570"/>
      <c r="Z59" s="1569"/>
      <c r="AA59" s="1569"/>
      <c r="AB59" s="1569"/>
      <c r="AC59" s="1570"/>
      <c r="AD59" s="1821">
        <f>AD56/AC56-1</f>
        <v>4.8631613376829197E-2</v>
      </c>
      <c r="AE59" s="1821">
        <f t="shared" ref="AE59:BA59" si="438">AE56/AD56-1</f>
        <v>2.4214153964495999E-2</v>
      </c>
      <c r="AF59" s="1821">
        <f t="shared" si="438"/>
        <v>4.968762056975895E-2</v>
      </c>
      <c r="AG59" s="1822">
        <f t="shared" si="438"/>
        <v>5.0181216918232741E-2</v>
      </c>
      <c r="AH59" s="1821">
        <f t="shared" si="438"/>
        <v>3.962129725216168E-2</v>
      </c>
      <c r="AI59" s="1821">
        <f t="shared" si="438"/>
        <v>4.0209147506133691E-2</v>
      </c>
      <c r="AJ59" s="1821">
        <f t="shared" si="438"/>
        <v>3.5965833898350619E-2</v>
      </c>
      <c r="AK59" s="1822">
        <f t="shared" si="438"/>
        <v>3.8553011172542062E-2</v>
      </c>
      <c r="AL59" s="1821">
        <f t="shared" si="438"/>
        <v>4.1238815812229435E-2</v>
      </c>
      <c r="AM59" s="1821">
        <f t="shared" si="438"/>
        <v>4.9506913286819776E-2</v>
      </c>
      <c r="AN59" s="1823">
        <f t="shared" si="438"/>
        <v>3.1447728871567771E-2</v>
      </c>
      <c r="AO59" s="1824">
        <f t="shared" si="438"/>
        <v>5.2662682648932924E-2</v>
      </c>
      <c r="AP59" s="1821">
        <f t="shared" si="438"/>
        <v>4.6341791399873822E-2</v>
      </c>
      <c r="AQ59" s="1821">
        <f t="shared" si="438"/>
        <v>5.2090307841496708E-2</v>
      </c>
      <c r="AR59" s="1823">
        <f t="shared" si="438"/>
        <v>-9.8924011012995194E-3</v>
      </c>
      <c r="AS59" s="1824">
        <f t="shared" si="438"/>
        <v>4.4362819672403742E-2</v>
      </c>
      <c r="AT59" s="1823">
        <f t="shared" si="438"/>
        <v>6.7684343087590859E-2</v>
      </c>
      <c r="AU59" s="1823">
        <f t="shared" si="438"/>
        <v>8.0633466615814386E-2</v>
      </c>
      <c r="AV59" s="1823">
        <f t="shared" si="438"/>
        <v>-4.5356178377588319E-2</v>
      </c>
      <c r="AW59" s="1824">
        <f t="shared" si="438"/>
        <v>3.778475603469178E-2</v>
      </c>
      <c r="AX59" s="1823">
        <f t="shared" si="438"/>
        <v>8.6434892488567616E-2</v>
      </c>
      <c r="AY59" s="1823">
        <f t="shared" si="438"/>
        <v>0.11222280663816742</v>
      </c>
      <c r="AZ59" s="1823">
        <f t="shared" si="438"/>
        <v>-8.3329629623650869E-2</v>
      </c>
      <c r="BA59" s="1824">
        <f t="shared" si="438"/>
        <v>3.3214278967864441E-2</v>
      </c>
      <c r="BB59" s="1799"/>
      <c r="BC59" s="1710"/>
      <c r="BD59" s="1710"/>
      <c r="BE59" s="1710"/>
      <c r="BF59" s="1710"/>
      <c r="BG59" s="1710"/>
      <c r="BH59" s="1710"/>
      <c r="BI59" s="1710"/>
      <c r="BJ59" s="1867" t="s">
        <v>670</v>
      </c>
      <c r="BK59" s="1809" t="s">
        <v>670</v>
      </c>
      <c r="BL59" s="1809" t="s">
        <v>670</v>
      </c>
      <c r="BM59" s="1808" t="s">
        <v>670</v>
      </c>
      <c r="BN59" s="1808" t="s">
        <v>670</v>
      </c>
      <c r="BO59" s="1808" t="s">
        <v>670</v>
      </c>
      <c r="BP59" s="1808" t="s">
        <v>670</v>
      </c>
      <c r="BR59" s="1483"/>
      <c r="BS59" s="1483"/>
      <c r="BT59" s="1483"/>
      <c r="BU59" s="1672"/>
    </row>
    <row r="60" spans="1:75" s="569" customFormat="1" ht="11.65" hidden="1" customHeight="1" outlineLevel="1">
      <c r="A60" s="1698" t="s">
        <v>668</v>
      </c>
      <c r="B60" s="836"/>
      <c r="C60" s="837"/>
      <c r="D60" s="837"/>
      <c r="E60" s="838"/>
      <c r="F60" s="837"/>
      <c r="G60" s="837"/>
      <c r="H60" s="837"/>
      <c r="I60" s="838"/>
      <c r="J60" s="837"/>
      <c r="K60" s="837"/>
      <c r="L60" s="837"/>
      <c r="M60" s="838"/>
      <c r="N60" s="836"/>
      <c r="O60" s="836"/>
      <c r="P60" s="836"/>
      <c r="Q60" s="1041"/>
      <c r="R60" s="836"/>
      <c r="S60" s="1294"/>
      <c r="T60" s="1294"/>
      <c r="U60" s="1557"/>
      <c r="V60" s="1294"/>
      <c r="W60" s="1294"/>
      <c r="X60" s="1294"/>
      <c r="Y60" s="1557"/>
      <c r="Z60" s="1891"/>
      <c r="AA60" s="1813">
        <f t="shared" ref="AA60:BA60" si="439">AA56-Z56</f>
        <v>266</v>
      </c>
      <c r="AB60" s="1813">
        <f t="shared" si="439"/>
        <v>61</v>
      </c>
      <c r="AC60" s="1810">
        <f t="shared" si="439"/>
        <v>79.795714285714212</v>
      </c>
      <c r="AD60" s="1813">
        <f t="shared" si="439"/>
        <v>56.5</v>
      </c>
      <c r="AE60" s="1813">
        <f t="shared" si="439"/>
        <v>29.5</v>
      </c>
      <c r="AF60" s="1813">
        <f t="shared" si="439"/>
        <v>62</v>
      </c>
      <c r="AG60" s="1810">
        <f t="shared" si="439"/>
        <v>65.727142857143008</v>
      </c>
      <c r="AH60" s="1813">
        <f t="shared" si="439"/>
        <v>54.5</v>
      </c>
      <c r="AI60" s="1813">
        <f t="shared" si="439"/>
        <v>57.5</v>
      </c>
      <c r="AJ60" s="1813">
        <f t="shared" si="439"/>
        <v>53.5</v>
      </c>
      <c r="AK60" s="1810">
        <f t="shared" si="439"/>
        <v>59.411071428571404</v>
      </c>
      <c r="AL60" s="1813">
        <f t="shared" si="439"/>
        <v>66</v>
      </c>
      <c r="AM60" s="1813">
        <f t="shared" si="439"/>
        <v>82.5</v>
      </c>
      <c r="AN60" s="1813">
        <f t="shared" si="439"/>
        <v>55</v>
      </c>
      <c r="AO60" s="1810">
        <f t="shared" si="439"/>
        <v>95</v>
      </c>
      <c r="AP60" s="1813">
        <f t="shared" si="439"/>
        <v>88</v>
      </c>
      <c r="AQ60" s="1813">
        <f t="shared" si="439"/>
        <v>103.5</v>
      </c>
      <c r="AR60" s="1825">
        <f t="shared" si="439"/>
        <v>-20.679410897193975</v>
      </c>
      <c r="AS60" s="1826">
        <f t="shared" si="439"/>
        <v>91.820146433724858</v>
      </c>
      <c r="AT60" s="1825">
        <f t="shared" si="439"/>
        <v>146.30476117492708</v>
      </c>
      <c r="AU60" s="1825">
        <f t="shared" si="439"/>
        <v>186.0923185918723</v>
      </c>
      <c r="AV60" s="1825">
        <f t="shared" si="439"/>
        <v>-113.11702728384853</v>
      </c>
      <c r="AW60" s="1826">
        <f t="shared" si="439"/>
        <v>89.960014620432958</v>
      </c>
      <c r="AX60" s="1825">
        <f t="shared" si="439"/>
        <v>213.56460565142152</v>
      </c>
      <c r="AY60" s="1825">
        <f t="shared" si="439"/>
        <v>301.24858326424192</v>
      </c>
      <c r="AZ60" s="1825">
        <f t="shared" si="439"/>
        <v>-248.79126877821454</v>
      </c>
      <c r="BA60" s="1826">
        <f t="shared" si="439"/>
        <v>90.902056027374783</v>
      </c>
      <c r="BB60" s="1804"/>
      <c r="BC60" s="1674"/>
      <c r="BD60" s="1674"/>
      <c r="BE60" s="1674"/>
      <c r="BF60" s="1674"/>
      <c r="BG60" s="1674"/>
      <c r="BH60" s="1674"/>
      <c r="BI60" s="1674"/>
      <c r="BJ60" s="1867" t="s">
        <v>670</v>
      </c>
      <c r="BK60" s="1809" t="s">
        <v>670</v>
      </c>
      <c r="BL60" s="1809" t="s">
        <v>670</v>
      </c>
      <c r="BM60" s="1808" t="s">
        <v>670</v>
      </c>
      <c r="BN60" s="1808" t="s">
        <v>670</v>
      </c>
      <c r="BO60" s="1808" t="s">
        <v>670</v>
      </c>
      <c r="BP60" s="1808" t="s">
        <v>670</v>
      </c>
      <c r="BR60" s="1862"/>
      <c r="BS60" s="1862"/>
      <c r="BT60" s="1862"/>
      <c r="BU60" s="1675"/>
    </row>
    <row r="61" spans="1:75" s="304" customFormat="1" ht="11.65" hidden="1" customHeight="1" outlineLevel="1">
      <c r="A61" s="1698" t="s">
        <v>665</v>
      </c>
      <c r="B61" s="1110"/>
      <c r="C61" s="1108"/>
      <c r="D61" s="1108"/>
      <c r="E61" s="1109"/>
      <c r="F61" s="1108"/>
      <c r="G61" s="1108"/>
      <c r="H61" s="1108"/>
      <c r="I61" s="1109"/>
      <c r="J61" s="1108"/>
      <c r="K61" s="1108"/>
      <c r="L61" s="1108"/>
      <c r="M61" s="1109"/>
      <c r="N61" s="1110"/>
      <c r="O61" s="1110"/>
      <c r="P61" s="1110"/>
      <c r="Q61" s="1111"/>
      <c r="R61" s="1110"/>
      <c r="S61" s="1569"/>
      <c r="T61" s="1569"/>
      <c r="U61" s="1570"/>
      <c r="V61" s="1569"/>
      <c r="W61" s="1569"/>
      <c r="X61" s="1569"/>
      <c r="Y61" s="1570"/>
      <c r="Z61" s="1817">
        <f>1-Z47</f>
        <v>0.89349112426035504</v>
      </c>
      <c r="AA61" s="1817">
        <f t="shared" ref="AA61:BA61" si="440">1-AA47</f>
        <v>0.91079393398751118</v>
      </c>
      <c r="AB61" s="1817">
        <f t="shared" si="440"/>
        <v>0.90771812080536907</v>
      </c>
      <c r="AC61" s="1818">
        <f t="shared" si="440"/>
        <v>0.90765290178571423</v>
      </c>
      <c r="AD61" s="1817">
        <f t="shared" si="440"/>
        <v>0.90311024038970666</v>
      </c>
      <c r="AE61" s="1817">
        <f t="shared" si="440"/>
        <v>0.8970493991989319</v>
      </c>
      <c r="AF61" s="1817">
        <f t="shared" si="440"/>
        <v>0.89223141300116771</v>
      </c>
      <c r="AG61" s="1818">
        <f t="shared" si="440"/>
        <v>0.88686193239384725</v>
      </c>
      <c r="AH61" s="1817">
        <f t="shared" si="440"/>
        <v>0.88382129613279181</v>
      </c>
      <c r="AI61" s="1817">
        <f t="shared" si="440"/>
        <v>0.88123392010832768</v>
      </c>
      <c r="AJ61" s="1817">
        <f t="shared" si="440"/>
        <v>0.87857631536080794</v>
      </c>
      <c r="AK61" s="1818">
        <f t="shared" si="440"/>
        <v>0.873599305988771</v>
      </c>
      <c r="AL61" s="1817">
        <f t="shared" si="440"/>
        <v>0.85766028233218139</v>
      </c>
      <c r="AM61" s="1817">
        <f t="shared" si="440"/>
        <v>0.85816188840600027</v>
      </c>
      <c r="AN61" s="1819">
        <f t="shared" si="440"/>
        <v>0.85779074111813047</v>
      </c>
      <c r="AO61" s="1820">
        <f t="shared" si="440"/>
        <v>0.85614694705655026</v>
      </c>
      <c r="AP61" s="1817">
        <f t="shared" ref="AP61:AQ61" si="441">1-AP47</f>
        <v>0.84514416357780875</v>
      </c>
      <c r="AQ61" s="1817">
        <f t="shared" si="441"/>
        <v>0.84735870635242339</v>
      </c>
      <c r="AR61" s="1819">
        <f t="shared" si="440"/>
        <v>0.834060509874608</v>
      </c>
      <c r="AS61" s="1820">
        <f t="shared" si="440"/>
        <v>0.83295749004183306</v>
      </c>
      <c r="AT61" s="1819">
        <f t="shared" si="440"/>
        <v>0.82840390220263094</v>
      </c>
      <c r="AU61" s="1819">
        <f t="shared" si="440"/>
        <v>0.8351363928487997</v>
      </c>
      <c r="AV61" s="1819">
        <f t="shared" si="440"/>
        <v>0.81307312742747051</v>
      </c>
      <c r="AW61" s="1820">
        <f t="shared" si="440"/>
        <v>0.81377982111157277</v>
      </c>
      <c r="AX61" s="1819">
        <f t="shared" si="440"/>
        <v>0.81656526196915513</v>
      </c>
      <c r="AY61" s="1819">
        <f t="shared" si="440"/>
        <v>0.82934297940693347</v>
      </c>
      <c r="AZ61" s="1819">
        <f t="shared" si="440"/>
        <v>0.79544054382269613</v>
      </c>
      <c r="BA61" s="1820">
        <f t="shared" si="440"/>
        <v>0.79942934496146845</v>
      </c>
      <c r="BB61" s="1799"/>
      <c r="BC61" s="1710"/>
      <c r="BD61" s="1710"/>
      <c r="BE61" s="1710"/>
      <c r="BF61" s="1710"/>
      <c r="BG61" s="1710"/>
      <c r="BH61" s="1710"/>
      <c r="BI61" s="1710"/>
      <c r="BJ61" s="1809">
        <f t="shared" ref="BJ61:BP61" si="442">1-BJ47</f>
        <v>0.90576739844202669</v>
      </c>
      <c r="BK61" s="1809">
        <f t="shared" si="442"/>
        <v>0.89449730856051402</v>
      </c>
      <c r="BL61" s="1809">
        <f t="shared" si="442"/>
        <v>0.87913559199071389</v>
      </c>
      <c r="BM61" s="1809">
        <f t="shared" si="442"/>
        <v>0.85741215541865978</v>
      </c>
      <c r="BN61" s="1809">
        <f t="shared" si="442"/>
        <v>0.83972035644948262</v>
      </c>
      <c r="BO61" s="1809">
        <f t="shared" si="442"/>
        <v>0.82250883500263916</v>
      </c>
      <c r="BP61" s="1809">
        <f t="shared" si="442"/>
        <v>0.81026921106667915</v>
      </c>
      <c r="BR61" s="1483"/>
      <c r="BS61" s="1483"/>
      <c r="BT61" s="1483"/>
      <c r="BU61" s="1672"/>
    </row>
    <row r="62" spans="1:75" s="304" customFormat="1" ht="11.65" hidden="1" customHeight="1" outlineLevel="1">
      <c r="A62" s="1677"/>
      <c r="B62" s="1110"/>
      <c r="C62" s="1108"/>
      <c r="D62" s="1108"/>
      <c r="E62" s="1109"/>
      <c r="F62" s="1108"/>
      <c r="G62" s="1108"/>
      <c r="H62" s="1108"/>
      <c r="I62" s="1109"/>
      <c r="J62" s="1108"/>
      <c r="K62" s="1108"/>
      <c r="L62" s="1108"/>
      <c r="M62" s="1109"/>
      <c r="N62" s="1110"/>
      <c r="O62" s="1110"/>
      <c r="P62" s="1110"/>
      <c r="Q62" s="1111"/>
      <c r="R62" s="1110"/>
      <c r="S62" s="1569"/>
      <c r="T62" s="1569"/>
      <c r="U62" s="1570"/>
      <c r="V62" s="1569"/>
      <c r="W62" s="1569"/>
      <c r="X62" s="1569"/>
      <c r="Y62" s="1570"/>
      <c r="Z62" s="1569"/>
      <c r="AA62" s="1569"/>
      <c r="AB62" s="1569"/>
      <c r="AC62" s="1570"/>
      <c r="AD62" s="1569"/>
      <c r="AE62" s="1569"/>
      <c r="AF62" s="1569"/>
      <c r="AG62" s="1570"/>
      <c r="AH62" s="1569"/>
      <c r="AI62" s="1569"/>
      <c r="AJ62" s="1569"/>
      <c r="AK62" s="1570"/>
      <c r="AL62" s="1569"/>
      <c r="AM62" s="1569"/>
      <c r="AN62" s="398"/>
      <c r="AO62" s="401"/>
      <c r="AP62" s="1569"/>
      <c r="AQ62" s="1569"/>
      <c r="AR62" s="398"/>
      <c r="AS62" s="401"/>
      <c r="AT62" s="398"/>
      <c r="AU62" s="398"/>
      <c r="AV62" s="398"/>
      <c r="AW62" s="401"/>
      <c r="AX62" s="398"/>
      <c r="AY62" s="398"/>
      <c r="AZ62" s="398"/>
      <c r="BA62" s="401"/>
      <c r="BB62" s="1799"/>
      <c r="BC62" s="1710"/>
      <c r="BD62" s="1710"/>
      <c r="BE62" s="1710"/>
      <c r="BF62" s="1710"/>
      <c r="BG62" s="1710"/>
      <c r="BH62" s="1710"/>
      <c r="BI62" s="1710"/>
      <c r="BJ62" s="1711"/>
      <c r="BK62" s="1710"/>
      <c r="BL62" s="1731"/>
      <c r="BM62" s="1710"/>
      <c r="BN62" s="1710"/>
      <c r="BO62" s="1710"/>
      <c r="BP62" s="1710"/>
      <c r="BR62" s="1483"/>
      <c r="BS62" s="1483"/>
      <c r="BT62" s="1483"/>
      <c r="BU62" s="1672"/>
    </row>
    <row r="63" spans="1:75" s="492" customFormat="1" ht="12" customHeight="1" collapsed="1">
      <c r="A63" s="1896" t="s">
        <v>62</v>
      </c>
      <c r="B63" s="1897">
        <v>66</v>
      </c>
      <c r="C63" s="1897">
        <v>72</v>
      </c>
      <c r="D63" s="1897">
        <v>78</v>
      </c>
      <c r="E63" s="1898">
        <v>87</v>
      </c>
      <c r="F63" s="1899">
        <v>93</v>
      </c>
      <c r="G63" s="1899">
        <v>103</v>
      </c>
      <c r="H63" s="1899">
        <v>119</v>
      </c>
      <c r="I63" s="1900">
        <v>133</v>
      </c>
      <c r="J63" s="1899">
        <v>149</v>
      </c>
      <c r="K63" s="1899">
        <v>168</v>
      </c>
      <c r="L63" s="1899">
        <v>183</v>
      </c>
      <c r="M63" s="1900">
        <v>195</v>
      </c>
      <c r="N63" s="1899">
        <v>217</v>
      </c>
      <c r="O63" s="1899">
        <v>231</v>
      </c>
      <c r="P63" s="1899">
        <v>260</v>
      </c>
      <c r="Q63" s="1900">
        <v>272</v>
      </c>
      <c r="R63" s="1899">
        <v>306</v>
      </c>
      <c r="S63" s="1899">
        <v>330</v>
      </c>
      <c r="T63" s="1899">
        <v>353</v>
      </c>
      <c r="U63" s="1900">
        <v>365</v>
      </c>
      <c r="V63" s="1954">
        <v>392</v>
      </c>
      <c r="W63" s="1954">
        <v>404</v>
      </c>
      <c r="X63" s="1952">
        <v>437</v>
      </c>
      <c r="Y63" s="1953">
        <v>466</v>
      </c>
      <c r="Z63" s="1955">
        <v>519</v>
      </c>
      <c r="AA63" s="1952">
        <v>547</v>
      </c>
      <c r="AB63" s="1952">
        <v>578</v>
      </c>
      <c r="AC63" s="1953">
        <v>623</v>
      </c>
      <c r="AD63" s="1952">
        <v>668</v>
      </c>
      <c r="AE63" s="1952">
        <v>696</v>
      </c>
      <c r="AF63" s="1952">
        <v>723</v>
      </c>
      <c r="AG63" s="1953">
        <v>762</v>
      </c>
      <c r="AH63" s="1952">
        <v>798</v>
      </c>
      <c r="AI63" s="1952">
        <v>826</v>
      </c>
      <c r="AJ63" s="1952">
        <v>860</v>
      </c>
      <c r="AK63" s="1953">
        <v>895</v>
      </c>
      <c r="AL63" s="1952">
        <v>965</v>
      </c>
      <c r="AM63" s="1952">
        <v>1008</v>
      </c>
      <c r="AN63" s="1952">
        <v>1044</v>
      </c>
      <c r="AO63" s="1953">
        <v>1103</v>
      </c>
      <c r="AP63" s="1952">
        <v>1206</v>
      </c>
      <c r="AQ63" s="1952">
        <v>1248</v>
      </c>
      <c r="AR63" s="1901">
        <f t="shared" ref="AR63:BA63" si="443">AR32-AR86</f>
        <v>1228.54</v>
      </c>
      <c r="AS63" s="1902">
        <f>AS32-AS86</f>
        <v>1297.06</v>
      </c>
      <c r="AT63" s="1901">
        <f t="shared" si="443"/>
        <v>1433.9349999999999</v>
      </c>
      <c r="AU63" s="1901">
        <f t="shared" si="443"/>
        <v>1558.3047105004907</v>
      </c>
      <c r="AV63" s="1901">
        <f t="shared" si="443"/>
        <v>1452.2171999999996</v>
      </c>
      <c r="AW63" s="1902">
        <f t="shared" si="443"/>
        <v>1505.2201999999997</v>
      </c>
      <c r="AX63" s="1901">
        <f t="shared" si="443"/>
        <v>1705.9032999999999</v>
      </c>
      <c r="AY63" s="1901">
        <f t="shared" si="443"/>
        <v>1929.9917938197791</v>
      </c>
      <c r="AZ63" s="1901">
        <f t="shared" si="443"/>
        <v>1710.1552099999994</v>
      </c>
      <c r="BA63" s="1902">
        <f t="shared" si="443"/>
        <v>1739.1965329999998</v>
      </c>
      <c r="BB63" s="1005"/>
      <c r="BC63" s="981"/>
      <c r="BD63" s="1083">
        <f>SUM(B63:E63)</f>
        <v>303</v>
      </c>
      <c r="BE63" s="1083">
        <f>SUM(F63:I63)</f>
        <v>448</v>
      </c>
      <c r="BF63" s="1083">
        <f>SUM(J63:M63)</f>
        <v>695</v>
      </c>
      <c r="BG63" s="1083">
        <f>SUM(N63:Q63)</f>
        <v>980</v>
      </c>
      <c r="BH63" s="1083">
        <f>SUM(R63:U63)</f>
        <v>1354</v>
      </c>
      <c r="BI63" s="1903">
        <f>SUM(V63:Y63)</f>
        <v>1699</v>
      </c>
      <c r="BJ63" s="1903">
        <f>SUM(Z63:AC63)</f>
        <v>2267</v>
      </c>
      <c r="BK63" s="1903">
        <f>SUM(AD63:AG63)</f>
        <v>2849</v>
      </c>
      <c r="BL63" s="1903">
        <f>SUM(AH63:AK63)</f>
        <v>3379</v>
      </c>
      <c r="BM63" s="1903">
        <f>SUM(AL63:AO63)</f>
        <v>4120</v>
      </c>
      <c r="BN63" s="1904">
        <f>SUM(AP63:AS63)</f>
        <v>4979.6000000000004</v>
      </c>
      <c r="BO63" s="1904">
        <f>SUM(AT63:AW63)</f>
        <v>5949.67711050049</v>
      </c>
      <c r="BP63" s="1904">
        <f>SUM(AX63:BA63)</f>
        <v>7085.2468368197788</v>
      </c>
      <c r="BR63" s="1429"/>
      <c r="BS63" s="1429"/>
      <c r="BT63" s="1429"/>
      <c r="BU63" s="1696"/>
      <c r="BW63" s="492" t="s">
        <v>681</v>
      </c>
    </row>
    <row r="64" spans="1:75" s="1014" customFormat="1" ht="12" customHeight="1">
      <c r="A64" s="1694" t="s">
        <v>507</v>
      </c>
      <c r="B64" s="999" t="str">
        <f t="shared" ref="B64:D64" si="444">IF(ISERROR(B63/#REF!-1),"NA",B63/#REF!-1)</f>
        <v>NA</v>
      </c>
      <c r="C64" s="987" t="str">
        <f t="shared" si="444"/>
        <v>NA</v>
      </c>
      <c r="D64" s="987" t="str">
        <f t="shared" si="444"/>
        <v>NA</v>
      </c>
      <c r="E64" s="998" t="str">
        <f t="shared" ref="E64" si="445">IF(ISERROR(E63/A63-1),"NA",E63/A63-1)</f>
        <v>NA</v>
      </c>
      <c r="F64" s="999">
        <f t="shared" ref="F64" si="446">IF(ISERROR(F63/B63-1),"NA",F63/B63-1)</f>
        <v>0.40909090909090917</v>
      </c>
      <c r="G64" s="987">
        <f t="shared" ref="G64" si="447">IF(ISERROR(G63/C63-1),"NA",G63/C63-1)</f>
        <v>0.43055555555555558</v>
      </c>
      <c r="H64" s="987">
        <f t="shared" ref="H64" si="448">IF(ISERROR(H63/D63-1),"NA",H63/D63-1)</f>
        <v>0.52564102564102555</v>
      </c>
      <c r="I64" s="998">
        <f t="shared" ref="I64" si="449">IF(ISERROR(I63/E63-1),"NA",I63/E63-1)</f>
        <v>0.52873563218390807</v>
      </c>
      <c r="J64" s="999">
        <f t="shared" ref="J64" si="450">IF(ISERROR(J63/F63-1),"NA",J63/F63-1)</f>
        <v>0.60215053763440851</v>
      </c>
      <c r="K64" s="987">
        <f t="shared" ref="K64" si="451">IF(ISERROR(K63/G63-1),"NA",K63/G63-1)</f>
        <v>0.63106796116504849</v>
      </c>
      <c r="L64" s="987">
        <f t="shared" ref="L64" si="452">IF(ISERROR(L63/H63-1),"NA",L63/H63-1)</f>
        <v>0.53781512605042026</v>
      </c>
      <c r="M64" s="998">
        <f t="shared" ref="M64" si="453">IF(ISERROR(M63/I63-1),"NA",M63/I63-1)</f>
        <v>0.46616541353383467</v>
      </c>
      <c r="N64" s="999">
        <f t="shared" ref="N64" si="454">IF(ISERROR(N63/J63-1),"NA",N63/J63-1)</f>
        <v>0.4563758389261745</v>
      </c>
      <c r="O64" s="987">
        <f t="shared" ref="O64" si="455">IF(ISERROR(O63/K63-1),"NA",O63/K63-1)</f>
        <v>0.375</v>
      </c>
      <c r="P64" s="987">
        <f t="shared" ref="P64" si="456">IF(ISERROR(P63/L63-1),"NA",P63/L63-1)</f>
        <v>0.42076502732240439</v>
      </c>
      <c r="Q64" s="998">
        <f t="shared" ref="Q64" si="457">IF(ISERROR(Q63/M63-1),"NA",Q63/M63-1)</f>
        <v>0.3948717948717948</v>
      </c>
      <c r="R64" s="984">
        <f t="shared" ref="R64" si="458">IF(ISERROR(R63/N63-1),"NA",R63/N63-1)</f>
        <v>0.41013824884792616</v>
      </c>
      <c r="S64" s="984">
        <f t="shared" ref="S64" si="459">IF(ISERROR(S63/O63-1),"NA",S63/O63-1)</f>
        <v>0.4285714285714286</v>
      </c>
      <c r="T64" s="984">
        <f t="shared" ref="T64" si="460">IF(ISERROR(T63/P63-1),"NA",T63/P63-1)</f>
        <v>0.35769230769230775</v>
      </c>
      <c r="U64" s="985">
        <f t="shared" ref="U64" si="461">IF(ISERROR(U63/Q63-1),"NA",U63/Q63-1)</f>
        <v>0.34191176470588225</v>
      </c>
      <c r="V64" s="984">
        <f t="shared" ref="V64" si="462">IF(ISERROR(V63/R63-1),"NA",V63/R63-1)</f>
        <v>0.28104575163398682</v>
      </c>
      <c r="W64" s="984">
        <f t="shared" ref="W64" si="463">IF(ISERROR(W63/S63-1),"NA",W63/S63-1)</f>
        <v>0.22424242424242413</v>
      </c>
      <c r="X64" s="984">
        <f t="shared" ref="X64" si="464">IF(ISERROR(X63/T63-1),"NA",X63/T63-1)</f>
        <v>0.23796033994334276</v>
      </c>
      <c r="Y64" s="985">
        <f t="shared" ref="Y64" si="465">IF(ISERROR(Y63/U63-1),"NA",Y63/U63-1)</f>
        <v>0.27671232876712337</v>
      </c>
      <c r="Z64" s="1270">
        <f t="shared" ref="Z64" si="466">IF(ISERROR(Z63/V63-1),"NA",Z63/V63-1)</f>
        <v>0.32397959183673475</v>
      </c>
      <c r="AA64" s="984">
        <f t="shared" ref="AA64" si="467">IF(ISERROR(AA63/W63-1),"NA",AA63/W63-1)</f>
        <v>0.35396039603960405</v>
      </c>
      <c r="AB64" s="984">
        <f t="shared" ref="AB64" si="468">IF(ISERROR(AB63/X63-1),"NA",AB63/X63-1)</f>
        <v>0.32265446224256289</v>
      </c>
      <c r="AC64" s="985">
        <f t="shared" ref="AC64" si="469">IF(ISERROR(AC63/Y63-1),"NA",AC63/Y63-1)</f>
        <v>0.33690987124463523</v>
      </c>
      <c r="AD64" s="1270">
        <f t="shared" ref="AD64" si="470">IF(ISERROR(AD63/Z63-1),"NA",AD63/Z63-1)</f>
        <v>0.28709055876685929</v>
      </c>
      <c r="AE64" s="984">
        <f t="shared" ref="AE64" si="471">IF(ISERROR(AE63/AA63-1),"NA",AE63/AA63-1)</f>
        <v>0.27239488117001831</v>
      </c>
      <c r="AF64" s="984">
        <f t="shared" ref="AF64" si="472">IF(ISERROR(AF63/AB63-1),"NA",AF63/AB63-1)</f>
        <v>0.25086505190311414</v>
      </c>
      <c r="AG64" s="985">
        <f t="shared" ref="AG64" si="473">IF(ISERROR(AG63/AC63-1),"NA",AG63/AC63-1)</f>
        <v>0.2231139646869984</v>
      </c>
      <c r="AH64" s="1270">
        <f t="shared" ref="AH64" si="474">IF(ISERROR(AH63/AD63-1),"NA",AH63/AD63-1)</f>
        <v>0.1946107784431137</v>
      </c>
      <c r="AI64" s="984">
        <f t="shared" ref="AI64" si="475">IF(ISERROR(AI63/AE63-1),"NA",AI63/AE63-1)</f>
        <v>0.18678160919540221</v>
      </c>
      <c r="AJ64" s="984">
        <f t="shared" ref="AJ64" si="476">IF(ISERROR(AJ63/AF63-1),"NA",AJ63/AF63-1)</f>
        <v>0.18948824343015214</v>
      </c>
      <c r="AK64" s="985">
        <f t="shared" ref="AK64" si="477">IF(ISERROR(AK63/AG63-1),"NA",AK63/AG63-1)</f>
        <v>0.17454068241469822</v>
      </c>
      <c r="AL64" s="1270">
        <f t="shared" ref="AL64" si="478">IF(ISERROR(AL63/AH63-1),"NA",AL63/AH63-1)</f>
        <v>0.2092731829573935</v>
      </c>
      <c r="AM64" s="984">
        <f t="shared" ref="AM64" si="479">IF(ISERROR(AM63/AI63-1),"NA",AM63/AI63-1)</f>
        <v>0.22033898305084754</v>
      </c>
      <c r="AN64" s="984">
        <f t="shared" ref="AN64:AQ64" si="480">IF(ISERROR(AN63/AJ63-1),"NA",AN63/AJ63-1)</f>
        <v>0.21395348837209305</v>
      </c>
      <c r="AO64" s="985">
        <f t="shared" si="480"/>
        <v>0.23240223463687149</v>
      </c>
      <c r="AP64" s="1270">
        <f t="shared" si="480"/>
        <v>0.24974093264248709</v>
      </c>
      <c r="AQ64" s="984">
        <f t="shared" si="480"/>
        <v>0.23809523809523814</v>
      </c>
      <c r="AR64" s="984">
        <f t="shared" ref="AR64" si="481">IF(ISERROR(AR63/AN63-1),"NA",AR63/AN63-1)</f>
        <v>0.1767624521072797</v>
      </c>
      <c r="AS64" s="985">
        <f t="shared" ref="AS64" si="482">IF(ISERROR(AS63/AO63-1),"NA",AS63/AO63-1)</f>
        <v>0.17593834995466895</v>
      </c>
      <c r="AT64" s="984">
        <f t="shared" ref="AT64" si="483">IF(ISERROR(AT63/AP63-1),"NA",AT63/AP63-1)</f>
        <v>0.18900082918739636</v>
      </c>
      <c r="AU64" s="984">
        <f t="shared" ref="AU64" si="484">IF(ISERROR(AU63/AQ63-1),"NA",AU63/AQ63-1)</f>
        <v>0.24864159495231619</v>
      </c>
      <c r="AV64" s="984">
        <f t="shared" ref="AV64" si="485">IF(ISERROR(AV63/AR63-1),"NA",AV63/AR63-1)</f>
        <v>0.1820674947498655</v>
      </c>
      <c r="AW64" s="985">
        <f t="shared" ref="AW64" si="486">IF(ISERROR(AW63/AS63-1),"NA",AW63/AS63-1)</f>
        <v>0.16048617642977181</v>
      </c>
      <c r="AX64" s="984">
        <f t="shared" ref="AX64" si="487">IF(ISERROR(AX63/AT63-1),"NA",AX63/AT63-1)</f>
        <v>0.1896657100914616</v>
      </c>
      <c r="AY64" s="984">
        <f t="shared" ref="AY64" si="488">IF(ISERROR(AY63/AU63-1),"NA",AY63/AU63-1)</f>
        <v>0.2385201564332764</v>
      </c>
      <c r="AZ64" s="984">
        <f t="shared" ref="AZ64" si="489">IF(ISERROR(AZ63/AV63-1),"NA",AZ63/AV63-1)</f>
        <v>0.1776166884678132</v>
      </c>
      <c r="BA64" s="985">
        <f t="shared" ref="BA64" si="490">IF(ISERROR(BA63/AW63-1),"NA",BA63/AW63-1)</f>
        <v>0.15544325873383857</v>
      </c>
      <c r="BB64" s="1013"/>
      <c r="BC64" s="846"/>
      <c r="BD64" s="842" t="str">
        <f t="shared" ref="BD64" si="491">IF(ISERROR(BD63/BB63-1),"NA",BD63/BB63-1)</f>
        <v>NA</v>
      </c>
      <c r="BE64" s="842">
        <f t="shared" ref="BE64" si="492">IF(ISERROR(BE63/BD63-1),"NA",BE63/BD63-1)</f>
        <v>0.47854785478547845</v>
      </c>
      <c r="BF64" s="842">
        <f t="shared" ref="BF64" si="493">IF(ISERROR(BF63/BE63-1),"NA",BF63/BE63-1)</f>
        <v>0.55133928571428581</v>
      </c>
      <c r="BG64" s="842">
        <f t="shared" ref="BG64" si="494">IF(ISERROR(BG63/BF63-1),"NA",BG63/BF63-1)</f>
        <v>0.41007194244604306</v>
      </c>
      <c r="BH64" s="842">
        <f t="shared" ref="BH64" si="495">IF(ISERROR(BH63/BG63-1),"NA",BH63/BG63-1)</f>
        <v>0.3816326530612244</v>
      </c>
      <c r="BI64" s="842">
        <f t="shared" ref="BI64" si="496">IF(ISERROR(BI63/BH63-1),"NA",BI63/BH63-1)</f>
        <v>0.25480059084194973</v>
      </c>
      <c r="BJ64" s="842">
        <f t="shared" ref="BJ64" si="497">IF(ISERROR(BJ63/BI63-1),"NA",BJ63/BI63-1)</f>
        <v>0.33431430253090055</v>
      </c>
      <c r="BK64" s="842">
        <f t="shared" ref="BK64" si="498">IF(ISERROR(BK63/BJ63-1),"NA",BK63/BJ63-1)</f>
        <v>0.25672695191883554</v>
      </c>
      <c r="BL64" s="842">
        <f t="shared" ref="BL64" si="499">IF(ISERROR(BL63/BK63-1),"NA",BL63/BK63-1)</f>
        <v>0.18603018603018606</v>
      </c>
      <c r="BM64" s="842">
        <f t="shared" ref="BM64" si="500">IF(ISERROR(BM63/BL63-1),"NA",BM63/BL63-1)</f>
        <v>0.21929564960047343</v>
      </c>
      <c r="BN64" s="1187">
        <f t="shared" ref="BN64" si="501">IF(ISERROR(BN63/BM63-1),"NA",BN63/BM63-1)</f>
        <v>0.20864077669902925</v>
      </c>
      <c r="BO64" s="1187">
        <f t="shared" ref="BO64" si="502">IF(ISERROR(BO63/BN63-1),"NA",BO63/BN63-1)</f>
        <v>0.19481024791157719</v>
      </c>
      <c r="BP64" s="1187">
        <f t="shared" ref="BP64" si="503">IF(ISERROR(BP63/BO63-1),"NA",BP63/BO63-1)</f>
        <v>0.19086241240136204</v>
      </c>
      <c r="BR64" s="1425"/>
      <c r="BS64" s="1425"/>
      <c r="BT64" s="1425"/>
      <c r="BU64" s="2136"/>
      <c r="BW64" s="1014">
        <f>(BM78-BL78)*BL63</f>
        <v>1419180</v>
      </c>
    </row>
    <row r="65" spans="1:73" s="304" customFormat="1" ht="11.65" hidden="1" customHeight="1" outlineLevel="1">
      <c r="A65" s="1694" t="s">
        <v>664</v>
      </c>
      <c r="B65" s="1110"/>
      <c r="C65" s="1108"/>
      <c r="D65" s="1108"/>
      <c r="E65" s="1109"/>
      <c r="F65" s="1108"/>
      <c r="G65" s="1108"/>
      <c r="H65" s="1108"/>
      <c r="I65" s="1109"/>
      <c r="J65" s="1108"/>
      <c r="K65" s="1108"/>
      <c r="L65" s="1108"/>
      <c r="M65" s="1109"/>
      <c r="N65" s="1110"/>
      <c r="O65" s="1110"/>
      <c r="P65" s="1110"/>
      <c r="Q65" s="1111"/>
      <c r="R65" s="1110"/>
      <c r="S65" s="1569"/>
      <c r="T65" s="1569"/>
      <c r="U65" s="1570"/>
      <c r="V65" s="1569"/>
      <c r="W65" s="1569"/>
      <c r="X65" s="1569"/>
      <c r="Y65" s="1570"/>
      <c r="Z65" s="1813">
        <f>Z63-V63</f>
        <v>127</v>
      </c>
      <c r="AA65" s="1813">
        <f t="shared" ref="AA65" si="504">AA63-W63</f>
        <v>143</v>
      </c>
      <c r="AB65" s="1813">
        <f t="shared" ref="AB65" si="505">AB63-X63</f>
        <v>141</v>
      </c>
      <c r="AC65" s="1810">
        <f t="shared" ref="AC65" si="506">AC63-Y63</f>
        <v>157</v>
      </c>
      <c r="AD65" s="1813">
        <f t="shared" ref="AD65" si="507">AD63-Z63</f>
        <v>149</v>
      </c>
      <c r="AE65" s="1813">
        <f t="shared" ref="AE65" si="508">AE63-AA63</f>
        <v>149</v>
      </c>
      <c r="AF65" s="1813">
        <f t="shared" ref="AF65" si="509">AF63-AB63</f>
        <v>145</v>
      </c>
      <c r="AG65" s="1810">
        <f t="shared" ref="AG65" si="510">AG63-AC63</f>
        <v>139</v>
      </c>
      <c r="AH65" s="1813">
        <f t="shared" ref="AH65" si="511">AH63-AD63</f>
        <v>130</v>
      </c>
      <c r="AI65" s="1813">
        <f t="shared" ref="AI65" si="512">AI63-AE63</f>
        <v>130</v>
      </c>
      <c r="AJ65" s="1813">
        <f t="shared" ref="AJ65" si="513">AJ63-AF63</f>
        <v>137</v>
      </c>
      <c r="AK65" s="1810">
        <f t="shared" ref="AK65" si="514">AK63-AG63</f>
        <v>133</v>
      </c>
      <c r="AL65" s="1813">
        <f t="shared" ref="AL65" si="515">AL63-AH63</f>
        <v>167</v>
      </c>
      <c r="AM65" s="1813">
        <f t="shared" ref="AM65" si="516">AM63-AI63</f>
        <v>182</v>
      </c>
      <c r="AN65" s="1825">
        <f t="shared" ref="AN65:AQ65" si="517">AN63-AJ63</f>
        <v>184</v>
      </c>
      <c r="AO65" s="1810">
        <f t="shared" si="517"/>
        <v>208</v>
      </c>
      <c r="AP65" s="1813">
        <f t="shared" si="517"/>
        <v>241</v>
      </c>
      <c r="AQ65" s="1813">
        <f t="shared" si="517"/>
        <v>240</v>
      </c>
      <c r="AR65" s="1825">
        <f t="shared" ref="AR65" si="518">AR63-AN63</f>
        <v>184.53999999999996</v>
      </c>
      <c r="AS65" s="1826">
        <f t="shared" ref="AS65" si="519">AS63-AO63</f>
        <v>194.05999999999995</v>
      </c>
      <c r="AT65" s="1825">
        <f t="shared" ref="AT65" si="520">AT63-AP63</f>
        <v>227.93499999999995</v>
      </c>
      <c r="AU65" s="1825">
        <f t="shared" ref="AU65" si="521">AU63-AQ63</f>
        <v>310.30471050049073</v>
      </c>
      <c r="AV65" s="1825">
        <f t="shared" ref="AV65" si="522">AV63-AR63</f>
        <v>223.67719999999963</v>
      </c>
      <c r="AW65" s="1826">
        <f t="shared" ref="AW65" si="523">AW63-AS63</f>
        <v>208.1601999999998</v>
      </c>
      <c r="AX65" s="1825">
        <f t="shared" ref="AX65" si="524">AX63-AT63</f>
        <v>271.9683</v>
      </c>
      <c r="AY65" s="1825">
        <f t="shared" ref="AY65" si="525">AY63-AU63</f>
        <v>371.68708331928838</v>
      </c>
      <c r="AZ65" s="1825">
        <f t="shared" ref="AZ65" si="526">AZ63-AV63</f>
        <v>257.93800999999985</v>
      </c>
      <c r="BA65" s="1826">
        <f t="shared" ref="BA65" si="527">BA63-AW63</f>
        <v>233.97633300000007</v>
      </c>
      <c r="BB65" s="1799"/>
      <c r="BC65" s="1710"/>
      <c r="BD65" s="1710"/>
      <c r="BE65" s="1710"/>
      <c r="BF65" s="1710"/>
      <c r="BG65" s="1710"/>
      <c r="BH65" s="1710"/>
      <c r="BI65" s="1764"/>
      <c r="BJ65" s="1764">
        <f>BJ63-BI63</f>
        <v>568</v>
      </c>
      <c r="BK65" s="1764">
        <f t="shared" ref="BK65" si="528">BK63-BJ63</f>
        <v>582</v>
      </c>
      <c r="BL65" s="1764">
        <f t="shared" ref="BL65" si="529">BL63-BK63</f>
        <v>530</v>
      </c>
      <c r="BM65" s="1764">
        <f t="shared" ref="BM65" si="530">BM63-BL63</f>
        <v>741</v>
      </c>
      <c r="BN65" s="1764">
        <f t="shared" ref="BN65" si="531">BN63-BM63</f>
        <v>859.60000000000036</v>
      </c>
      <c r="BO65" s="1764">
        <f t="shared" ref="BO65" si="532">BO63-BN63</f>
        <v>970.07711050048965</v>
      </c>
      <c r="BP65" s="1764">
        <f t="shared" ref="BP65" si="533">BP63-BO63</f>
        <v>1135.5697263192887</v>
      </c>
      <c r="BR65" s="1483"/>
      <c r="BS65" s="1483"/>
      <c r="BT65" s="1483"/>
      <c r="BU65" s="1672"/>
    </row>
    <row r="66" spans="1:73" s="1014" customFormat="1" ht="12" customHeight="1" collapsed="1">
      <c r="A66" s="1895" t="s">
        <v>509</v>
      </c>
      <c r="B66" s="999" t="str">
        <f t="shared" ref="B66" si="534">IF(ISERROR(B63/A63-1),"NA",B63/A63-1)</f>
        <v>NA</v>
      </c>
      <c r="C66" s="987">
        <f t="shared" ref="C66" si="535">IF(ISERROR(C63/B63-1),"NA",C63/B63-1)</f>
        <v>9.0909090909090828E-2</v>
      </c>
      <c r="D66" s="987">
        <f t="shared" ref="D66" si="536">IF(ISERROR(D63/C63-1),"NA",D63/C63-1)</f>
        <v>8.3333333333333259E-2</v>
      </c>
      <c r="E66" s="998">
        <f t="shared" ref="E66" si="537">IF(ISERROR(E63/D63-1),"NA",E63/D63-1)</f>
        <v>0.11538461538461542</v>
      </c>
      <c r="F66" s="999">
        <f t="shared" ref="F66" si="538">IF(ISERROR(F63/E63-1),"NA",F63/E63-1)</f>
        <v>6.8965517241379226E-2</v>
      </c>
      <c r="G66" s="987">
        <f t="shared" ref="G66" si="539">IF(ISERROR(G63/F63-1),"NA",G63/F63-1)</f>
        <v>0.10752688172043001</v>
      </c>
      <c r="H66" s="987">
        <f t="shared" ref="H66" si="540">IF(ISERROR(H63/G63-1),"NA",H63/G63-1)</f>
        <v>0.15533980582524265</v>
      </c>
      <c r="I66" s="998">
        <f t="shared" ref="I66" si="541">IF(ISERROR(I63/H63-1),"NA",I63/H63-1)</f>
        <v>0.11764705882352944</v>
      </c>
      <c r="J66" s="999">
        <f t="shared" ref="J66" si="542">IF(ISERROR(J63/I63-1),"NA",J63/I63-1)</f>
        <v>0.12030075187969924</v>
      </c>
      <c r="K66" s="987">
        <f t="shared" ref="K66" si="543">IF(ISERROR(K63/J63-1),"NA",K63/J63-1)</f>
        <v>0.12751677852348986</v>
      </c>
      <c r="L66" s="987">
        <f t="shared" ref="L66" si="544">IF(ISERROR(L63/K63-1),"NA",L63/K63-1)</f>
        <v>8.9285714285714191E-2</v>
      </c>
      <c r="M66" s="998">
        <f t="shared" ref="M66" si="545">IF(ISERROR(M63/L63-1),"NA",M63/L63-1)</f>
        <v>6.5573770491803351E-2</v>
      </c>
      <c r="N66" s="999">
        <f t="shared" ref="N66" si="546">IF(ISERROR(N63/M63-1),"NA",N63/M63-1)</f>
        <v>0.11282051282051286</v>
      </c>
      <c r="O66" s="987">
        <f t="shared" ref="O66" si="547">IF(ISERROR(O63/N63-1),"NA",O63/N63-1)</f>
        <v>6.4516129032258007E-2</v>
      </c>
      <c r="P66" s="987">
        <f t="shared" ref="P66" si="548">IF(ISERROR(P63/O63-1),"NA",P63/O63-1)</f>
        <v>0.12554112554112562</v>
      </c>
      <c r="Q66" s="998">
        <f t="shared" ref="Q66" si="549">IF(ISERROR(Q63/P63-1),"NA",Q63/P63-1)</f>
        <v>4.6153846153846212E-2</v>
      </c>
      <c r="R66" s="984">
        <f t="shared" ref="R66" si="550">IF(ISERROR(R63/Q63-1),"NA",R63/Q63-1)</f>
        <v>0.125</v>
      </c>
      <c r="S66" s="984">
        <f t="shared" ref="S66" si="551">IF(ISERROR(S63/R63-1),"NA",S63/R63-1)</f>
        <v>7.8431372549019551E-2</v>
      </c>
      <c r="T66" s="984">
        <f t="shared" ref="T66" si="552">IF(ISERROR(T63/S63-1),"NA",T63/S63-1)</f>
        <v>6.9696969696969591E-2</v>
      </c>
      <c r="U66" s="985">
        <f t="shared" ref="U66" si="553">IF(ISERROR(U63/T63-1),"NA",U63/T63-1)</f>
        <v>3.3994334277620331E-2</v>
      </c>
      <c r="V66" s="984">
        <f t="shared" ref="V66" si="554">IF(ISERROR(V63/U63-1),"NA",V63/U63-1)</f>
        <v>7.3972602739726057E-2</v>
      </c>
      <c r="W66" s="984">
        <f t="shared" ref="W66" si="555">IF(ISERROR(W63/V63-1),"NA",W63/V63-1)</f>
        <v>3.0612244897959107E-2</v>
      </c>
      <c r="X66" s="984">
        <f t="shared" ref="X66" si="556">IF(ISERROR(X63/W63-1),"NA",X63/W63-1)</f>
        <v>8.1683168316831756E-2</v>
      </c>
      <c r="Y66" s="985">
        <f t="shared" ref="Y66" si="557">IF(ISERROR(Y63/X63-1),"NA",Y63/X63-1)</f>
        <v>6.6361556064073124E-2</v>
      </c>
      <c r="Z66" s="1270">
        <f t="shared" ref="Z66" si="558">IF(ISERROR(Z63/Y63-1),"NA",Z63/Y63-1)</f>
        <v>0.11373390557939911</v>
      </c>
      <c r="AA66" s="984">
        <f t="shared" ref="AA66" si="559">IF(ISERROR(AA63/Z63-1),"NA",AA63/Z63-1)</f>
        <v>5.3949903660886367E-2</v>
      </c>
      <c r="AB66" s="984">
        <f t="shared" ref="AB66" si="560">IF(ISERROR(AB63/AA63-1),"NA",AB63/AA63-1)</f>
        <v>5.667276051188308E-2</v>
      </c>
      <c r="AC66" s="985">
        <f t="shared" ref="AC66" si="561">IF(ISERROR(AC63/AB63-1),"NA",AC63/AB63-1)</f>
        <v>7.7854671280276788E-2</v>
      </c>
      <c r="AD66" s="1270">
        <f t="shared" ref="AD66" si="562">IF(ISERROR(AD63/AC63-1),"NA",AD63/AC63-1)</f>
        <v>7.2231139646870002E-2</v>
      </c>
      <c r="AE66" s="984">
        <f t="shared" ref="AE66" si="563">IF(ISERROR(AE63/AD63-1),"NA",AE63/AD63-1)</f>
        <v>4.1916167664670656E-2</v>
      </c>
      <c r="AF66" s="984">
        <f t="shared" ref="AF66" si="564">IF(ISERROR(AF63/AE63-1),"NA",AF63/AE63-1)</f>
        <v>3.8793103448275801E-2</v>
      </c>
      <c r="AG66" s="985">
        <f t="shared" ref="AG66" si="565">IF(ISERROR(AG63/AF63-1),"NA",AG63/AF63-1)</f>
        <v>5.3941908713692976E-2</v>
      </c>
      <c r="AH66" s="1270">
        <f t="shared" ref="AH66" si="566">IF(ISERROR(AH63/AG63-1),"NA",AH63/AG63-1)</f>
        <v>4.7244094488188892E-2</v>
      </c>
      <c r="AI66" s="984">
        <f t="shared" ref="AI66" si="567">IF(ISERROR(AI63/AH63-1),"NA",AI63/AH63-1)</f>
        <v>3.5087719298245723E-2</v>
      </c>
      <c r="AJ66" s="984">
        <f t="shared" ref="AJ66" si="568">IF(ISERROR(AJ63/AI63-1),"NA",AJ63/AI63-1)</f>
        <v>4.1162227602905554E-2</v>
      </c>
      <c r="AK66" s="985">
        <f t="shared" ref="AK66" si="569">IF(ISERROR(AK63/AJ63-1),"NA",AK63/AJ63-1)</f>
        <v>4.0697674418604723E-2</v>
      </c>
      <c r="AL66" s="1270">
        <f t="shared" ref="AL66" si="570">IF(ISERROR(AL63/AK63-1),"NA",AL63/AK63-1)</f>
        <v>7.8212290502793325E-2</v>
      </c>
      <c r="AM66" s="984">
        <f t="shared" ref="AM66" si="571">IF(ISERROR(AM63/AL63-1),"NA",AM63/AL63-1)</f>
        <v>4.4559585492228049E-2</v>
      </c>
      <c r="AN66" s="984">
        <f t="shared" ref="AN66:AQ66" si="572">IF(ISERROR(AN63/AM63-1),"NA",AN63/AM63-1)</f>
        <v>3.5714285714285809E-2</v>
      </c>
      <c r="AO66" s="985">
        <f t="shared" si="572"/>
        <v>5.6513409961685745E-2</v>
      </c>
      <c r="AP66" s="1270">
        <f t="shared" si="572"/>
        <v>9.3381686310063383E-2</v>
      </c>
      <c r="AQ66" s="984">
        <f t="shared" si="572"/>
        <v>3.4825870646766122E-2</v>
      </c>
      <c r="AR66" s="984">
        <f t="shared" ref="AR66" si="573">IF(ISERROR(AR63/AQ63-1),"NA",AR63/AQ63-1)</f>
        <v>-1.5592948717948696E-2</v>
      </c>
      <c r="AS66" s="985">
        <f t="shared" ref="AS66" si="574">IF(ISERROR(AS63/AR63-1),"NA",AS63/AR63-1)</f>
        <v>5.5773519787715387E-2</v>
      </c>
      <c r="AT66" s="984">
        <f t="shared" ref="AT66" si="575">IF(ISERROR(AT63/AS63-1),"NA",AT63/AS63-1)</f>
        <v>0.10552711516814961</v>
      </c>
      <c r="AU66" s="984">
        <f t="shared" ref="AU66" si="576">IF(ISERROR(AU63/AT63-1),"NA",AU63/AT63-1)</f>
        <v>8.6733157709722342E-2</v>
      </c>
      <c r="AV66" s="984">
        <f t="shared" ref="AV66" si="577">IF(ISERROR(AV63/AU63-1),"NA",AV63/AU63-1)</f>
        <v>-6.8078797288893766E-2</v>
      </c>
      <c r="AW66" s="985">
        <f t="shared" ref="AW66" si="578">IF(ISERROR(AW63/AV63-1),"NA",AW63/AV63-1)</f>
        <v>3.6497983910395826E-2</v>
      </c>
      <c r="AX66" s="984">
        <f t="shared" ref="AX66" si="579">IF(ISERROR(AX63/AW63-1),"NA",AX63/AW63-1)</f>
        <v>0.13332474544256057</v>
      </c>
      <c r="AY66" s="984">
        <f t="shared" ref="AY66" si="580">IF(ISERROR(AY63/AX63-1),"NA",AY63/AX63-1)</f>
        <v>0.13136060749737632</v>
      </c>
      <c r="AZ66" s="984">
        <f t="shared" ref="AZ66" si="581">IF(ISERROR(AZ63/AY63-1),"NA",AZ63/AY63-1)</f>
        <v>-0.11390545002509367</v>
      </c>
      <c r="BA66" s="985">
        <f t="shared" ref="BA66" si="582">IF(ISERROR(BA63/AZ63-1),"NA",BA63/AZ63-1)</f>
        <v>1.6981688463236333E-2</v>
      </c>
      <c r="BB66" s="1013"/>
      <c r="BC66" s="846"/>
      <c r="BD66" s="989" t="s">
        <v>366</v>
      </c>
      <c r="BE66" s="989" t="s">
        <v>366</v>
      </c>
      <c r="BF66" s="989" t="s">
        <v>366</v>
      </c>
      <c r="BG66" s="841" t="s">
        <v>366</v>
      </c>
      <c r="BH66" s="841" t="s">
        <v>366</v>
      </c>
      <c r="BI66" s="989" t="s">
        <v>366</v>
      </c>
      <c r="BJ66" s="989" t="s">
        <v>366</v>
      </c>
      <c r="BK66" s="989" t="s">
        <v>366</v>
      </c>
      <c r="BL66" s="989" t="s">
        <v>366</v>
      </c>
      <c r="BM66" s="1046" t="s">
        <v>366</v>
      </c>
      <c r="BN66" s="1188" t="s">
        <v>366</v>
      </c>
      <c r="BO66" s="1188" t="s">
        <v>366</v>
      </c>
      <c r="BP66" s="1188" t="s">
        <v>366</v>
      </c>
      <c r="BR66" s="1425"/>
      <c r="BS66" s="1425"/>
      <c r="BT66" s="1425"/>
      <c r="BU66" s="1263"/>
    </row>
    <row r="67" spans="1:73" s="1881" customFormat="1" ht="11.65" customHeight="1">
      <c r="A67" s="1732" t="s">
        <v>668</v>
      </c>
      <c r="B67" s="836"/>
      <c r="C67" s="837"/>
      <c r="D67" s="837"/>
      <c r="E67" s="838"/>
      <c r="F67" s="837"/>
      <c r="G67" s="837"/>
      <c r="H67" s="837"/>
      <c r="I67" s="838"/>
      <c r="J67" s="837"/>
      <c r="K67" s="837"/>
      <c r="L67" s="837"/>
      <c r="M67" s="838"/>
      <c r="N67" s="836"/>
      <c r="O67" s="836"/>
      <c r="P67" s="836"/>
      <c r="Q67" s="1041"/>
      <c r="R67" s="836"/>
      <c r="S67" s="1720"/>
      <c r="T67" s="1720"/>
      <c r="U67" s="1721"/>
      <c r="V67" s="1847">
        <f t="shared" ref="V67:BA67" si="583">V63-U63</f>
        <v>27</v>
      </c>
      <c r="W67" s="1847">
        <f t="shared" si="583"/>
        <v>12</v>
      </c>
      <c r="X67" s="1847">
        <f t="shared" si="583"/>
        <v>33</v>
      </c>
      <c r="Y67" s="1848">
        <f t="shared" si="583"/>
        <v>29</v>
      </c>
      <c r="Z67" s="1847">
        <f t="shared" si="583"/>
        <v>53</v>
      </c>
      <c r="AA67" s="1847">
        <f t="shared" si="583"/>
        <v>28</v>
      </c>
      <c r="AB67" s="1847">
        <f t="shared" si="583"/>
        <v>31</v>
      </c>
      <c r="AC67" s="1848">
        <f t="shared" si="583"/>
        <v>45</v>
      </c>
      <c r="AD67" s="1847">
        <f t="shared" si="583"/>
        <v>45</v>
      </c>
      <c r="AE67" s="1847">
        <f t="shared" si="583"/>
        <v>28</v>
      </c>
      <c r="AF67" s="1847">
        <f t="shared" si="583"/>
        <v>27</v>
      </c>
      <c r="AG67" s="1848">
        <f t="shared" si="583"/>
        <v>39</v>
      </c>
      <c r="AH67" s="1847">
        <f t="shared" si="583"/>
        <v>36</v>
      </c>
      <c r="AI67" s="1847">
        <f t="shared" si="583"/>
        <v>28</v>
      </c>
      <c r="AJ67" s="1847">
        <f t="shared" si="583"/>
        <v>34</v>
      </c>
      <c r="AK67" s="1848">
        <f t="shared" si="583"/>
        <v>35</v>
      </c>
      <c r="AL67" s="1847">
        <f t="shared" si="583"/>
        <v>70</v>
      </c>
      <c r="AM67" s="1847">
        <f t="shared" si="583"/>
        <v>43</v>
      </c>
      <c r="AN67" s="1847">
        <f t="shared" si="583"/>
        <v>36</v>
      </c>
      <c r="AO67" s="1848">
        <f t="shared" si="583"/>
        <v>59</v>
      </c>
      <c r="AP67" s="1847">
        <f t="shared" si="583"/>
        <v>103</v>
      </c>
      <c r="AQ67" s="1847">
        <f t="shared" si="583"/>
        <v>42</v>
      </c>
      <c r="AR67" s="1849">
        <f t="shared" si="583"/>
        <v>-19.460000000000036</v>
      </c>
      <c r="AS67" s="1850">
        <f t="shared" si="583"/>
        <v>68.519999999999982</v>
      </c>
      <c r="AT67" s="1849">
        <f t="shared" si="583"/>
        <v>136.875</v>
      </c>
      <c r="AU67" s="1849">
        <f t="shared" si="583"/>
        <v>124.36971050049078</v>
      </c>
      <c r="AV67" s="1849">
        <f t="shared" si="583"/>
        <v>-106.08751050049113</v>
      </c>
      <c r="AW67" s="1850">
        <f t="shared" si="583"/>
        <v>53.003000000000156</v>
      </c>
      <c r="AX67" s="1849">
        <f t="shared" si="583"/>
        <v>200.68310000000019</v>
      </c>
      <c r="AY67" s="1849">
        <f t="shared" si="583"/>
        <v>224.08849381977916</v>
      </c>
      <c r="AZ67" s="1849">
        <f t="shared" si="583"/>
        <v>-219.83658381977966</v>
      </c>
      <c r="BA67" s="1850">
        <f t="shared" si="583"/>
        <v>29.041323000000375</v>
      </c>
      <c r="BB67" s="1803"/>
      <c r="BC67" s="1674"/>
      <c r="BD67" s="1674"/>
      <c r="BE67" s="1674"/>
      <c r="BF67" s="1674"/>
      <c r="BG67" s="1674"/>
      <c r="BH67" s="1674"/>
      <c r="BI67" s="1809" t="s">
        <v>670</v>
      </c>
      <c r="BJ67" s="1867" t="s">
        <v>670</v>
      </c>
      <c r="BK67" s="1809" t="s">
        <v>670</v>
      </c>
      <c r="BL67" s="1809" t="s">
        <v>670</v>
      </c>
      <c r="BM67" s="1808" t="s">
        <v>670</v>
      </c>
      <c r="BN67" s="1808" t="s">
        <v>670</v>
      </c>
      <c r="BO67" s="1808" t="s">
        <v>670</v>
      </c>
      <c r="BP67" s="1808" t="s">
        <v>670</v>
      </c>
      <c r="BR67" s="1882"/>
      <c r="BS67" s="1882"/>
      <c r="BT67" s="1882"/>
      <c r="BU67" s="1724"/>
    </row>
    <row r="68" spans="1:73" s="1014" customFormat="1" ht="12" customHeight="1">
      <c r="A68" s="1064" t="s">
        <v>665</v>
      </c>
      <c r="B68" s="1252">
        <f t="shared" ref="B68:Y68" si="584">+B63/B$32</f>
        <v>0.4370860927152318</v>
      </c>
      <c r="C68" s="1252">
        <f t="shared" si="584"/>
        <v>0.46451612903225808</v>
      </c>
      <c r="D68" s="1252">
        <f t="shared" si="584"/>
        <v>0.45614035087719296</v>
      </c>
      <c r="E68" s="1253">
        <f t="shared" si="584"/>
        <v>0.48603351955307261</v>
      </c>
      <c r="F68" s="1252">
        <f t="shared" si="584"/>
        <v>0.48691099476439792</v>
      </c>
      <c r="G68" s="1252">
        <f t="shared" si="584"/>
        <v>0.51500000000000001</v>
      </c>
      <c r="H68" s="1252">
        <f t="shared" si="584"/>
        <v>0.52888888888888885</v>
      </c>
      <c r="I68" s="1253">
        <f t="shared" si="584"/>
        <v>0.54958677685950408</v>
      </c>
      <c r="J68" s="1254">
        <f t="shared" si="584"/>
        <v>0.56870229007633588</v>
      </c>
      <c r="K68" s="1252">
        <f t="shared" si="584"/>
        <v>0.58947368421052626</v>
      </c>
      <c r="L68" s="1254">
        <f t="shared" si="584"/>
        <v>0.57547169811320753</v>
      </c>
      <c r="M68" s="1253">
        <f t="shared" si="584"/>
        <v>0.57184750733137835</v>
      </c>
      <c r="N68" s="1252">
        <f t="shared" si="584"/>
        <v>0.58490566037735847</v>
      </c>
      <c r="O68" s="1252">
        <f t="shared" si="584"/>
        <v>0.58629441624365486</v>
      </c>
      <c r="P68" s="1252">
        <f t="shared" si="584"/>
        <v>0.592255125284738</v>
      </c>
      <c r="Q68" s="1253">
        <f t="shared" si="584"/>
        <v>0.59259259259259256</v>
      </c>
      <c r="R68" s="984">
        <f t="shared" si="584"/>
        <v>0.6107784431137725</v>
      </c>
      <c r="S68" s="984">
        <f t="shared" si="584"/>
        <v>0.62264150943396224</v>
      </c>
      <c r="T68" s="984">
        <f t="shared" si="584"/>
        <v>0.63035714285714284</v>
      </c>
      <c r="U68" s="985">
        <f t="shared" si="584"/>
        <v>0.61759729272419628</v>
      </c>
      <c r="V68" s="984">
        <f t="shared" si="584"/>
        <v>0.6312399355877617</v>
      </c>
      <c r="W68" s="984">
        <f t="shared" si="584"/>
        <v>0.62732919254658381</v>
      </c>
      <c r="X68" s="984">
        <f>+X63/X$32</f>
        <v>0.61118881118881119</v>
      </c>
      <c r="Y68" s="985">
        <f t="shared" si="584"/>
        <v>0.60519480519480517</v>
      </c>
      <c r="Z68" s="1270">
        <f t="shared" ref="Z68:AA68" si="585">+Z63/Z$32</f>
        <v>0.61420118343195262</v>
      </c>
      <c r="AA68" s="984">
        <f t="shared" si="585"/>
        <v>0.48795718108831398</v>
      </c>
      <c r="AB68" s="984">
        <f>+AB63/AB$32</f>
        <v>0.4848993288590604</v>
      </c>
      <c r="AC68" s="985">
        <f t="shared" ref="AC68:AE68" si="586">+AC63/AC$32</f>
        <v>0.48671874999999998</v>
      </c>
      <c r="AD68" s="1270">
        <f t="shared" si="586"/>
        <v>0.49518161601186061</v>
      </c>
      <c r="AE68" s="984">
        <f t="shared" si="586"/>
        <v>0.50035945363048162</v>
      </c>
      <c r="AF68" s="984">
        <f>+AF63/AF$32</f>
        <v>0.49250681198910079</v>
      </c>
      <c r="AG68" s="985">
        <f t="shared" ref="AG68" si="587">+AG63/AG$32</f>
        <v>0.49129593810444872</v>
      </c>
      <c r="AH68" s="1270">
        <f t="shared" ref="AH68:AI68" si="588">+AH63/AH$32</f>
        <v>0.49320148331273178</v>
      </c>
      <c r="AI68" s="984">
        <f t="shared" si="588"/>
        <v>0.48933649289099523</v>
      </c>
      <c r="AJ68" s="984">
        <f>+AJ63/AJ$32</f>
        <v>0.49030786773090079</v>
      </c>
      <c r="AK68" s="985">
        <f t="shared" ref="AK68:AM68" si="589">+AK63/AK$32</f>
        <v>0.48853711790393012</v>
      </c>
      <c r="AL68" s="1270">
        <f t="shared" si="589"/>
        <v>0.49665465774575401</v>
      </c>
      <c r="AM68" s="984">
        <f t="shared" si="589"/>
        <v>0.49460255152109911</v>
      </c>
      <c r="AN68" s="984">
        <f t="shared" ref="AN68:AQ68" si="590">+AN63/AN$32</f>
        <v>0.49643366619115548</v>
      </c>
      <c r="AO68" s="985">
        <f t="shared" si="590"/>
        <v>0.49729486023444547</v>
      </c>
      <c r="AP68" s="1270">
        <f t="shared" si="590"/>
        <v>0.51297320289238624</v>
      </c>
      <c r="AQ68" s="984">
        <f t="shared" si="590"/>
        <v>0.50587758411025541</v>
      </c>
      <c r="AR68" s="984">
        <f t="shared" ref="AR68" si="591">+AR63/AR$32</f>
        <v>0.49507160875907702</v>
      </c>
      <c r="AS68" s="1016">
        <f t="shared" ref="AS68" si="592">1-AS92</f>
        <v>0.49981888665387308</v>
      </c>
      <c r="AT68" s="1270">
        <f t="shared" ref="AT68:AV68" si="593">+AT63/AT$32</f>
        <v>0.51470511695355414</v>
      </c>
      <c r="AU68" s="984">
        <f t="shared" si="593"/>
        <v>0.52181704868265977</v>
      </c>
      <c r="AV68" s="984">
        <f t="shared" si="593"/>
        <v>0.49593903075222689</v>
      </c>
      <c r="AW68" s="1016">
        <f t="shared" ref="AW68" si="594">1-AW92</f>
        <v>0.4957546228037083</v>
      </c>
      <c r="AX68" s="1270">
        <f t="shared" ref="AX68:AZ68" si="595">+AX63/AX$32</f>
        <v>0.5189212105493719</v>
      </c>
      <c r="AY68" s="984">
        <f t="shared" si="595"/>
        <v>0.5361100536765272</v>
      </c>
      <c r="AZ68" s="984">
        <f t="shared" si="595"/>
        <v>0.49704347155436124</v>
      </c>
      <c r="BA68" s="1016">
        <f t="shared" ref="BA68" si="596">1-BA92</f>
        <v>0.49168784283663658</v>
      </c>
      <c r="BB68" s="1198"/>
      <c r="BC68" s="1892"/>
      <c r="BD68" s="1011">
        <f t="shared" ref="BD68:BE68" si="597">+BD63/BD$6</f>
        <v>6.4550489987217727E-2</v>
      </c>
      <c r="BE68" s="1011">
        <f t="shared" si="597"/>
        <v>8.6536604210932969E-2</v>
      </c>
      <c r="BF68" s="1017">
        <f>+BF63/BF$6</f>
        <v>0.11535269709543569</v>
      </c>
      <c r="BG68" s="1017">
        <f>+BG63/BG$6</f>
        <v>0.14445754716981132</v>
      </c>
      <c r="BH68" s="1017">
        <f>+BH63/BH$6</f>
        <v>0.17632504232321916</v>
      </c>
      <c r="BI68" s="1017">
        <f t="shared" ref="BI68:BJ68" si="598">+BI63/BI$6</f>
        <v>0.17637288487490915</v>
      </c>
      <c r="BJ68" s="1017">
        <f t="shared" si="598"/>
        <v>0.17813924249567814</v>
      </c>
      <c r="BK68" s="1016">
        <f t="shared" ref="BK68:BP68" si="599">1-BK92</f>
        <v>0.49470394165653764</v>
      </c>
      <c r="BL68" s="1016">
        <f t="shared" si="599"/>
        <v>0.49027858386535117</v>
      </c>
      <c r="BM68" s="1016">
        <f t="shared" si="599"/>
        <v>0.49626596000963619</v>
      </c>
      <c r="BN68" s="1016">
        <f t="shared" si="599"/>
        <v>0.50326440684817986</v>
      </c>
      <c r="BO68" s="1016">
        <f t="shared" si="599"/>
        <v>0.50693028823102526</v>
      </c>
      <c r="BP68" s="1016">
        <f t="shared" si="599"/>
        <v>0.51100762360786756</v>
      </c>
      <c r="BR68" s="1425"/>
      <c r="BS68" s="1425"/>
      <c r="BT68" s="1425"/>
      <c r="BU68" s="1263"/>
    </row>
    <row r="69" spans="1:73" s="414" customFormat="1" ht="12.75" hidden="1" customHeight="1" outlineLevel="1">
      <c r="A69" s="1950" t="s">
        <v>410</v>
      </c>
      <c r="B69" s="1926"/>
      <c r="C69" s="1926"/>
      <c r="D69" s="1926"/>
      <c r="E69" s="1927"/>
      <c r="F69" s="1071"/>
      <c r="G69" s="1071"/>
      <c r="H69" s="1071"/>
      <c r="I69" s="1072"/>
      <c r="J69" s="1071"/>
      <c r="K69" s="1071"/>
      <c r="L69" s="1071"/>
      <c r="M69" s="1072"/>
      <c r="N69" s="1071"/>
      <c r="O69" s="1071"/>
      <c r="P69" s="1071"/>
      <c r="Q69" s="1072"/>
      <c r="R69" s="1071"/>
      <c r="S69" s="1071"/>
      <c r="T69" s="1071"/>
      <c r="U69" s="1072"/>
      <c r="V69" s="1071"/>
      <c r="W69" s="1928"/>
      <c r="X69" s="1073"/>
      <c r="Y69" s="1072"/>
      <c r="Z69" s="1929"/>
      <c r="AA69" s="1928"/>
      <c r="AB69" s="1073"/>
      <c r="AC69" s="1074"/>
      <c r="AD69" s="1073"/>
      <c r="AE69" s="1073"/>
      <c r="AF69" s="1073"/>
      <c r="AG69" s="1074"/>
      <c r="AH69" s="1935">
        <f>_xll.VAData("INTU",AH$22,"Revenue - QuickBooks online accounting","consensus.vaactuals","CD","IMPL","Current","","","USD")</f>
        <v>798</v>
      </c>
      <c r="AI69" s="1932">
        <f>_xll.VAData("INTU",AI$22,"Revenue - QuickBooks online accounting","consensus.vaactuals","CD","IMPL","Current","","","USD")</f>
        <v>826</v>
      </c>
      <c r="AJ69" s="1933">
        <f>_xll.VAData("INTU",AJ$22,"Revenue - QuickBooks online accounting","consensus.vaactuals","CD","IMPL","Current","","","USD")</f>
        <v>860</v>
      </c>
      <c r="AK69" s="1934">
        <f>_xll.VAData("INTU",AK$22,"Revenue - QuickBooks online accounting","consensus.vaactuals","CD","IMPL","Current","","","USD")</f>
        <v>895</v>
      </c>
      <c r="AL69" s="1933">
        <f>_xll.VAData("INTU",AL$22,"Revenue - QuickBooks online accounting","consensus.vaactuals","CD","IMPL","Current","","","USD")</f>
        <v>965</v>
      </c>
      <c r="AM69" s="1933">
        <f>_xll.VAData("INTU",AM$22,"Revenue - QuickBooks online accounting","consensus.vaactuals","CD","IMPL","Current","","","USD")</f>
        <v>1008</v>
      </c>
      <c r="AN69" s="1933">
        <f>_xll.VAData("INTU",AN$22,"Revenue - QuickBooks online accounting","consensus.vaactuals","CD","IMPL","Current","","","USD")</f>
        <v>1044</v>
      </c>
      <c r="AO69" s="1934">
        <f>_xll.VAData("INTU",AO$22,"Revenue - QuickBooks online accounting","consensus.vaactuals","CD","IMPL","Current","","","USD")</f>
        <v>1103</v>
      </c>
      <c r="AP69" s="1933">
        <f>_xll.VAData("INTU",AP$22,"Revenue - QuickBooks online accounting","consensus.vaactuals","CD","IMPL","Current","","","USD")</f>
        <v>1206</v>
      </c>
      <c r="AQ69" s="1933">
        <f>_xll.VAData("INTU",AQ$22,"Revenue - QuickBooks online accounting","consensus.vaactuals","CD","IMPL","Current","","","USD")</f>
        <v>1008</v>
      </c>
      <c r="AR69" s="1933">
        <f>_xll.VAData("INTU",AR$22,"Revenue - QuickBooks online accounting","consensus.vaactuals","CD","IMPL","Current","","","USD")</f>
        <v>1255.5966039771461</v>
      </c>
      <c r="AS69" s="1934">
        <f>_xll.VAData("INTU",AS$22,"Revenue - QuickBooks online accounting","consensus.vaactuals","CD","IMPL","Current","","","USD")</f>
        <v>1281.9744628812025</v>
      </c>
      <c r="AT69" s="1933">
        <f>_xll.VAData("INTU",AT$22,"Revenue - QuickBooks online accounting","consensus.vaactuals","CD","IMPL","Current","","","USD")</f>
        <v>1408.3891444238841</v>
      </c>
      <c r="AU69" s="1933">
        <f>_xll.VAData("INTU",AU$22,"Revenue - QuickBooks online accounting","consensus.vaactuals","CD","IMPL","Current","","","USD")</f>
        <v>1462.6107103967065</v>
      </c>
      <c r="AV69" s="1933">
        <f>_xll.VAData("INTU",AV$22,"Revenue - QuickBooks online accounting","consensus.vaactuals","CD","IMPL","Current","","","USD")</f>
        <v>1478.9984454835057</v>
      </c>
      <c r="AW69" s="1934">
        <f>_xll.VAData("INTU",AW$22,"Revenue - QuickBooks online accounting","consensus.vaactuals","CD","IMPL","Current","","","USD")</f>
        <v>1509.6192452345183</v>
      </c>
      <c r="AX69" s="1933">
        <f>_xll.VAData("INTU",AX$22,"Revenue - QuickBooks online accounting","consensus.vaactuals","CD","IMPL","Current","","","USD")</f>
        <v>1648.840013253104</v>
      </c>
      <c r="AY69" s="1933">
        <f>_xll.VAData("INTU",AY$22,"Revenue - QuickBooks online accounting","consensus.vaactuals","CD","IMPL","Current","","","USD")</f>
        <v>1718.3922009792</v>
      </c>
      <c r="AZ69" s="1933">
        <f>_xll.VAData("INTU",AZ$22,"Revenue - QuickBooks online accounting","consensus.vaactuals","CD","IMPL","Current","","","USD")</f>
        <v>1715.9682129324844</v>
      </c>
      <c r="BA69" s="1934">
        <f>_xll.VAData("INTU",BA$22,"Revenue - QuickBooks online accounting","consensus.vaactuals","CD","IMPL","Current","","","USD")</f>
        <v>1736.5353726272867</v>
      </c>
      <c r="BB69" s="1949"/>
      <c r="BC69" s="1930"/>
      <c r="BD69" s="1130"/>
      <c r="BE69" s="1130"/>
      <c r="BF69" s="1130"/>
      <c r="BG69" s="1130"/>
      <c r="BH69" s="1130"/>
      <c r="BI69" s="1130"/>
      <c r="BJ69" s="1130"/>
      <c r="BK69" s="1130"/>
      <c r="BL69" s="1993">
        <f>SUM(AH69:AK69)</f>
        <v>3379</v>
      </c>
      <c r="BM69" s="1993">
        <f>SUM(AL69:AO69)</f>
        <v>4120</v>
      </c>
      <c r="BN69" s="1994">
        <f>SUM(AP69:AS69)</f>
        <v>4751.5710668583488</v>
      </c>
      <c r="BO69" s="1994">
        <f>SUM(AT69:AW69)</f>
        <v>5859.6175455386146</v>
      </c>
      <c r="BP69" s="1994">
        <f>SUM(AX69:BA69)</f>
        <v>6819.7357997920753</v>
      </c>
      <c r="BR69" s="1406"/>
      <c r="BS69" s="1431"/>
      <c r="BT69" s="1432"/>
      <c r="BU69" s="1263"/>
    </row>
    <row r="70" spans="1:73" s="1014" customFormat="1" ht="12.75" hidden="1" customHeight="1" outlineLevel="1">
      <c r="A70" s="1951" t="s">
        <v>507</v>
      </c>
      <c r="B70" s="1939" t="str">
        <f>IF(ISERROR(B69/#REF!-1),"NA",B69/#REF!-1)</f>
        <v>NA</v>
      </c>
      <c r="C70" s="1940" t="str">
        <f>IF(ISERROR(C69/#REF!-1),"NA",C69/#REF!-1)</f>
        <v>NA</v>
      </c>
      <c r="D70" s="1940" t="str">
        <f>IF(ISERROR(D69/#REF!-1),"NA",D69/#REF!-1)</f>
        <v>NA</v>
      </c>
      <c r="E70" s="1941" t="str">
        <f t="shared" ref="E70:AG70" si="600">IF(ISERROR(E69/A69-1),"NA",E69/A69-1)</f>
        <v>NA</v>
      </c>
      <c r="F70" s="1939" t="str">
        <f t="shared" si="600"/>
        <v>NA</v>
      </c>
      <c r="G70" s="1940" t="str">
        <f t="shared" si="600"/>
        <v>NA</v>
      </c>
      <c r="H70" s="1940" t="str">
        <f t="shared" si="600"/>
        <v>NA</v>
      </c>
      <c r="I70" s="1941" t="str">
        <f t="shared" si="600"/>
        <v>NA</v>
      </c>
      <c r="J70" s="1939" t="str">
        <f t="shared" si="600"/>
        <v>NA</v>
      </c>
      <c r="K70" s="1940" t="str">
        <f t="shared" si="600"/>
        <v>NA</v>
      </c>
      <c r="L70" s="1940" t="str">
        <f t="shared" si="600"/>
        <v>NA</v>
      </c>
      <c r="M70" s="1941" t="str">
        <f t="shared" si="600"/>
        <v>NA</v>
      </c>
      <c r="N70" s="1939" t="str">
        <f t="shared" si="600"/>
        <v>NA</v>
      </c>
      <c r="O70" s="1940" t="str">
        <f t="shared" si="600"/>
        <v>NA</v>
      </c>
      <c r="P70" s="1940" t="str">
        <f t="shared" si="600"/>
        <v>NA</v>
      </c>
      <c r="Q70" s="1941" t="str">
        <f t="shared" si="600"/>
        <v>NA</v>
      </c>
      <c r="R70" s="1942" t="str">
        <f t="shared" si="600"/>
        <v>NA</v>
      </c>
      <c r="S70" s="1942" t="str">
        <f t="shared" si="600"/>
        <v>NA</v>
      </c>
      <c r="T70" s="1942" t="str">
        <f t="shared" si="600"/>
        <v>NA</v>
      </c>
      <c r="U70" s="1943" t="str">
        <f t="shared" si="600"/>
        <v>NA</v>
      </c>
      <c r="V70" s="1942" t="str">
        <f t="shared" si="600"/>
        <v>NA</v>
      </c>
      <c r="W70" s="1942" t="str">
        <f t="shared" si="600"/>
        <v>NA</v>
      </c>
      <c r="X70" s="1942" t="str">
        <f t="shared" si="600"/>
        <v>NA</v>
      </c>
      <c r="Y70" s="1943" t="str">
        <f t="shared" si="600"/>
        <v>NA</v>
      </c>
      <c r="Z70" s="1944" t="str">
        <f t="shared" si="600"/>
        <v>NA</v>
      </c>
      <c r="AA70" s="1942" t="str">
        <f t="shared" si="600"/>
        <v>NA</v>
      </c>
      <c r="AB70" s="1942" t="str">
        <f t="shared" si="600"/>
        <v>NA</v>
      </c>
      <c r="AC70" s="1943" t="str">
        <f t="shared" si="600"/>
        <v>NA</v>
      </c>
      <c r="AD70" s="1944" t="str">
        <f t="shared" si="600"/>
        <v>NA</v>
      </c>
      <c r="AE70" s="1942" t="str">
        <f t="shared" si="600"/>
        <v>NA</v>
      </c>
      <c r="AF70" s="1942" t="str">
        <f t="shared" si="600"/>
        <v>NA</v>
      </c>
      <c r="AG70" s="1943" t="str">
        <f t="shared" si="600"/>
        <v>NA</v>
      </c>
      <c r="AH70" s="1942"/>
      <c r="AI70" s="1942"/>
      <c r="AJ70" s="1942"/>
      <c r="AK70" s="1943"/>
      <c r="AL70" s="1942">
        <f>IF(ISERROR(AL69/AH69-1),"NA",AL69/AH69-1)</f>
        <v>0.2092731829573935</v>
      </c>
      <c r="AM70" s="1942">
        <f t="shared" ref="AM70" si="601">IF(ISERROR(AM69/AI69-1),"NA",AM69/AI69-1)</f>
        <v>0.22033898305084754</v>
      </c>
      <c r="AN70" s="1942">
        <f t="shared" ref="AN70" si="602">IF(ISERROR(AN69/AJ69-1),"NA",AN69/AJ69-1)</f>
        <v>0.21395348837209305</v>
      </c>
      <c r="AO70" s="1943">
        <f t="shared" ref="AO70" si="603">IF(ISERROR(AO69/AK69-1),"NA",AO69/AK69-1)</f>
        <v>0.23240223463687149</v>
      </c>
      <c r="AP70" s="1942">
        <f>IF(ISERROR(AP69/AL69-1),"NA",AP69/AL69-1)</f>
        <v>0.24974093264248709</v>
      </c>
      <c r="AQ70" s="1942">
        <f t="shared" ref="AQ70" si="604">IF(ISERROR(AQ69/AM69-1),"NA",AQ69/AM69-1)</f>
        <v>0</v>
      </c>
      <c r="AR70" s="1942">
        <f t="shared" ref="AR70" si="605">IF(ISERROR(AR69/AN69-1),"NA",AR69/AN69-1)</f>
        <v>0.20267873944171089</v>
      </c>
      <c r="AS70" s="1943">
        <f t="shared" ref="AS70" si="606">IF(ISERROR(AS69/AO69-1),"NA",AS69/AO69-1)</f>
        <v>0.1622615257309179</v>
      </c>
      <c r="AT70" s="1942">
        <f t="shared" ref="AT70" si="607">IF(ISERROR(AT69/AP69-1),"NA",AT69/AP69-1)</f>
        <v>0.16781852771466332</v>
      </c>
      <c r="AU70" s="1942">
        <f t="shared" ref="AU70" si="608">IF(ISERROR(AU69/AQ69-1),"NA",AU69/AQ69-1)</f>
        <v>0.45100268888562156</v>
      </c>
      <c r="AV70" s="1942">
        <f t="shared" ref="AV70" si="609">IF(ISERROR(AV69/AR69-1),"NA",AV69/AR69-1)</f>
        <v>0.17792485325201302</v>
      </c>
      <c r="AW70" s="1943">
        <f t="shared" ref="AW70" si="610">IF(ISERROR(AW69/AS69-1),"NA",AW69/AS69-1)</f>
        <v>0.17757357025793663</v>
      </c>
      <c r="AX70" s="1942">
        <f t="shared" ref="AX70" si="611">IF(ISERROR(AX69/AT69-1),"NA",AX69/AT69-1)</f>
        <v>0.17072757893740986</v>
      </c>
      <c r="AY70" s="1942">
        <f t="shared" ref="AY70" si="612">IF(ISERROR(AY69/AU69-1),"NA",AY69/AU69-1)</f>
        <v>0.17488008857334125</v>
      </c>
      <c r="AZ70" s="1942">
        <f t="shared" ref="AZ70" si="613">IF(ISERROR(AZ69/AV69-1),"NA",AZ69/AV69-1)</f>
        <v>0.1602231349009362</v>
      </c>
      <c r="BA70" s="1943">
        <f t="shared" ref="BA70" si="614">IF(ISERROR(BA69/AW69-1),"NA",BA69/AW69-1)</f>
        <v>0.15031348342244888</v>
      </c>
      <c r="BB70" s="1945"/>
      <c r="BC70" s="1946"/>
      <c r="BD70" s="1947" t="str">
        <f>IF(ISERROR(BD69/BB69-1),"NA",BD69/BB69-1)</f>
        <v>NA</v>
      </c>
      <c r="BE70" s="1947" t="str">
        <f t="shared" ref="BE70:BJ70" si="615">IF(ISERROR(BE69/BD69-1),"NA",BE69/BD69-1)</f>
        <v>NA</v>
      </c>
      <c r="BF70" s="1947" t="str">
        <f t="shared" si="615"/>
        <v>NA</v>
      </c>
      <c r="BG70" s="1947" t="str">
        <f t="shared" si="615"/>
        <v>NA</v>
      </c>
      <c r="BH70" s="1947" t="str">
        <f t="shared" si="615"/>
        <v>NA</v>
      </c>
      <c r="BI70" s="1947" t="str">
        <f t="shared" si="615"/>
        <v>NA</v>
      </c>
      <c r="BJ70" s="1947" t="str">
        <f t="shared" si="615"/>
        <v>NA</v>
      </c>
      <c r="BK70" s="1947"/>
      <c r="BL70" s="1947"/>
      <c r="BM70" s="1947">
        <f>IF(ISERROR(BM69/BL69-1),"NA",BM69/BL69-1)</f>
        <v>0.21929564960047343</v>
      </c>
      <c r="BN70" s="1948">
        <f>IF(ISERROR(BN69/BM69-1),"NA",BN69/BM69-1)</f>
        <v>0.1532939482665896</v>
      </c>
      <c r="BO70" s="1948">
        <f>IF(ISERROR(BO69/BN69-1),"NA",BO69/BN69-1)</f>
        <v>0.23319581315088822</v>
      </c>
      <c r="BP70" s="1948">
        <f>IF(ISERROR(BP69/BO69-1),"NA",BP69/BO69-1)</f>
        <v>0.16385339943977639</v>
      </c>
      <c r="BR70" s="1425"/>
      <c r="BS70" s="1425"/>
      <c r="BT70" s="1425"/>
      <c r="BU70" s="1263"/>
    </row>
    <row r="71" spans="1:73" s="1014" customFormat="1" ht="12" customHeight="1" collapsed="1">
      <c r="A71" s="1098"/>
      <c r="B71" s="1008"/>
      <c r="C71" s="1008"/>
      <c r="D71" s="1008"/>
      <c r="E71" s="1009"/>
      <c r="F71" s="1008"/>
      <c r="G71" s="1008"/>
      <c r="H71" s="1008"/>
      <c r="I71" s="1009"/>
      <c r="J71" s="1010"/>
      <c r="K71" s="1008"/>
      <c r="L71" s="1010"/>
      <c r="M71" s="1009"/>
      <c r="N71" s="1008"/>
      <c r="O71" s="1008"/>
      <c r="P71" s="1008"/>
      <c r="Q71" s="1009"/>
      <c r="R71" s="984"/>
      <c r="S71" s="984"/>
      <c r="T71" s="984"/>
      <c r="U71" s="985"/>
      <c r="V71" s="984"/>
      <c r="W71" s="987"/>
      <c r="X71" s="984"/>
      <c r="Y71" s="985"/>
      <c r="Z71" s="1270"/>
      <c r="AA71" s="1015"/>
      <c r="AB71" s="1071"/>
      <c r="AC71" s="1072"/>
      <c r="AD71" s="1071"/>
      <c r="AE71" s="1071"/>
      <c r="AF71" s="1071"/>
      <c r="AG71" s="1072"/>
      <c r="AH71" s="1071"/>
      <c r="AI71" s="1071"/>
      <c r="AJ71" s="1071"/>
      <c r="AK71" s="1072"/>
      <c r="AL71" s="1071"/>
      <c r="AM71" s="1071"/>
      <c r="AN71" s="1071"/>
      <c r="AO71" s="1072"/>
      <c r="AP71" s="1071"/>
      <c r="AQ71" s="1071"/>
      <c r="AR71" s="1071"/>
      <c r="AS71" s="1072"/>
      <c r="AT71" s="1071"/>
      <c r="AU71" s="1071"/>
      <c r="AV71" s="1071"/>
      <c r="AW71" s="1072"/>
      <c r="AX71" s="1071"/>
      <c r="AY71" s="1071"/>
      <c r="AZ71" s="1071"/>
      <c r="BA71" s="1072"/>
      <c r="BB71" s="1013"/>
      <c r="BC71" s="846"/>
      <c r="BD71" s="1011"/>
      <c r="BE71" s="1011"/>
      <c r="BF71" s="1017"/>
      <c r="BG71" s="1017"/>
      <c r="BH71" s="1017"/>
      <c r="BI71" s="1017"/>
      <c r="BJ71" s="1017"/>
      <c r="BK71" s="1017"/>
      <c r="BL71" s="1062"/>
      <c r="BM71" s="1062"/>
      <c r="BN71" s="1368"/>
      <c r="BO71" s="1368"/>
      <c r="BP71" s="1368"/>
      <c r="BR71" s="1425"/>
      <c r="BS71" s="1425"/>
      <c r="BT71" s="1425"/>
      <c r="BU71" s="1263"/>
    </row>
    <row r="72" spans="1:73" s="304" customFormat="1" ht="11.65" hidden="1" customHeight="1" outlineLevel="1">
      <c r="A72" s="1699" t="s">
        <v>674</v>
      </c>
      <c r="B72" s="1110"/>
      <c r="C72" s="1108"/>
      <c r="D72" s="1108"/>
      <c r="E72" s="1109"/>
      <c r="F72" s="1108"/>
      <c r="G72" s="1108"/>
      <c r="H72" s="1108"/>
      <c r="I72" s="1109"/>
      <c r="J72" s="1108"/>
      <c r="K72" s="1108"/>
      <c r="L72" s="1108"/>
      <c r="M72" s="1109"/>
      <c r="N72" s="1110"/>
      <c r="O72" s="1110"/>
      <c r="P72" s="1110"/>
      <c r="Q72" s="1111"/>
      <c r="R72" s="1110"/>
      <c r="S72" s="1569"/>
      <c r="T72" s="1569"/>
      <c r="U72" s="1570"/>
      <c r="V72" s="1833">
        <f t="shared" ref="V72:BA72" si="616">U52*(V78*90%)/4</f>
        <v>30.40263876251138</v>
      </c>
      <c r="W72" s="1833">
        <f t="shared" si="616"/>
        <v>34.857638762511378</v>
      </c>
      <c r="X72" s="1833">
        <f t="shared" si="616"/>
        <v>39.312638762511376</v>
      </c>
      <c r="Y72" s="1834">
        <f t="shared" si="616"/>
        <v>43.767638762511375</v>
      </c>
      <c r="Z72" s="1833">
        <f t="shared" si="616"/>
        <v>63.642857142857146</v>
      </c>
      <c r="AA72" s="1833">
        <f t="shared" si="616"/>
        <v>69.582857142857151</v>
      </c>
      <c r="AB72" s="1833">
        <f t="shared" si="616"/>
        <v>76.062857142857155</v>
      </c>
      <c r="AC72" s="1834">
        <f t="shared" si="616"/>
        <v>82.542857142857159</v>
      </c>
      <c r="AD72" s="1833">
        <f t="shared" si="616"/>
        <v>89.100000000000009</v>
      </c>
      <c r="AE72" s="1833">
        <f t="shared" si="616"/>
        <v>96.12</v>
      </c>
      <c r="AF72" s="1833">
        <f t="shared" si="616"/>
        <v>103.68000000000002</v>
      </c>
      <c r="AG72" s="1834">
        <f t="shared" si="616"/>
        <v>111.78000000000002</v>
      </c>
      <c r="AH72" s="1833">
        <f t="shared" si="616"/>
        <v>119.88</v>
      </c>
      <c r="AI72" s="1833">
        <f t="shared" si="616"/>
        <v>127.97999999999999</v>
      </c>
      <c r="AJ72" s="1833">
        <f t="shared" si="616"/>
        <v>136.08000000000001</v>
      </c>
      <c r="AK72" s="1834">
        <f t="shared" si="616"/>
        <v>144.18</v>
      </c>
      <c r="AL72" s="1833">
        <f t="shared" si="616"/>
        <v>179.56349999999998</v>
      </c>
      <c r="AM72" s="1833">
        <f t="shared" si="616"/>
        <v>189.08099999999999</v>
      </c>
      <c r="AN72" s="1844">
        <f t="shared" si="616"/>
        <v>198.5985</v>
      </c>
      <c r="AO72" s="1845">
        <f t="shared" si="616"/>
        <v>208.11600000000001</v>
      </c>
      <c r="AP72" s="1833">
        <f>AO52*(AP78*90%)/4</f>
        <v>258.45682499999998</v>
      </c>
      <c r="AQ72" s="1833">
        <f t="shared" si="616"/>
        <v>269.59432499999997</v>
      </c>
      <c r="AR72" s="1844">
        <f t="shared" si="616"/>
        <v>280.73182499999996</v>
      </c>
      <c r="AS72" s="1845">
        <f t="shared" si="616"/>
        <v>293.35432500000002</v>
      </c>
      <c r="AT72" s="1844">
        <f t="shared" si="616"/>
        <v>325.24395749999996</v>
      </c>
      <c r="AU72" s="1844">
        <f t="shared" si="616"/>
        <v>338.49758249999996</v>
      </c>
      <c r="AV72" s="1844">
        <f t="shared" si="616"/>
        <v>351.75120749999996</v>
      </c>
      <c r="AW72" s="1845">
        <f t="shared" si="616"/>
        <v>366.56408249999998</v>
      </c>
      <c r="AX72" s="1844">
        <f t="shared" si="616"/>
        <v>400.3737134512499</v>
      </c>
      <c r="AY72" s="1844">
        <f t="shared" si="616"/>
        <v>412.5241690762499</v>
      </c>
      <c r="AZ72" s="1844">
        <f t="shared" si="616"/>
        <v>424.67462470124991</v>
      </c>
      <c r="BA72" s="1845">
        <f t="shared" si="616"/>
        <v>438.44514107624991</v>
      </c>
      <c r="BB72" s="1799"/>
      <c r="BC72" s="1710"/>
      <c r="BD72" s="1567"/>
      <c r="BE72" s="1567"/>
      <c r="BF72" s="1567"/>
      <c r="BG72" s="1567"/>
      <c r="BH72" s="1671"/>
      <c r="BI72" s="1827">
        <f>SUM(V72:Y72)</f>
        <v>148.34055505004551</v>
      </c>
      <c r="BJ72" s="1827">
        <f>SUM(Z72:AC72)</f>
        <v>291.8314285714286</v>
      </c>
      <c r="BK72" s="1827">
        <f>SUM(AD72:AG72)</f>
        <v>400.68000000000006</v>
      </c>
      <c r="BL72" s="1827">
        <f>SUM(AH72:AK72)</f>
        <v>528.12</v>
      </c>
      <c r="BM72" s="1827">
        <f>SUM(AL72:AO72)</f>
        <v>775.35899999999992</v>
      </c>
      <c r="BN72" s="1827">
        <f>SUM(AP72:AS72)</f>
        <v>1102.1372999999999</v>
      </c>
      <c r="BO72" s="1827">
        <f>SUM(AT72:AW72)</f>
        <v>1382.05683</v>
      </c>
      <c r="BP72" s="1828">
        <f>SUM(AX72:BA72)</f>
        <v>1676.0176483049997</v>
      </c>
      <c r="BR72" s="1483"/>
      <c r="BS72" s="1483"/>
      <c r="BT72" s="1483"/>
      <c r="BU72" s="1672"/>
    </row>
    <row r="73" spans="1:73" s="304" customFormat="1" ht="11.65" hidden="1" customHeight="1" outlineLevel="1">
      <c r="A73" s="1700" t="s">
        <v>507</v>
      </c>
      <c r="B73" s="1110"/>
      <c r="C73" s="1108"/>
      <c r="D73" s="1108"/>
      <c r="E73" s="1109"/>
      <c r="F73" s="1108"/>
      <c r="G73" s="1108"/>
      <c r="H73" s="1108"/>
      <c r="I73" s="1109"/>
      <c r="J73" s="1108"/>
      <c r="K73" s="1108"/>
      <c r="L73" s="1108"/>
      <c r="M73" s="1109"/>
      <c r="N73" s="1110"/>
      <c r="O73" s="1110"/>
      <c r="P73" s="1110"/>
      <c r="Q73" s="1111"/>
      <c r="R73" s="1110"/>
      <c r="S73" s="1569"/>
      <c r="T73" s="1569"/>
      <c r="U73" s="1570"/>
      <c r="V73" s="1569"/>
      <c r="W73" s="1569"/>
      <c r="X73" s="1569"/>
      <c r="Y73" s="1570"/>
      <c r="Z73" s="1829">
        <f>Z72/V72-1</f>
        <v>1.0933333333333328</v>
      </c>
      <c r="AA73" s="1829">
        <f t="shared" ref="AA73:BA73" si="617">AA72/W72-1</f>
        <v>0.99620110865604516</v>
      </c>
      <c r="AB73" s="1829">
        <f t="shared" si="617"/>
        <v>0.93481942543604757</v>
      </c>
      <c r="AC73" s="1830">
        <f t="shared" si="617"/>
        <v>0.88593352249923552</v>
      </c>
      <c r="AD73" s="1829">
        <f t="shared" si="617"/>
        <v>0.40000000000000013</v>
      </c>
      <c r="AE73" s="1829">
        <f t="shared" si="617"/>
        <v>0.38137472283813745</v>
      </c>
      <c r="AF73" s="1829">
        <f t="shared" si="617"/>
        <v>0.36308316430020282</v>
      </c>
      <c r="AG73" s="1830">
        <f t="shared" si="617"/>
        <v>0.35420560747663554</v>
      </c>
      <c r="AH73" s="1829">
        <f t="shared" si="617"/>
        <v>0.34545454545454524</v>
      </c>
      <c r="AI73" s="1829">
        <f t="shared" si="617"/>
        <v>0.33146067415730318</v>
      </c>
      <c r="AJ73" s="1829">
        <f t="shared" si="617"/>
        <v>0.31249999999999978</v>
      </c>
      <c r="AK73" s="1830">
        <f t="shared" si="617"/>
        <v>0.28985507246376807</v>
      </c>
      <c r="AL73" s="1829">
        <f t="shared" si="617"/>
        <v>0.49786036036036019</v>
      </c>
      <c r="AM73" s="1829">
        <f t="shared" si="617"/>
        <v>0.4774261603375527</v>
      </c>
      <c r="AN73" s="1831">
        <f t="shared" si="617"/>
        <v>0.45942460317460299</v>
      </c>
      <c r="AO73" s="1753">
        <f t="shared" si="617"/>
        <v>0.44344569288389524</v>
      </c>
      <c r="AP73" s="1829">
        <f t="shared" si="617"/>
        <v>0.43936170212765968</v>
      </c>
      <c r="AQ73" s="1829">
        <f t="shared" si="617"/>
        <v>0.42581393688419245</v>
      </c>
      <c r="AR73" s="1831">
        <f t="shared" si="617"/>
        <v>0.41356467949153664</v>
      </c>
      <c r="AS73" s="1753">
        <f t="shared" si="617"/>
        <v>0.40957122470160878</v>
      </c>
      <c r="AT73" s="1831">
        <f t="shared" si="617"/>
        <v>0.25840730845471005</v>
      </c>
      <c r="AU73" s="1831">
        <f t="shared" si="617"/>
        <v>0.25558126084441879</v>
      </c>
      <c r="AV73" s="1831">
        <f t="shared" si="617"/>
        <v>0.25297944933745931</v>
      </c>
      <c r="AW73" s="1753">
        <f t="shared" si="617"/>
        <v>0.24956085955098817</v>
      </c>
      <c r="AX73" s="1831">
        <f t="shared" si="617"/>
        <v>0.23099508605398134</v>
      </c>
      <c r="AY73" s="1831">
        <f t="shared" si="617"/>
        <v>0.21869162559307176</v>
      </c>
      <c r="AZ73" s="1831">
        <f t="shared" si="617"/>
        <v>0.20731532869364755</v>
      </c>
      <c r="BA73" s="1753">
        <f t="shared" si="617"/>
        <v>0.19609411289293432</v>
      </c>
      <c r="BB73" s="1799"/>
      <c r="BC73" s="1710"/>
      <c r="BD73" s="1710"/>
      <c r="BE73" s="1710"/>
      <c r="BF73" s="1710"/>
      <c r="BG73" s="1710"/>
      <c r="BH73" s="1710"/>
      <c r="BI73" s="1808"/>
      <c r="BJ73" s="1808">
        <f>BJ72/BI72-1</f>
        <v>0.96730710946156107</v>
      </c>
      <c r="BK73" s="1808">
        <f>BK72/BJ72-1</f>
        <v>0.37298440391223897</v>
      </c>
      <c r="BL73" s="1809">
        <f>BL72/BK72-1</f>
        <v>0.31805929919137443</v>
      </c>
      <c r="BM73" s="1809">
        <f t="shared" ref="BM73:BP73" si="618">BM72/BL72-1</f>
        <v>0.4681492842535786</v>
      </c>
      <c r="BN73" s="1809">
        <f t="shared" si="618"/>
        <v>0.4214541908973779</v>
      </c>
      <c r="BO73" s="1809">
        <f t="shared" si="618"/>
        <v>0.25397881915438325</v>
      </c>
      <c r="BP73" s="1809">
        <f t="shared" si="618"/>
        <v>0.21269806850489625</v>
      </c>
      <c r="BR73" s="1483"/>
      <c r="BS73" s="1483"/>
      <c r="BT73" s="1483"/>
      <c r="BU73" s="1672"/>
    </row>
    <row r="74" spans="1:73" s="304" customFormat="1" ht="11.65" hidden="1" customHeight="1" outlineLevel="1">
      <c r="A74" s="1700" t="s">
        <v>664</v>
      </c>
      <c r="B74" s="1110"/>
      <c r="C74" s="1108"/>
      <c r="D74" s="1108"/>
      <c r="E74" s="1109"/>
      <c r="F74" s="1108"/>
      <c r="G74" s="1108"/>
      <c r="H74" s="1108"/>
      <c r="I74" s="1109"/>
      <c r="J74" s="1108"/>
      <c r="K74" s="1108"/>
      <c r="L74" s="1108"/>
      <c r="M74" s="1109"/>
      <c r="N74" s="1110"/>
      <c r="O74" s="1110"/>
      <c r="P74" s="1110"/>
      <c r="Q74" s="1111"/>
      <c r="R74" s="1110"/>
      <c r="S74" s="1569"/>
      <c r="T74" s="1569"/>
      <c r="U74" s="1570"/>
      <c r="V74" s="1569"/>
      <c r="W74" s="1569"/>
      <c r="X74" s="1569"/>
      <c r="Y74" s="1570"/>
      <c r="Z74" s="1813">
        <f>Z72-V72</f>
        <v>33.240218380345766</v>
      </c>
      <c r="AA74" s="1813">
        <f t="shared" ref="AA74:BA74" si="619">AA72-W72</f>
        <v>34.725218380345773</v>
      </c>
      <c r="AB74" s="1813">
        <f t="shared" si="619"/>
        <v>36.750218380345778</v>
      </c>
      <c r="AC74" s="1810">
        <f t="shared" si="619"/>
        <v>38.775218380345784</v>
      </c>
      <c r="AD74" s="1813">
        <f t="shared" si="619"/>
        <v>25.457142857142863</v>
      </c>
      <c r="AE74" s="1813">
        <f t="shared" si="619"/>
        <v>26.537142857142854</v>
      </c>
      <c r="AF74" s="1813">
        <f t="shared" si="619"/>
        <v>27.617142857142866</v>
      </c>
      <c r="AG74" s="1810">
        <f t="shared" si="619"/>
        <v>29.237142857142857</v>
      </c>
      <c r="AH74" s="1813">
        <f t="shared" si="619"/>
        <v>30.779999999999987</v>
      </c>
      <c r="AI74" s="1813">
        <f t="shared" si="619"/>
        <v>31.859999999999985</v>
      </c>
      <c r="AJ74" s="1813">
        <f t="shared" si="619"/>
        <v>32.399999999999991</v>
      </c>
      <c r="AK74" s="1810">
        <f t="shared" si="619"/>
        <v>32.399999999999991</v>
      </c>
      <c r="AL74" s="1813">
        <f t="shared" si="619"/>
        <v>59.683499999999981</v>
      </c>
      <c r="AM74" s="1813">
        <f t="shared" si="619"/>
        <v>61.100999999999999</v>
      </c>
      <c r="AN74" s="1825">
        <f t="shared" si="619"/>
        <v>62.518499999999989</v>
      </c>
      <c r="AO74" s="1826">
        <f t="shared" si="619"/>
        <v>63.936000000000007</v>
      </c>
      <c r="AP74" s="1813">
        <f t="shared" si="619"/>
        <v>78.893325000000004</v>
      </c>
      <c r="AQ74" s="1813">
        <f t="shared" si="619"/>
        <v>80.51332499999998</v>
      </c>
      <c r="AR74" s="1825">
        <f t="shared" si="619"/>
        <v>82.133324999999957</v>
      </c>
      <c r="AS74" s="1826">
        <f t="shared" si="619"/>
        <v>85.238325000000003</v>
      </c>
      <c r="AT74" s="1825">
        <f t="shared" si="619"/>
        <v>66.787132499999984</v>
      </c>
      <c r="AU74" s="1825">
        <f t="shared" si="619"/>
        <v>68.903257499999995</v>
      </c>
      <c r="AV74" s="1825">
        <f t="shared" si="619"/>
        <v>71.019382500000006</v>
      </c>
      <c r="AW74" s="1826">
        <f t="shared" si="619"/>
        <v>73.209757499999967</v>
      </c>
      <c r="AX74" s="1825">
        <f t="shared" si="619"/>
        <v>75.129755951249933</v>
      </c>
      <c r="AY74" s="1825">
        <f t="shared" si="619"/>
        <v>74.02658657624994</v>
      </c>
      <c r="AZ74" s="1825">
        <f t="shared" si="619"/>
        <v>72.923417201249947</v>
      </c>
      <c r="BA74" s="1826">
        <f t="shared" si="619"/>
        <v>71.881058576249927</v>
      </c>
      <c r="BB74" s="1799"/>
      <c r="BC74" s="1710"/>
      <c r="BD74" s="1710"/>
      <c r="BE74" s="1710"/>
      <c r="BF74" s="1710"/>
      <c r="BG74" s="1710"/>
      <c r="BH74" s="1710"/>
      <c r="BI74" s="1764"/>
      <c r="BJ74" s="1764">
        <f>BJ72-BI72</f>
        <v>143.49087352138309</v>
      </c>
      <c r="BK74" s="1764">
        <f t="shared" ref="BK74:BL74" si="620">BK72-BJ72</f>
        <v>108.84857142857146</v>
      </c>
      <c r="BL74" s="1764">
        <f t="shared" si="620"/>
        <v>127.43999999999994</v>
      </c>
      <c r="BM74" s="1764">
        <f t="shared" ref="BM74:BP74" si="621">BM72-BL72</f>
        <v>247.23899999999992</v>
      </c>
      <c r="BN74" s="1764">
        <f t="shared" si="621"/>
        <v>326.77829999999994</v>
      </c>
      <c r="BO74" s="1764">
        <f t="shared" si="621"/>
        <v>279.91953000000012</v>
      </c>
      <c r="BP74" s="1764">
        <f t="shared" si="621"/>
        <v>293.96081830499975</v>
      </c>
      <c r="BR74" s="1483"/>
      <c r="BS74" s="1483"/>
      <c r="BT74" s="1483"/>
      <c r="BU74" s="1672"/>
    </row>
    <row r="75" spans="1:73" s="304" customFormat="1" ht="11.65" hidden="1" customHeight="1" outlineLevel="1">
      <c r="A75" s="1700" t="s">
        <v>667</v>
      </c>
      <c r="B75" s="1110"/>
      <c r="C75" s="1108"/>
      <c r="D75" s="1108"/>
      <c r="E75" s="1109"/>
      <c r="F75" s="1108"/>
      <c r="G75" s="1108"/>
      <c r="H75" s="1108"/>
      <c r="I75" s="1109"/>
      <c r="J75" s="1108"/>
      <c r="K75" s="1108"/>
      <c r="L75" s="1108"/>
      <c r="M75" s="1109"/>
      <c r="N75" s="1110"/>
      <c r="O75" s="1110"/>
      <c r="P75" s="1110"/>
      <c r="Q75" s="1111"/>
      <c r="R75" s="1110"/>
      <c r="S75" s="1569"/>
      <c r="T75" s="1569"/>
      <c r="U75" s="1570"/>
      <c r="V75" s="1569"/>
      <c r="W75" s="1569"/>
      <c r="X75" s="1569"/>
      <c r="Y75" s="1570"/>
      <c r="Z75" s="1552">
        <f t="shared" ref="Z75:BA75" si="622">Z72/Z42</f>
        <v>0.70714285714285718</v>
      </c>
      <c r="AA75" s="1552">
        <f t="shared" si="622"/>
        <v>0.69582857142857146</v>
      </c>
      <c r="AB75" s="1552">
        <f t="shared" si="622"/>
        <v>0.69148051948051958</v>
      </c>
      <c r="AC75" s="1553">
        <f t="shared" si="622"/>
        <v>0.69830680540952106</v>
      </c>
      <c r="AD75" s="1552">
        <f t="shared" si="622"/>
        <v>0.68169149552424768</v>
      </c>
      <c r="AE75" s="1552">
        <f t="shared" si="622"/>
        <v>0.67120896222180093</v>
      </c>
      <c r="AF75" s="1552">
        <f t="shared" si="622"/>
        <v>0.65535519175026868</v>
      </c>
      <c r="AG75" s="1553">
        <f t="shared" si="622"/>
        <v>0.63700604067277811</v>
      </c>
      <c r="AH75" s="1552">
        <f t="shared" si="622"/>
        <v>0.63773711089494167</v>
      </c>
      <c r="AI75" s="1552">
        <f t="shared" si="622"/>
        <v>0.63837701483603404</v>
      </c>
      <c r="AJ75" s="1552">
        <f t="shared" si="622"/>
        <v>0.63894180462021422</v>
      </c>
      <c r="AK75" s="1553">
        <f t="shared" si="622"/>
        <v>0.62263007318182861</v>
      </c>
      <c r="AL75" s="1552">
        <f t="shared" si="622"/>
        <v>0.64926076822252476</v>
      </c>
      <c r="AM75" s="1552">
        <f t="shared" si="622"/>
        <v>0.65410997238644142</v>
      </c>
      <c r="AN75" s="1865">
        <f t="shared" si="622"/>
        <v>0.66406228915015186</v>
      </c>
      <c r="AO75" s="1866">
        <f t="shared" si="622"/>
        <v>0.65226615624842588</v>
      </c>
      <c r="AP75" s="1552">
        <f t="shared" ref="AP75:AQ75" si="623">AP72/AP42</f>
        <v>0.70991736193881583</v>
      </c>
      <c r="AQ75" s="1552">
        <f t="shared" si="623"/>
        <v>0.71592834685622408</v>
      </c>
      <c r="AR75" s="1865">
        <f t="shared" si="622"/>
        <v>0.68174289053228887</v>
      </c>
      <c r="AS75" s="1866">
        <f t="shared" si="622"/>
        <v>0.67673413772192703</v>
      </c>
      <c r="AT75" s="1865">
        <f t="shared" si="622"/>
        <v>0.68034758865109191</v>
      </c>
      <c r="AU75" s="1865">
        <f t="shared" si="622"/>
        <v>0.68753791731627745</v>
      </c>
      <c r="AV75" s="1865">
        <f t="shared" si="622"/>
        <v>0.64262936931522818</v>
      </c>
      <c r="AW75" s="1866">
        <f t="shared" si="622"/>
        <v>0.64832072333035473</v>
      </c>
      <c r="AX75" s="1865">
        <f t="shared" si="622"/>
        <v>0.66394328903333089</v>
      </c>
      <c r="AY75" s="1865">
        <f t="shared" si="622"/>
        <v>0.67146553816174193</v>
      </c>
      <c r="AZ75" s="1865">
        <f t="shared" si="622"/>
        <v>0.6033865113120821</v>
      </c>
      <c r="BA75" s="1866">
        <f t="shared" si="622"/>
        <v>0.61800028872853863</v>
      </c>
      <c r="BB75" s="1799"/>
      <c r="BC75" s="1710"/>
      <c r="BD75" s="1710"/>
      <c r="BE75" s="1710"/>
      <c r="BF75" s="1710"/>
      <c r="BG75" s="1710"/>
      <c r="BH75" s="1710"/>
      <c r="BI75" s="1809">
        <f t="shared" ref="BI75:BP75" si="624">BI72/BI42</f>
        <v>0.61218245805348337</v>
      </c>
      <c r="BJ75" s="1809">
        <f t="shared" si="624"/>
        <v>0.69782027238909217</v>
      </c>
      <c r="BK75" s="1809">
        <f t="shared" si="624"/>
        <v>0.65945785809509705</v>
      </c>
      <c r="BL75" s="1809">
        <f t="shared" si="624"/>
        <v>0.63399950179922504</v>
      </c>
      <c r="BM75" s="1809">
        <f t="shared" si="624"/>
        <v>0.65499441853168139</v>
      </c>
      <c r="BN75" s="1809">
        <f t="shared" si="624"/>
        <v>0.69495885123573675</v>
      </c>
      <c r="BO75" s="1809">
        <f t="shared" si="624"/>
        <v>0.66344359354923821</v>
      </c>
      <c r="BP75" s="1809">
        <f t="shared" si="624"/>
        <v>0.63710816259209435</v>
      </c>
      <c r="BR75" s="1483"/>
      <c r="BS75" s="1483"/>
      <c r="BT75" s="1483"/>
      <c r="BU75" s="1672"/>
    </row>
    <row r="76" spans="1:73" s="304" customFormat="1" ht="11.65" hidden="1" customHeight="1" outlineLevel="1">
      <c r="A76" s="1700" t="s">
        <v>669</v>
      </c>
      <c r="B76" s="1110"/>
      <c r="C76" s="1108"/>
      <c r="D76" s="1108"/>
      <c r="E76" s="1109"/>
      <c r="F76" s="1108"/>
      <c r="G76" s="1108"/>
      <c r="H76" s="1108"/>
      <c r="I76" s="1109"/>
      <c r="J76" s="1108"/>
      <c r="K76" s="1108"/>
      <c r="L76" s="1108"/>
      <c r="M76" s="1109"/>
      <c r="N76" s="1110"/>
      <c r="O76" s="1110"/>
      <c r="P76" s="1110"/>
      <c r="Q76" s="1111"/>
      <c r="R76" s="1110"/>
      <c r="S76" s="1569"/>
      <c r="T76" s="1569"/>
      <c r="U76" s="1570"/>
      <c r="V76" s="1569"/>
      <c r="W76" s="1569"/>
      <c r="X76" s="1569"/>
      <c r="Y76" s="1570"/>
      <c r="Z76" s="1552">
        <f t="shared" ref="Z76:BA76" si="625">Z72/Z63</f>
        <v>0.12262592898431049</v>
      </c>
      <c r="AA76" s="1552">
        <f t="shared" si="625"/>
        <v>0.12720814834160357</v>
      </c>
      <c r="AB76" s="1552">
        <f t="shared" si="625"/>
        <v>0.1315966386554622</v>
      </c>
      <c r="AC76" s="1553">
        <f t="shared" si="625"/>
        <v>0.13249254758083012</v>
      </c>
      <c r="AD76" s="1552">
        <f t="shared" si="625"/>
        <v>0.13338323353293413</v>
      </c>
      <c r="AE76" s="1552">
        <f t="shared" si="625"/>
        <v>0.13810344827586207</v>
      </c>
      <c r="AF76" s="1552">
        <f t="shared" si="625"/>
        <v>0.14340248962655605</v>
      </c>
      <c r="AG76" s="1553">
        <f t="shared" si="625"/>
        <v>0.1466929133858268</v>
      </c>
      <c r="AH76" s="1552">
        <f t="shared" si="625"/>
        <v>0.15022556390977443</v>
      </c>
      <c r="AI76" s="1552">
        <f t="shared" si="625"/>
        <v>0.15493946731234864</v>
      </c>
      <c r="AJ76" s="1552">
        <f t="shared" si="625"/>
        <v>0.15823255813953491</v>
      </c>
      <c r="AK76" s="1553">
        <f t="shared" si="625"/>
        <v>0.16109497206703913</v>
      </c>
      <c r="AL76" s="1552">
        <f t="shared" si="625"/>
        <v>0.18607616580310879</v>
      </c>
      <c r="AM76" s="1552">
        <f t="shared" si="625"/>
        <v>0.18758035714285712</v>
      </c>
      <c r="AN76" s="1865">
        <f t="shared" si="625"/>
        <v>0.19022844827586208</v>
      </c>
      <c r="AO76" s="1866">
        <f t="shared" si="625"/>
        <v>0.18868177697189484</v>
      </c>
      <c r="AP76" s="1552">
        <f t="shared" ref="AP76:AQ76" si="626">AP72/AP63</f>
        <v>0.21430914179104477</v>
      </c>
      <c r="AQ76" s="1552">
        <f t="shared" si="626"/>
        <v>0.21602109374999998</v>
      </c>
      <c r="AR76" s="1865">
        <f t="shared" si="625"/>
        <v>0.22850849382193494</v>
      </c>
      <c r="AS76" s="1866">
        <f t="shared" si="625"/>
        <v>0.22616866220529508</v>
      </c>
      <c r="AT76" s="1865">
        <f t="shared" si="625"/>
        <v>0.22681917764752235</v>
      </c>
      <c r="AU76" s="1865">
        <f t="shared" si="625"/>
        <v>0.21722168983964793</v>
      </c>
      <c r="AV76" s="1865">
        <f t="shared" si="625"/>
        <v>0.24221666531700634</v>
      </c>
      <c r="AW76" s="1866">
        <f t="shared" si="625"/>
        <v>0.2435285431991944</v>
      </c>
      <c r="AX76" s="1865">
        <f t="shared" si="625"/>
        <v>0.23469895008190084</v>
      </c>
      <c r="AY76" s="1865">
        <f t="shared" si="625"/>
        <v>0.21374400160520632</v>
      </c>
      <c r="AZ76" s="1865">
        <f t="shared" si="625"/>
        <v>0.2483251942385101</v>
      </c>
      <c r="BA76" s="1866">
        <f t="shared" si="625"/>
        <v>0.25209637482427638</v>
      </c>
      <c r="BB76" s="1799"/>
      <c r="BC76" s="1710"/>
      <c r="BD76" s="1567"/>
      <c r="BE76" s="1567"/>
      <c r="BF76" s="1567"/>
      <c r="BG76" s="1567"/>
      <c r="BH76" s="1567"/>
      <c r="BI76" s="1858">
        <f t="shared" ref="BI76:BP76" si="627">BI72/BI63</f>
        <v>8.7310509152469393E-2</v>
      </c>
      <c r="BJ76" s="1858">
        <f t="shared" si="627"/>
        <v>0.12873022874787324</v>
      </c>
      <c r="BK76" s="1858">
        <f t="shared" si="627"/>
        <v>0.14063882063882066</v>
      </c>
      <c r="BL76" s="1858">
        <f t="shared" si="627"/>
        <v>0.15629476176383544</v>
      </c>
      <c r="BM76" s="1858">
        <f t="shared" si="627"/>
        <v>0.18819393203883494</v>
      </c>
      <c r="BN76" s="1858">
        <f t="shared" si="627"/>
        <v>0.22133048839264194</v>
      </c>
      <c r="BO76" s="1858">
        <f t="shared" si="627"/>
        <v>0.23229106459589716</v>
      </c>
      <c r="BP76" s="1858">
        <f t="shared" si="627"/>
        <v>0.23655035412390546</v>
      </c>
      <c r="BR76" s="1483"/>
      <c r="BS76" s="1483"/>
      <c r="BT76" s="1483"/>
      <c r="BU76" s="1672"/>
    </row>
    <row r="77" spans="1:73" s="304" customFormat="1" ht="11.65" hidden="1" customHeight="1" outlineLevel="1">
      <c r="A77" s="1700"/>
      <c r="B77" s="836"/>
      <c r="C77" s="837"/>
      <c r="D77" s="837"/>
      <c r="E77" s="838"/>
      <c r="F77" s="837"/>
      <c r="G77" s="837"/>
      <c r="H77" s="837"/>
      <c r="I77" s="838"/>
      <c r="J77" s="837"/>
      <c r="K77" s="837"/>
      <c r="L77" s="837"/>
      <c r="M77" s="838"/>
      <c r="N77" s="836"/>
      <c r="O77" s="836"/>
      <c r="P77" s="836"/>
      <c r="Q77" s="1041"/>
      <c r="R77" s="836"/>
      <c r="S77" s="1294"/>
      <c r="T77" s="1294"/>
      <c r="U77" s="1557"/>
      <c r="V77" s="1813"/>
      <c r="W77" s="1813"/>
      <c r="X77" s="1813"/>
      <c r="Y77" s="1810"/>
      <c r="Z77" s="1813"/>
      <c r="AA77" s="1813"/>
      <c r="AB77" s="1813"/>
      <c r="AC77" s="1810"/>
      <c r="AD77" s="1813"/>
      <c r="AE77" s="1813"/>
      <c r="AF77" s="1813"/>
      <c r="AG77" s="1810"/>
      <c r="AH77" s="1813"/>
      <c r="AI77" s="1813"/>
      <c r="AJ77" s="1813"/>
      <c r="AK77" s="1810"/>
      <c r="AL77" s="1813"/>
      <c r="AM77" s="1813"/>
      <c r="AN77" s="1825"/>
      <c r="AO77" s="1826"/>
      <c r="AP77" s="1813"/>
      <c r="AQ77" s="1813"/>
      <c r="AR77" s="1825"/>
      <c r="AS77" s="1826"/>
      <c r="AT77" s="1825"/>
      <c r="AU77" s="1825"/>
      <c r="AV77" s="1825"/>
      <c r="AW77" s="1826"/>
      <c r="AX77" s="1825"/>
      <c r="AY77" s="1825"/>
      <c r="AZ77" s="1825"/>
      <c r="BA77" s="1826"/>
      <c r="BB77" s="1799"/>
      <c r="BC77" s="1710"/>
      <c r="BD77" s="1119"/>
      <c r="BE77" s="1119"/>
      <c r="BF77" s="1119"/>
      <c r="BG77" s="1119"/>
      <c r="BH77" s="1057"/>
      <c r="BI77" s="1057"/>
      <c r="BJ77" s="1057"/>
      <c r="BK77" s="1057"/>
      <c r="BL77" s="1057"/>
      <c r="BM77" s="1057"/>
      <c r="BN77" s="1057"/>
      <c r="BO77" s="1057"/>
      <c r="BP77" s="1057"/>
      <c r="BR77" s="1483"/>
      <c r="BS77" s="1483"/>
      <c r="BT77" s="1483"/>
      <c r="BU77" s="1675"/>
    </row>
    <row r="78" spans="1:73" s="304" customFormat="1" ht="11.65" hidden="1" customHeight="1" outlineLevel="1">
      <c r="A78" s="1889" t="s">
        <v>673</v>
      </c>
      <c r="B78" s="1110"/>
      <c r="C78" s="1108"/>
      <c r="D78" s="1108"/>
      <c r="E78" s="1109"/>
      <c r="F78" s="1108"/>
      <c r="G78" s="1108"/>
      <c r="H78" s="1108"/>
      <c r="I78" s="1109"/>
      <c r="J78" s="1108"/>
      <c r="K78" s="1108"/>
      <c r="L78" s="1108"/>
      <c r="M78" s="1109"/>
      <c r="N78" s="1110"/>
      <c r="O78" s="1110"/>
      <c r="P78" s="1110"/>
      <c r="Q78" s="1111"/>
      <c r="R78" s="1110"/>
      <c r="S78" s="1569"/>
      <c r="T78" s="1569"/>
      <c r="U78" s="1570"/>
      <c r="V78" s="1835">
        <v>1800</v>
      </c>
      <c r="W78" s="1835">
        <v>1800</v>
      </c>
      <c r="X78" s="1835">
        <v>1800</v>
      </c>
      <c r="Y78" s="1836">
        <v>1800</v>
      </c>
      <c r="Z78" s="1835">
        <f>AD78</f>
        <v>2400</v>
      </c>
      <c r="AA78" s="1835">
        <f t="shared" ref="AA78" si="628">AE78</f>
        <v>2400</v>
      </c>
      <c r="AB78" s="1835">
        <f t="shared" ref="AB78" si="629">AF78</f>
        <v>2400</v>
      </c>
      <c r="AC78" s="1836">
        <f t="shared" ref="AC78" si="630">AG78</f>
        <v>2400</v>
      </c>
      <c r="AD78" s="1835">
        <f>AH78</f>
        <v>2400</v>
      </c>
      <c r="AE78" s="1835">
        <f t="shared" ref="AE78:AG78" si="631">AI78</f>
        <v>2400</v>
      </c>
      <c r="AF78" s="1835">
        <f t="shared" si="631"/>
        <v>2400</v>
      </c>
      <c r="AG78" s="1836">
        <f t="shared" si="631"/>
        <v>2400</v>
      </c>
      <c r="AH78" s="1835">
        <v>2400</v>
      </c>
      <c r="AI78" s="1835">
        <f>AH78</f>
        <v>2400</v>
      </c>
      <c r="AJ78" s="1835">
        <f t="shared" ref="AJ78:AK78" si="632">AI78</f>
        <v>2400</v>
      </c>
      <c r="AK78" s="1836">
        <f t="shared" si="632"/>
        <v>2400</v>
      </c>
      <c r="AL78" s="1837">
        <v>2820</v>
      </c>
      <c r="AM78" s="1835">
        <v>2820</v>
      </c>
      <c r="AN78" s="1835">
        <v>2820</v>
      </c>
      <c r="AO78" s="1836">
        <v>2820</v>
      </c>
      <c r="AP78" s="1837">
        <v>3300</v>
      </c>
      <c r="AQ78" s="1835">
        <v>3300</v>
      </c>
      <c r="AR78" s="1835">
        <v>3300</v>
      </c>
      <c r="AS78" s="1836">
        <v>3300</v>
      </c>
      <c r="AT78" s="1838">
        <f>AP78*(1+AT79)</f>
        <v>3465</v>
      </c>
      <c r="AU78" s="1838">
        <f t="shared" ref="AU78:BA78" si="633">AQ78*(1+AU79)</f>
        <v>3465</v>
      </c>
      <c r="AV78" s="1838">
        <f t="shared" si="633"/>
        <v>3465</v>
      </c>
      <c r="AW78" s="1839">
        <f t="shared" si="633"/>
        <v>3465</v>
      </c>
      <c r="AX78" s="1838">
        <f t="shared" si="633"/>
        <v>3600.1349999999998</v>
      </c>
      <c r="AY78" s="1838">
        <f t="shared" si="633"/>
        <v>3600.1349999999998</v>
      </c>
      <c r="AZ78" s="1838">
        <f t="shared" si="633"/>
        <v>3600.1349999999998</v>
      </c>
      <c r="BA78" s="1839">
        <f t="shared" si="633"/>
        <v>3600.1349999999998</v>
      </c>
      <c r="BB78" s="1799"/>
      <c r="BC78" s="1710"/>
      <c r="BD78" s="1859"/>
      <c r="BE78" s="1859"/>
      <c r="BF78" s="1860"/>
      <c r="BG78" s="1861"/>
      <c r="BH78" s="1859"/>
      <c r="BI78" s="1868">
        <f>+Y78</f>
        <v>1800</v>
      </c>
      <c r="BJ78" s="1868">
        <f>+AC78</f>
        <v>2400</v>
      </c>
      <c r="BK78" s="1868">
        <f>+AG78</f>
        <v>2400</v>
      </c>
      <c r="BL78" s="1868">
        <f>+AK78</f>
        <v>2400</v>
      </c>
      <c r="BM78" s="1868">
        <f>AO78</f>
        <v>2820</v>
      </c>
      <c r="BN78" s="1868">
        <f>AS78</f>
        <v>3300</v>
      </c>
      <c r="BO78" s="1859">
        <f>AW78</f>
        <v>3465</v>
      </c>
      <c r="BP78" s="1859">
        <f>BA78</f>
        <v>3600.1349999999998</v>
      </c>
      <c r="BR78" s="1483"/>
      <c r="BS78" s="1483"/>
      <c r="BT78" s="1483"/>
      <c r="BU78" s="1672"/>
    </row>
    <row r="79" spans="1:73" s="304" customFormat="1" ht="11.65" hidden="1" customHeight="1" outlineLevel="1">
      <c r="A79" s="1890" t="s">
        <v>507</v>
      </c>
      <c r="B79" s="836"/>
      <c r="C79" s="837"/>
      <c r="D79" s="837"/>
      <c r="E79" s="838"/>
      <c r="F79" s="837"/>
      <c r="G79" s="837"/>
      <c r="H79" s="837"/>
      <c r="I79" s="838"/>
      <c r="J79" s="837"/>
      <c r="K79" s="837"/>
      <c r="L79" s="837"/>
      <c r="M79" s="838"/>
      <c r="N79" s="836"/>
      <c r="O79" s="836"/>
      <c r="P79" s="836"/>
      <c r="Q79" s="1041"/>
      <c r="R79" s="836"/>
      <c r="S79" s="1294"/>
      <c r="T79" s="1294"/>
      <c r="U79" s="1557"/>
      <c r="V79" s="1821" t="e">
        <f>V78/R78-1</f>
        <v>#DIV/0!</v>
      </c>
      <c r="W79" s="1821" t="e">
        <f t="shared" ref="W79" si="634">W78/S78-1</f>
        <v>#DIV/0!</v>
      </c>
      <c r="X79" s="1821" t="e">
        <f t="shared" ref="X79" si="635">X78/T78-1</f>
        <v>#DIV/0!</v>
      </c>
      <c r="Y79" s="1822" t="e">
        <f t="shared" ref="Y79" si="636">Y78/U78-1</f>
        <v>#DIV/0!</v>
      </c>
      <c r="Z79" s="1821">
        <f>Z78/V78-1</f>
        <v>0.33333333333333326</v>
      </c>
      <c r="AA79" s="1821">
        <f t="shared" ref="AA79:AS79" si="637">AA78/W78-1</f>
        <v>0.33333333333333326</v>
      </c>
      <c r="AB79" s="1821">
        <f t="shared" si="637"/>
        <v>0.33333333333333326</v>
      </c>
      <c r="AC79" s="1822">
        <f t="shared" si="637"/>
        <v>0.33333333333333326</v>
      </c>
      <c r="AD79" s="1821">
        <f t="shared" si="637"/>
        <v>0</v>
      </c>
      <c r="AE79" s="1821">
        <f t="shared" si="637"/>
        <v>0</v>
      </c>
      <c r="AF79" s="1821">
        <f t="shared" si="637"/>
        <v>0</v>
      </c>
      <c r="AG79" s="1822">
        <f t="shared" si="637"/>
        <v>0</v>
      </c>
      <c r="AH79" s="1821">
        <f t="shared" si="637"/>
        <v>0</v>
      </c>
      <c r="AI79" s="1821">
        <f t="shared" si="637"/>
        <v>0</v>
      </c>
      <c r="AJ79" s="1821">
        <f t="shared" si="637"/>
        <v>0</v>
      </c>
      <c r="AK79" s="1822">
        <f t="shared" si="637"/>
        <v>0</v>
      </c>
      <c r="AL79" s="1821">
        <f t="shared" si="637"/>
        <v>0.17500000000000004</v>
      </c>
      <c r="AM79" s="1821">
        <f t="shared" si="637"/>
        <v>0.17500000000000004</v>
      </c>
      <c r="AN79" s="1823">
        <f t="shared" si="637"/>
        <v>0.17500000000000004</v>
      </c>
      <c r="AO79" s="1824">
        <f t="shared" si="637"/>
        <v>0.17500000000000004</v>
      </c>
      <c r="AP79" s="1821">
        <f t="shared" si="637"/>
        <v>0.17021276595744683</v>
      </c>
      <c r="AQ79" s="1821">
        <f t="shared" si="637"/>
        <v>0.17021276595744683</v>
      </c>
      <c r="AR79" s="1823">
        <f t="shared" si="637"/>
        <v>0.17021276595744683</v>
      </c>
      <c r="AS79" s="1824">
        <f t="shared" si="637"/>
        <v>0.17021276595744683</v>
      </c>
      <c r="AT79" s="1832">
        <v>0.05</v>
      </c>
      <c r="AU79" s="1832">
        <v>0.05</v>
      </c>
      <c r="AV79" s="1832">
        <v>0.05</v>
      </c>
      <c r="AW79" s="1752">
        <v>0.05</v>
      </c>
      <c r="AX79" s="1832">
        <v>3.9E-2</v>
      </c>
      <c r="AY79" s="1832">
        <v>3.9E-2</v>
      </c>
      <c r="AZ79" s="1832">
        <v>3.9E-2</v>
      </c>
      <c r="BA79" s="1752">
        <v>3.9E-2</v>
      </c>
      <c r="BB79" s="1799"/>
      <c r="BC79" s="1710"/>
      <c r="BD79" s="1119"/>
      <c r="BE79" s="1119"/>
      <c r="BF79" s="1119"/>
      <c r="BG79" s="1119"/>
      <c r="BH79" s="1119"/>
      <c r="BI79" s="1119"/>
      <c r="BJ79" s="1808">
        <f>BJ78/BI78-1</f>
        <v>0.33333333333333326</v>
      </c>
      <c r="BK79" s="1808">
        <f>BK78/BJ78-1</f>
        <v>0</v>
      </c>
      <c r="BL79" s="1809">
        <f>BL78/BK78-1</f>
        <v>0</v>
      </c>
      <c r="BM79" s="1809">
        <f t="shared" ref="BM79" si="638">BM78/BL78-1</f>
        <v>0.17500000000000004</v>
      </c>
      <c r="BN79" s="1809">
        <f t="shared" ref="BN79" si="639">BN78/BM78-1</f>
        <v>0.17021276595744683</v>
      </c>
      <c r="BO79" s="1809">
        <f t="shared" ref="BO79" si="640">BO78/BN78-1</f>
        <v>5.0000000000000044E-2</v>
      </c>
      <c r="BP79" s="1809">
        <f t="shared" ref="BP79" si="641">BP78/BO78-1</f>
        <v>3.8999999999999924E-2</v>
      </c>
      <c r="BR79" s="1483"/>
      <c r="BS79" s="1483"/>
      <c r="BT79" s="1483"/>
      <c r="BU79" s="1675"/>
    </row>
    <row r="80" spans="1:73" s="304" customFormat="1" ht="11.65" hidden="1" customHeight="1" outlineLevel="1">
      <c r="A80" s="1732"/>
      <c r="B80" s="836"/>
      <c r="C80" s="837"/>
      <c r="D80" s="837"/>
      <c r="E80" s="838"/>
      <c r="F80" s="837"/>
      <c r="G80" s="837"/>
      <c r="H80" s="837"/>
      <c r="I80" s="838"/>
      <c r="J80" s="837"/>
      <c r="K80" s="837"/>
      <c r="L80" s="837"/>
      <c r="M80" s="838"/>
      <c r="N80" s="836"/>
      <c r="O80" s="836"/>
      <c r="P80" s="836"/>
      <c r="Q80" s="1041"/>
      <c r="R80" s="836"/>
      <c r="S80" s="1294"/>
      <c r="T80" s="1294"/>
      <c r="U80" s="1557"/>
      <c r="V80" s="1821"/>
      <c r="W80" s="1821"/>
      <c r="X80" s="1821"/>
      <c r="Y80" s="1822"/>
      <c r="Z80" s="1821"/>
      <c r="AA80" s="1821"/>
      <c r="AB80" s="1821"/>
      <c r="AC80" s="1822"/>
      <c r="AD80" s="1821"/>
      <c r="AE80" s="1821"/>
      <c r="AF80" s="1821"/>
      <c r="AG80" s="1822"/>
      <c r="AH80" s="1821"/>
      <c r="AI80" s="1821"/>
      <c r="AJ80" s="1821"/>
      <c r="AK80" s="1822"/>
      <c r="AL80" s="1821"/>
      <c r="AM80" s="1821"/>
      <c r="AN80" s="1823"/>
      <c r="AO80" s="1824"/>
      <c r="AP80" s="1821"/>
      <c r="AQ80" s="1821"/>
      <c r="AR80" s="1823"/>
      <c r="AS80" s="1824"/>
      <c r="AT80" s="1823"/>
      <c r="AU80" s="1823"/>
      <c r="AV80" s="1823"/>
      <c r="AW80" s="1824"/>
      <c r="AX80" s="1823"/>
      <c r="AY80" s="1823"/>
      <c r="AZ80" s="1823"/>
      <c r="BA80" s="1824"/>
      <c r="BB80" s="1799"/>
      <c r="BC80" s="1710"/>
      <c r="BD80" s="1119"/>
      <c r="BE80" s="1119"/>
      <c r="BF80" s="1119"/>
      <c r="BG80" s="1119"/>
      <c r="BH80" s="1119"/>
      <c r="BI80" s="1119"/>
      <c r="BJ80" s="1816"/>
      <c r="BK80" s="1816"/>
      <c r="BL80" s="1816"/>
      <c r="BM80" s="1119"/>
      <c r="BN80" s="1119"/>
      <c r="BO80" s="1119"/>
      <c r="BP80" s="1119"/>
      <c r="BR80" s="1483"/>
      <c r="BS80" s="1483"/>
      <c r="BT80" s="1483"/>
      <c r="BU80" s="1675"/>
    </row>
    <row r="81" spans="1:73" s="304" customFormat="1" ht="11.65" hidden="1" customHeight="1" outlineLevel="1">
      <c r="A81" s="1699" t="s">
        <v>676</v>
      </c>
      <c r="B81" s="1110"/>
      <c r="C81" s="1108"/>
      <c r="D81" s="1108"/>
      <c r="E81" s="1109"/>
      <c r="F81" s="1108"/>
      <c r="G81" s="1108"/>
      <c r="H81" s="1108"/>
      <c r="I81" s="1109"/>
      <c r="J81" s="1108"/>
      <c r="K81" s="1108"/>
      <c r="L81" s="1108"/>
      <c r="M81" s="1109"/>
      <c r="N81" s="1110"/>
      <c r="O81" s="1110"/>
      <c r="P81" s="1110"/>
      <c r="Q81" s="1111"/>
      <c r="R81" s="1110"/>
      <c r="S81" s="1569"/>
      <c r="T81" s="1569"/>
      <c r="U81" s="1570"/>
      <c r="V81" s="1833">
        <f t="shared" ref="V81:BA81" si="642">V63-V72</f>
        <v>361.5973612374886</v>
      </c>
      <c r="W81" s="1833">
        <f t="shared" si="642"/>
        <v>369.14236123748861</v>
      </c>
      <c r="X81" s="1833">
        <f t="shared" si="642"/>
        <v>397.68736123748863</v>
      </c>
      <c r="Y81" s="1834">
        <f t="shared" si="642"/>
        <v>422.23236123748865</v>
      </c>
      <c r="Z81" s="1833">
        <f t="shared" si="642"/>
        <v>455.35714285714283</v>
      </c>
      <c r="AA81" s="1833">
        <f t="shared" si="642"/>
        <v>477.41714285714284</v>
      </c>
      <c r="AB81" s="1833">
        <f t="shared" si="642"/>
        <v>501.93714285714282</v>
      </c>
      <c r="AC81" s="1834">
        <f t="shared" si="642"/>
        <v>540.4571428571428</v>
      </c>
      <c r="AD81" s="1833">
        <f t="shared" si="642"/>
        <v>578.9</v>
      </c>
      <c r="AE81" s="1833">
        <f t="shared" si="642"/>
        <v>599.88</v>
      </c>
      <c r="AF81" s="1833">
        <f t="shared" si="642"/>
        <v>619.31999999999994</v>
      </c>
      <c r="AG81" s="1834">
        <f t="shared" si="642"/>
        <v>650.22</v>
      </c>
      <c r="AH81" s="1833">
        <f t="shared" si="642"/>
        <v>678.12</v>
      </c>
      <c r="AI81" s="1833">
        <f t="shared" si="642"/>
        <v>698.02</v>
      </c>
      <c r="AJ81" s="1833">
        <f t="shared" si="642"/>
        <v>723.92</v>
      </c>
      <c r="AK81" s="1834">
        <f t="shared" si="642"/>
        <v>750.81999999999994</v>
      </c>
      <c r="AL81" s="1833">
        <f t="shared" si="642"/>
        <v>785.43650000000002</v>
      </c>
      <c r="AM81" s="1833">
        <f t="shared" si="642"/>
        <v>818.91899999999998</v>
      </c>
      <c r="AN81" s="1844">
        <f t="shared" si="642"/>
        <v>845.40149999999994</v>
      </c>
      <c r="AO81" s="1845">
        <f t="shared" si="642"/>
        <v>894.88400000000001</v>
      </c>
      <c r="AP81" s="1833">
        <f t="shared" ref="AP81:AQ81" si="643">AP63-AP72</f>
        <v>947.54317500000002</v>
      </c>
      <c r="AQ81" s="1833">
        <f t="shared" si="643"/>
        <v>978.40567499999997</v>
      </c>
      <c r="AR81" s="1844">
        <f t="shared" si="642"/>
        <v>947.80817500000001</v>
      </c>
      <c r="AS81" s="1845">
        <f t="shared" si="642"/>
        <v>1003.7056749999999</v>
      </c>
      <c r="AT81" s="1844">
        <f t="shared" si="642"/>
        <v>1108.6910425000001</v>
      </c>
      <c r="AU81" s="1844">
        <f t="shared" si="642"/>
        <v>1219.8071280004908</v>
      </c>
      <c r="AV81" s="1844">
        <f t="shared" si="642"/>
        <v>1100.4659924999996</v>
      </c>
      <c r="AW81" s="1845">
        <f t="shared" si="642"/>
        <v>1138.6561174999997</v>
      </c>
      <c r="AX81" s="1844">
        <f t="shared" si="642"/>
        <v>1305.5295865487501</v>
      </c>
      <c r="AY81" s="1844">
        <f t="shared" si="642"/>
        <v>1517.4676247435291</v>
      </c>
      <c r="AZ81" s="1844">
        <f t="shared" si="642"/>
        <v>1285.4805852987495</v>
      </c>
      <c r="BA81" s="1845">
        <f t="shared" si="642"/>
        <v>1300.7513919237499</v>
      </c>
      <c r="BB81" s="1799"/>
      <c r="BC81" s="1710"/>
      <c r="BD81" s="1567"/>
      <c r="BE81" s="1567"/>
      <c r="BF81" s="1567"/>
      <c r="BG81" s="1567"/>
      <c r="BH81" s="1671"/>
      <c r="BI81" s="1827">
        <f>SUM(V81:Y81)</f>
        <v>1550.6594449499546</v>
      </c>
      <c r="BJ81" s="1827">
        <f>SUM(Z81:AC81)</f>
        <v>1975.1685714285713</v>
      </c>
      <c r="BK81" s="1827">
        <f>SUM(AD81:AG81)</f>
        <v>2448.3199999999997</v>
      </c>
      <c r="BL81" s="1827">
        <f>SUM(AH81:AK81)</f>
        <v>2850.88</v>
      </c>
      <c r="BM81" s="1827">
        <f>SUM(AL81:AO81)</f>
        <v>3344.6410000000001</v>
      </c>
      <c r="BN81" s="1827">
        <f>SUM(AP81:AS81)</f>
        <v>3877.4627</v>
      </c>
      <c r="BO81" s="1827">
        <f>SUM(AT81:AW81)</f>
        <v>4567.6202805004905</v>
      </c>
      <c r="BP81" s="1828">
        <f>SUM(AX81:BA81)</f>
        <v>5409.2291885147788</v>
      </c>
      <c r="BR81" s="1483"/>
      <c r="BS81" s="1483"/>
      <c r="BT81" s="1483"/>
      <c r="BU81" s="1672"/>
    </row>
    <row r="82" spans="1:73" s="304" customFormat="1" ht="11.65" hidden="1" customHeight="1" outlineLevel="1">
      <c r="A82" s="1700" t="s">
        <v>507</v>
      </c>
      <c r="B82" s="1110"/>
      <c r="C82" s="1108"/>
      <c r="D82" s="1108"/>
      <c r="E82" s="1109"/>
      <c r="F82" s="1108"/>
      <c r="G82" s="1108"/>
      <c r="H82" s="1108"/>
      <c r="I82" s="1109"/>
      <c r="J82" s="1108"/>
      <c r="K82" s="1108"/>
      <c r="L82" s="1108"/>
      <c r="M82" s="1109"/>
      <c r="N82" s="1110"/>
      <c r="O82" s="1110"/>
      <c r="P82" s="1110"/>
      <c r="Q82" s="1111"/>
      <c r="R82" s="1110"/>
      <c r="S82" s="1569"/>
      <c r="T82" s="1569"/>
      <c r="U82" s="1570"/>
      <c r="V82" s="1569"/>
      <c r="W82" s="1569"/>
      <c r="X82" s="1569"/>
      <c r="Y82" s="1570"/>
      <c r="Z82" s="1829">
        <f>Z81/V81-1</f>
        <v>0.25929332365363988</v>
      </c>
      <c r="AA82" s="1829">
        <f t="shared" ref="AA82" si="644">AA81/W81-1</f>
        <v>0.29331443093304421</v>
      </c>
      <c r="AB82" s="1829">
        <f t="shared" ref="AB82" si="645">AB81/X81-1</f>
        <v>0.26214004210558484</v>
      </c>
      <c r="AC82" s="1830">
        <f t="shared" ref="AC82" si="646">AC81/Y81-1</f>
        <v>0.27999933797863852</v>
      </c>
      <c r="AD82" s="1829">
        <f t="shared" ref="AD82" si="647">AD81/Z81-1</f>
        <v>0.27130980392156867</v>
      </c>
      <c r="AE82" s="1829">
        <f t="shared" ref="AE82" si="648">AE81/AA81-1</f>
        <v>0.25651122707904439</v>
      </c>
      <c r="AF82" s="1829">
        <f t="shared" ref="AF82" si="649">AF81/AB81-1</f>
        <v>0.23385967508737582</v>
      </c>
      <c r="AG82" s="1830">
        <f t="shared" ref="AG82" si="650">AG81/AC81-1</f>
        <v>0.20309262000422934</v>
      </c>
      <c r="AH82" s="1829">
        <f t="shared" ref="AH82" si="651">AH81/AD81-1</f>
        <v>0.17139402314734853</v>
      </c>
      <c r="AI82" s="1829">
        <f t="shared" ref="AI82" si="652">AI81/AE81-1</f>
        <v>0.16359938654397554</v>
      </c>
      <c r="AJ82" s="1829">
        <f t="shared" ref="AJ82" si="653">AJ81/AF81-1</f>
        <v>0.16889491700574832</v>
      </c>
      <c r="AK82" s="1830">
        <f t="shared" ref="AK82" si="654">AK81/AG81-1</f>
        <v>0.1547168650610562</v>
      </c>
      <c r="AL82" s="1829">
        <f t="shared" ref="AL82" si="655">AL81/AH81-1</f>
        <v>0.15825591340765643</v>
      </c>
      <c r="AM82" s="1829">
        <f t="shared" ref="AM82" si="656">AM81/AI81-1</f>
        <v>0.17320277355949676</v>
      </c>
      <c r="AN82" s="1831">
        <f t="shared" ref="AN82" si="657">AN81/AJ81-1</f>
        <v>0.16781066968725833</v>
      </c>
      <c r="AO82" s="1753">
        <f t="shared" ref="AO82:AQ82" si="658">AO81/AK81-1</f>
        <v>0.19187554939932361</v>
      </c>
      <c r="AP82" s="1829">
        <f t="shared" si="658"/>
        <v>0.2063905548061491</v>
      </c>
      <c r="AQ82" s="1829">
        <f t="shared" si="658"/>
        <v>0.19475268616310037</v>
      </c>
      <c r="AR82" s="1831">
        <f t="shared" ref="AR82" si="659">AR81/AN81-1</f>
        <v>0.1211337748986725</v>
      </c>
      <c r="AS82" s="1753">
        <f t="shared" ref="AS82" si="660">AS81/AO81-1</f>
        <v>0.12160422468163468</v>
      </c>
      <c r="AT82" s="1831">
        <f t="shared" ref="AT82" si="661">AT81/AP81-1</f>
        <v>0.17006915542397327</v>
      </c>
      <c r="AU82" s="1831">
        <f t="shared" ref="AU82" si="662">AU81/AQ81-1</f>
        <v>0.246729408024428</v>
      </c>
      <c r="AV82" s="1831">
        <f t="shared" ref="AV82" si="663">AV81/AR81-1</f>
        <v>0.16106404389263651</v>
      </c>
      <c r="AW82" s="1753">
        <f t="shared" ref="AW82" si="664">AW81/AS81-1</f>
        <v>0.13445220632034371</v>
      </c>
      <c r="AX82" s="1831">
        <f t="shared" ref="AX82" si="665">AX81/AT81-1</f>
        <v>0.17754138574520861</v>
      </c>
      <c r="AY82" s="1831">
        <f t="shared" ref="AY82" si="666">AY81/AU81-1</f>
        <v>0.24402259169526563</v>
      </c>
      <c r="AZ82" s="1831">
        <f t="shared" ref="AZ82" si="667">AZ81/AV81-1</f>
        <v>0.16812386212720698</v>
      </c>
      <c r="BA82" s="1753">
        <f t="shared" ref="BA82" si="668">BA81/AW81-1</f>
        <v>0.14235665354316263</v>
      </c>
      <c r="BB82" s="1799"/>
      <c r="BC82" s="1710"/>
      <c r="BD82" s="1710"/>
      <c r="BE82" s="1710"/>
      <c r="BF82" s="1710"/>
      <c r="BG82" s="1710"/>
      <c r="BH82" s="1710"/>
      <c r="BI82" s="1808"/>
      <c r="BJ82" s="1808">
        <f>BJ81/BI81-1</f>
        <v>0.2737603848872936</v>
      </c>
      <c r="BK82" s="1808">
        <f>BK81/BJ81-1</f>
        <v>0.23954989736861521</v>
      </c>
      <c r="BL82" s="1809">
        <f>BL81/BK81-1</f>
        <v>0.16442295124820294</v>
      </c>
      <c r="BM82" s="1809">
        <f t="shared" ref="BM82" si="669">BM81/BL81-1</f>
        <v>0.17319599562240429</v>
      </c>
      <c r="BN82" s="1809">
        <f t="shared" ref="BN82" si="670">BN81/BM81-1</f>
        <v>0.15930609593077394</v>
      </c>
      <c r="BO82" s="1809">
        <f t="shared" ref="BO82" si="671">BO81/BN81-1</f>
        <v>0.17799206179352556</v>
      </c>
      <c r="BP82" s="1809">
        <f t="shared" ref="BP82" si="672">BP81/BO81-1</f>
        <v>0.18425544514003911</v>
      </c>
      <c r="BR82" s="1483"/>
      <c r="BS82" s="1483"/>
      <c r="BT82" s="1483"/>
      <c r="BU82" s="1672"/>
    </row>
    <row r="83" spans="1:73" s="304" customFormat="1" ht="11.65" hidden="1" customHeight="1" outlineLevel="1">
      <c r="A83" s="1700" t="s">
        <v>664</v>
      </c>
      <c r="B83" s="1110"/>
      <c r="C83" s="1108"/>
      <c r="D83" s="1108"/>
      <c r="E83" s="1109"/>
      <c r="F83" s="1108"/>
      <c r="G83" s="1108"/>
      <c r="H83" s="1108"/>
      <c r="I83" s="1109"/>
      <c r="J83" s="1108"/>
      <c r="K83" s="1108"/>
      <c r="L83" s="1108"/>
      <c r="M83" s="1109"/>
      <c r="N83" s="1110"/>
      <c r="O83" s="1110"/>
      <c r="P83" s="1110"/>
      <c r="Q83" s="1111"/>
      <c r="R83" s="1110"/>
      <c r="S83" s="1569"/>
      <c r="T83" s="1569"/>
      <c r="U83" s="1570"/>
      <c r="V83" s="1569"/>
      <c r="W83" s="1569"/>
      <c r="X83" s="1569"/>
      <c r="Y83" s="1570"/>
      <c r="Z83" s="1813">
        <f>Z81-V81</f>
        <v>93.759781619654234</v>
      </c>
      <c r="AA83" s="1813">
        <f t="shared" ref="AA83" si="673">AA81-W81</f>
        <v>108.27478161965422</v>
      </c>
      <c r="AB83" s="1813">
        <f t="shared" ref="AB83" si="674">AB81-X81</f>
        <v>104.24978161965419</v>
      </c>
      <c r="AC83" s="1810">
        <f t="shared" ref="AC83" si="675">AC81-Y81</f>
        <v>118.22478161965415</v>
      </c>
      <c r="AD83" s="1813">
        <f t="shared" ref="AD83" si="676">AD81-Z81</f>
        <v>123.54285714285714</v>
      </c>
      <c r="AE83" s="1813">
        <f t="shared" ref="AE83" si="677">AE81-AA81</f>
        <v>122.46285714285716</v>
      </c>
      <c r="AF83" s="1813">
        <f t="shared" ref="AF83" si="678">AF81-AB81</f>
        <v>117.38285714285712</v>
      </c>
      <c r="AG83" s="1810">
        <f t="shared" ref="AG83" si="679">AG81-AC81</f>
        <v>109.76285714285723</v>
      </c>
      <c r="AH83" s="1813">
        <f t="shared" ref="AH83" si="680">AH81-AD81</f>
        <v>99.220000000000027</v>
      </c>
      <c r="AI83" s="1813">
        <f t="shared" ref="AI83" si="681">AI81-AE81</f>
        <v>98.139999999999986</v>
      </c>
      <c r="AJ83" s="1813">
        <f t="shared" ref="AJ83" si="682">AJ81-AF81</f>
        <v>104.60000000000002</v>
      </c>
      <c r="AK83" s="1810">
        <f t="shared" ref="AK83" si="683">AK81-AG81</f>
        <v>100.59999999999991</v>
      </c>
      <c r="AL83" s="1813">
        <f t="shared" ref="AL83" si="684">AL81-AH81</f>
        <v>107.31650000000002</v>
      </c>
      <c r="AM83" s="1813">
        <f t="shared" ref="AM83" si="685">AM81-AI81</f>
        <v>120.899</v>
      </c>
      <c r="AN83" s="1825">
        <f t="shared" ref="AN83" si="686">AN81-AJ81</f>
        <v>121.48149999999998</v>
      </c>
      <c r="AO83" s="1826">
        <f t="shared" ref="AO83:AQ83" si="687">AO81-AK81</f>
        <v>144.06400000000008</v>
      </c>
      <c r="AP83" s="1813">
        <f t="shared" si="687"/>
        <v>162.106675</v>
      </c>
      <c r="AQ83" s="1813">
        <f t="shared" si="687"/>
        <v>159.48667499999999</v>
      </c>
      <c r="AR83" s="1825">
        <f t="shared" ref="AR83" si="688">AR81-AN81</f>
        <v>102.40667500000006</v>
      </c>
      <c r="AS83" s="1826">
        <f t="shared" ref="AS83" si="689">AS81-AO81</f>
        <v>108.82167499999991</v>
      </c>
      <c r="AT83" s="1825">
        <f t="shared" ref="AT83" si="690">AT81-AP81</f>
        <v>161.14786750000007</v>
      </c>
      <c r="AU83" s="1825">
        <f t="shared" ref="AU83" si="691">AU81-AQ81</f>
        <v>241.40145300049085</v>
      </c>
      <c r="AV83" s="1825">
        <f t="shared" ref="AV83" si="692">AV81-AR81</f>
        <v>152.65781749999962</v>
      </c>
      <c r="AW83" s="1826">
        <f t="shared" ref="AW83" si="693">AW81-AS81</f>
        <v>134.95044249999978</v>
      </c>
      <c r="AX83" s="1825">
        <f t="shared" ref="AX83" si="694">AX81-AT81</f>
        <v>196.83854404875001</v>
      </c>
      <c r="AY83" s="1825">
        <f t="shared" ref="AY83" si="695">AY81-AU81</f>
        <v>297.66049674303827</v>
      </c>
      <c r="AZ83" s="1825">
        <f t="shared" ref="AZ83" si="696">AZ81-AV81</f>
        <v>185.01459279874985</v>
      </c>
      <c r="BA83" s="1826">
        <f t="shared" ref="BA83" si="697">BA81-AW81</f>
        <v>162.0952744237502</v>
      </c>
      <c r="BB83" s="1799"/>
      <c r="BC83" s="1710"/>
      <c r="BD83" s="1710"/>
      <c r="BE83" s="1710"/>
      <c r="BF83" s="1710"/>
      <c r="BG83" s="1710"/>
      <c r="BH83" s="1710"/>
      <c r="BI83" s="1764"/>
      <c r="BJ83" s="1764">
        <f>BJ81-BI81</f>
        <v>424.50912647861674</v>
      </c>
      <c r="BK83" s="1764">
        <f t="shared" ref="BK83:BP83" si="698">BK81-BJ81</f>
        <v>473.15142857142837</v>
      </c>
      <c r="BL83" s="1764">
        <f t="shared" si="698"/>
        <v>402.5600000000004</v>
      </c>
      <c r="BM83" s="1764">
        <f t="shared" si="698"/>
        <v>493.76099999999997</v>
      </c>
      <c r="BN83" s="1764">
        <f t="shared" si="698"/>
        <v>532.82169999999996</v>
      </c>
      <c r="BO83" s="1764">
        <f t="shared" si="698"/>
        <v>690.15758050049044</v>
      </c>
      <c r="BP83" s="1764">
        <f t="shared" si="698"/>
        <v>841.60890801428832</v>
      </c>
      <c r="BR83" s="1483"/>
      <c r="BS83" s="1483"/>
      <c r="BT83" s="1483"/>
      <c r="BU83" s="1672"/>
    </row>
    <row r="84" spans="1:73" s="304" customFormat="1" ht="11.65" hidden="1" customHeight="1" outlineLevel="1">
      <c r="A84" s="1700" t="s">
        <v>669</v>
      </c>
      <c r="B84" s="1110"/>
      <c r="C84" s="1108"/>
      <c r="D84" s="1108"/>
      <c r="E84" s="1109"/>
      <c r="F84" s="1108"/>
      <c r="G84" s="1108"/>
      <c r="H84" s="1108"/>
      <c r="I84" s="1109"/>
      <c r="J84" s="1108"/>
      <c r="K84" s="1108"/>
      <c r="L84" s="1108"/>
      <c r="M84" s="1109"/>
      <c r="N84" s="1110"/>
      <c r="O84" s="1110"/>
      <c r="P84" s="1110"/>
      <c r="Q84" s="1111"/>
      <c r="R84" s="1110"/>
      <c r="S84" s="1569"/>
      <c r="T84" s="1569"/>
      <c r="U84" s="1570"/>
      <c r="V84" s="1569"/>
      <c r="W84" s="1569"/>
      <c r="X84" s="1569"/>
      <c r="Y84" s="1570"/>
      <c r="Z84" s="1552">
        <f>1-Z76</f>
        <v>0.87737407101568954</v>
      </c>
      <c r="AA84" s="1552">
        <f t="shared" ref="AA84:BA84" si="699">1-AA76</f>
        <v>0.87279185165839646</v>
      </c>
      <c r="AB84" s="1552">
        <f t="shared" si="699"/>
        <v>0.86840336134453777</v>
      </c>
      <c r="AC84" s="1553">
        <f t="shared" si="699"/>
        <v>0.86750745241916993</v>
      </c>
      <c r="AD84" s="1552">
        <f t="shared" si="699"/>
        <v>0.86661676646706587</v>
      </c>
      <c r="AE84" s="1552">
        <f t="shared" si="699"/>
        <v>0.86189655172413793</v>
      </c>
      <c r="AF84" s="1552">
        <f t="shared" si="699"/>
        <v>0.856597510373444</v>
      </c>
      <c r="AG84" s="1553">
        <f t="shared" si="699"/>
        <v>0.8533070866141732</v>
      </c>
      <c r="AH84" s="1552">
        <f t="shared" si="699"/>
        <v>0.84977443609022552</v>
      </c>
      <c r="AI84" s="1552">
        <f t="shared" si="699"/>
        <v>0.84506053268765136</v>
      </c>
      <c r="AJ84" s="1552">
        <f t="shared" si="699"/>
        <v>0.84176744186046504</v>
      </c>
      <c r="AK84" s="1553">
        <f t="shared" si="699"/>
        <v>0.83890502793296085</v>
      </c>
      <c r="AL84" s="1552">
        <f t="shared" si="699"/>
        <v>0.81392383419689118</v>
      </c>
      <c r="AM84" s="1552">
        <f t="shared" si="699"/>
        <v>0.81241964285714285</v>
      </c>
      <c r="AN84" s="1865">
        <f t="shared" si="699"/>
        <v>0.80977155172413795</v>
      </c>
      <c r="AO84" s="1866">
        <f t="shared" si="699"/>
        <v>0.81131822302810519</v>
      </c>
      <c r="AP84" s="1552">
        <f t="shared" ref="AP84:AQ84" si="700">1-AP76</f>
        <v>0.78569085820895523</v>
      </c>
      <c r="AQ84" s="1552">
        <f t="shared" si="700"/>
        <v>0.78397890625</v>
      </c>
      <c r="AR84" s="1865">
        <f t="shared" si="699"/>
        <v>0.77149150617806506</v>
      </c>
      <c r="AS84" s="1866">
        <f t="shared" si="699"/>
        <v>0.77383133779470492</v>
      </c>
      <c r="AT84" s="1865">
        <f t="shared" si="699"/>
        <v>0.77318082235247765</v>
      </c>
      <c r="AU84" s="1865">
        <f t="shared" si="699"/>
        <v>0.78277831016035204</v>
      </c>
      <c r="AV84" s="1865">
        <f t="shared" si="699"/>
        <v>0.75778333468299364</v>
      </c>
      <c r="AW84" s="1866">
        <f t="shared" si="699"/>
        <v>0.75647145680080563</v>
      </c>
      <c r="AX84" s="1865">
        <f t="shared" si="699"/>
        <v>0.76530104991809922</v>
      </c>
      <c r="AY84" s="1865">
        <f t="shared" si="699"/>
        <v>0.78625599839479365</v>
      </c>
      <c r="AZ84" s="1865">
        <f t="shared" si="699"/>
        <v>0.75167480576148993</v>
      </c>
      <c r="BA84" s="1866">
        <f t="shared" si="699"/>
        <v>0.74790362517572362</v>
      </c>
      <c r="BB84" s="1799"/>
      <c r="BC84" s="1710"/>
      <c r="BD84" s="1567"/>
      <c r="BE84" s="1567"/>
      <c r="BF84" s="1567"/>
      <c r="BG84" s="1567"/>
      <c r="BH84" s="1567"/>
      <c r="BI84" s="1858">
        <f t="shared" ref="BI84:BP84" si="701">1-BI76</f>
        <v>0.91268949084753059</v>
      </c>
      <c r="BJ84" s="1858">
        <f t="shared" si="701"/>
        <v>0.87126977125212679</v>
      </c>
      <c r="BK84" s="1858">
        <f t="shared" si="701"/>
        <v>0.85936117936117928</v>
      </c>
      <c r="BL84" s="1858">
        <f t="shared" si="701"/>
        <v>0.8437052382361645</v>
      </c>
      <c r="BM84" s="1858">
        <f t="shared" si="701"/>
        <v>0.81180606796116506</v>
      </c>
      <c r="BN84" s="1858">
        <f t="shared" si="701"/>
        <v>0.77866951160735809</v>
      </c>
      <c r="BO84" s="1858">
        <f t="shared" si="701"/>
        <v>0.7677089354041029</v>
      </c>
      <c r="BP84" s="1858">
        <f t="shared" si="701"/>
        <v>0.76344964587609454</v>
      </c>
      <c r="BR84" s="1483"/>
      <c r="BS84" s="1483"/>
      <c r="BT84" s="1483"/>
      <c r="BU84" s="1672"/>
    </row>
    <row r="85" spans="1:73" s="304" customFormat="1" ht="11.65" hidden="1" customHeight="1" outlineLevel="1">
      <c r="A85" s="1694"/>
      <c r="B85" s="836"/>
      <c r="C85" s="837"/>
      <c r="D85" s="837"/>
      <c r="E85" s="838"/>
      <c r="F85" s="837"/>
      <c r="G85" s="837"/>
      <c r="H85" s="837"/>
      <c r="I85" s="838"/>
      <c r="J85" s="837"/>
      <c r="K85" s="837"/>
      <c r="L85" s="837"/>
      <c r="M85" s="838"/>
      <c r="N85" s="836"/>
      <c r="O85" s="836"/>
      <c r="P85" s="836"/>
      <c r="Q85" s="1041"/>
      <c r="R85" s="836"/>
      <c r="S85" s="1294"/>
      <c r="T85" s="1294"/>
      <c r="U85" s="1557"/>
      <c r="V85" s="1813"/>
      <c r="W85" s="1813"/>
      <c r="X85" s="1813"/>
      <c r="Y85" s="1810"/>
      <c r="Z85" s="1813"/>
      <c r="AA85" s="1813"/>
      <c r="AB85" s="1813"/>
      <c r="AC85" s="1810"/>
      <c r="AD85" s="1813"/>
      <c r="AE85" s="1813"/>
      <c r="AF85" s="1813"/>
      <c r="AG85" s="1810"/>
      <c r="AH85" s="1813"/>
      <c r="AI85" s="1813"/>
      <c r="AJ85" s="1813"/>
      <c r="AK85" s="1810"/>
      <c r="AL85" s="1813"/>
      <c r="AM85" s="1813"/>
      <c r="AN85" s="1825"/>
      <c r="AO85" s="1826"/>
      <c r="AP85" s="1813"/>
      <c r="AQ85" s="1813"/>
      <c r="AR85" s="1825"/>
      <c r="AS85" s="1826"/>
      <c r="AT85" s="1825"/>
      <c r="AU85" s="1825"/>
      <c r="AV85" s="1825"/>
      <c r="AW85" s="1826"/>
      <c r="AX85" s="1825"/>
      <c r="AY85" s="1825"/>
      <c r="AZ85" s="1825"/>
      <c r="BA85" s="1826"/>
      <c r="BB85" s="1799"/>
      <c r="BC85" s="1710"/>
      <c r="BD85" s="1119"/>
      <c r="BE85" s="1119"/>
      <c r="BF85" s="1119"/>
      <c r="BG85" s="1119"/>
      <c r="BH85" s="1057"/>
      <c r="BI85" s="1057"/>
      <c r="BJ85" s="1057"/>
      <c r="BK85" s="1057"/>
      <c r="BL85" s="1057"/>
      <c r="BM85" s="1057"/>
      <c r="BN85" s="1057"/>
      <c r="BO85" s="1057"/>
      <c r="BP85" s="1057"/>
      <c r="BR85" s="1483"/>
      <c r="BS85" s="1483"/>
      <c r="BT85" s="1483"/>
      <c r="BU85" s="1675"/>
    </row>
    <row r="86" spans="1:73" s="492" customFormat="1" ht="12" customHeight="1" collapsed="1">
      <c r="A86" s="1896" t="s">
        <v>63</v>
      </c>
      <c r="B86" s="1897">
        <v>85</v>
      </c>
      <c r="C86" s="1897">
        <v>83</v>
      </c>
      <c r="D86" s="1897">
        <v>93</v>
      </c>
      <c r="E86" s="1898">
        <v>92</v>
      </c>
      <c r="F86" s="1899">
        <v>98</v>
      </c>
      <c r="G86" s="1899">
        <v>97</v>
      </c>
      <c r="H86" s="1899">
        <v>106</v>
      </c>
      <c r="I86" s="1900">
        <v>109</v>
      </c>
      <c r="J86" s="1899">
        <v>113</v>
      </c>
      <c r="K86" s="1899">
        <v>117</v>
      </c>
      <c r="L86" s="1899">
        <v>135</v>
      </c>
      <c r="M86" s="1900">
        <v>146</v>
      </c>
      <c r="N86" s="1899">
        <v>154</v>
      </c>
      <c r="O86" s="1899">
        <v>163</v>
      </c>
      <c r="P86" s="1899">
        <v>179</v>
      </c>
      <c r="Q86" s="1900">
        <v>187</v>
      </c>
      <c r="R86" s="1899">
        <v>195</v>
      </c>
      <c r="S86" s="1899">
        <v>200</v>
      </c>
      <c r="T86" s="1899">
        <v>207</v>
      </c>
      <c r="U86" s="1900">
        <v>226</v>
      </c>
      <c r="V86" s="1954">
        <v>229</v>
      </c>
      <c r="W86" s="1954">
        <v>240</v>
      </c>
      <c r="X86" s="1952">
        <v>278</v>
      </c>
      <c r="Y86" s="1953">
        <v>304</v>
      </c>
      <c r="Z86" s="1955">
        <v>326</v>
      </c>
      <c r="AA86" s="1952">
        <v>574</v>
      </c>
      <c r="AB86" s="1952">
        <v>614</v>
      </c>
      <c r="AC86" s="1953">
        <v>657</v>
      </c>
      <c r="AD86" s="1952">
        <v>681</v>
      </c>
      <c r="AE86" s="1952">
        <v>695</v>
      </c>
      <c r="AF86" s="1952">
        <v>745</v>
      </c>
      <c r="AG86" s="1953">
        <v>789</v>
      </c>
      <c r="AH86" s="1952">
        <v>820</v>
      </c>
      <c r="AI86" s="1952">
        <v>862</v>
      </c>
      <c r="AJ86" s="1952">
        <v>894</v>
      </c>
      <c r="AK86" s="1953">
        <v>937</v>
      </c>
      <c r="AL86" s="1952">
        <v>978</v>
      </c>
      <c r="AM86" s="1952">
        <v>1030</v>
      </c>
      <c r="AN86" s="1952">
        <v>1059</v>
      </c>
      <c r="AO86" s="1953">
        <v>1115</v>
      </c>
      <c r="AP86" s="1952">
        <v>1145</v>
      </c>
      <c r="AQ86" s="1952">
        <v>1219</v>
      </c>
      <c r="AR86" s="1901">
        <f>AR107+AR115+AR123+AR129</f>
        <v>1253</v>
      </c>
      <c r="AS86" s="1902">
        <f>AS107+AS115+AS123+AS129</f>
        <v>1298</v>
      </c>
      <c r="AT86" s="1901">
        <f t="shared" ref="AT86:AW86" si="702">AT107+AT115+AT123+AT129</f>
        <v>1352</v>
      </c>
      <c r="AU86" s="1901">
        <f t="shared" si="702"/>
        <v>1428</v>
      </c>
      <c r="AV86" s="1901">
        <f t="shared" si="702"/>
        <v>1476</v>
      </c>
      <c r="AW86" s="1902">
        <f t="shared" si="702"/>
        <v>1531</v>
      </c>
      <c r="AX86" s="1901">
        <f t="shared" ref="AX86:BA86" si="703">AX107+AX115+AX123+AX129</f>
        <v>1581.5</v>
      </c>
      <c r="AY86" s="1901">
        <f t="shared" si="703"/>
        <v>1670</v>
      </c>
      <c r="AZ86" s="1901">
        <f t="shared" si="703"/>
        <v>1730.5</v>
      </c>
      <c r="BA86" s="1902">
        <f t="shared" si="703"/>
        <v>1798</v>
      </c>
      <c r="BB86" s="1005"/>
      <c r="BC86" s="981"/>
      <c r="BD86" s="1083">
        <f>SUM(B86:E86)</f>
        <v>353</v>
      </c>
      <c r="BE86" s="1083">
        <f>SUM(F86:I86)</f>
        <v>410</v>
      </c>
      <c r="BF86" s="1083">
        <f>SUM(J86:M86)</f>
        <v>511</v>
      </c>
      <c r="BG86" s="1083">
        <f>SUM(N86:Q86)</f>
        <v>683</v>
      </c>
      <c r="BH86" s="1083">
        <f>SUM(R86:U86)</f>
        <v>828</v>
      </c>
      <c r="BI86" s="1903">
        <f>SUM(V86:Y86)</f>
        <v>1051</v>
      </c>
      <c r="BJ86" s="1903">
        <f>SUM(Z86:AC86)</f>
        <v>2171</v>
      </c>
      <c r="BK86" s="1903">
        <f>SUM(AD86:AG86)</f>
        <v>2910</v>
      </c>
      <c r="BL86" s="1903">
        <f>SUM(AH86:AK86)</f>
        <v>3513</v>
      </c>
      <c r="BM86" s="1903">
        <f>SUM(AL86:AO86)</f>
        <v>4182</v>
      </c>
      <c r="BN86" s="1904">
        <f>SUM(AP86:AS86)</f>
        <v>4915</v>
      </c>
      <c r="BO86" s="1904">
        <f>SUM(AT86:AW86)</f>
        <v>5787</v>
      </c>
      <c r="BP86" s="1904">
        <f>SUM(AX86:BA86)</f>
        <v>6780</v>
      </c>
      <c r="BR86" s="1429"/>
      <c r="BS86" s="1429"/>
      <c r="BT86" s="1429"/>
      <c r="BU86" s="1696"/>
    </row>
    <row r="87" spans="1:73" s="1014" customFormat="1" ht="12" customHeight="1">
      <c r="A87" s="1694" t="s">
        <v>507</v>
      </c>
      <c r="B87" s="999" t="str">
        <f t="shared" ref="B87:D87" si="704">IF(ISERROR(B86/#REF!-1),"NA",B86/#REF!-1)</f>
        <v>NA</v>
      </c>
      <c r="C87" s="987" t="str">
        <f t="shared" si="704"/>
        <v>NA</v>
      </c>
      <c r="D87" s="987" t="str">
        <f t="shared" si="704"/>
        <v>NA</v>
      </c>
      <c r="E87" s="998" t="str">
        <f t="shared" ref="E87" si="705">IF(ISERROR(E86/A86-1),"NA",E86/A86-1)</f>
        <v>NA</v>
      </c>
      <c r="F87" s="999">
        <f t="shared" ref="F87" si="706">IF(ISERROR(F86/B86-1),"NA",F86/B86-1)</f>
        <v>0.15294117647058814</v>
      </c>
      <c r="G87" s="987">
        <f t="shared" ref="G87" si="707">IF(ISERROR(G86/C86-1),"NA",G86/C86-1)</f>
        <v>0.16867469879518082</v>
      </c>
      <c r="H87" s="987">
        <f t="shared" ref="H87" si="708">IF(ISERROR(H86/D86-1),"NA",H86/D86-1)</f>
        <v>0.13978494623655924</v>
      </c>
      <c r="I87" s="998">
        <f t="shared" ref="I87" si="709">IF(ISERROR(I86/E86-1),"NA",I86/E86-1)</f>
        <v>0.18478260869565211</v>
      </c>
      <c r="J87" s="999">
        <f t="shared" ref="J87" si="710">IF(ISERROR(J86/F86-1),"NA",J86/F86-1)</f>
        <v>0.15306122448979598</v>
      </c>
      <c r="K87" s="987">
        <f t="shared" ref="K87" si="711">IF(ISERROR(K86/G86-1),"NA",K86/G86-1)</f>
        <v>0.20618556701030921</v>
      </c>
      <c r="L87" s="987">
        <f t="shared" ref="L87" si="712">IF(ISERROR(L86/H86-1),"NA",L86/H86-1)</f>
        <v>0.27358490566037741</v>
      </c>
      <c r="M87" s="998">
        <f t="shared" ref="M87" si="713">IF(ISERROR(M86/I86-1),"NA",M86/I86-1)</f>
        <v>0.33944954128440363</v>
      </c>
      <c r="N87" s="999">
        <f t="shared" ref="N87" si="714">IF(ISERROR(N86/J86-1),"NA",N86/J86-1)</f>
        <v>0.36283185840707954</v>
      </c>
      <c r="O87" s="987">
        <f t="shared" ref="O87" si="715">IF(ISERROR(O86/K86-1),"NA",O86/K86-1)</f>
        <v>0.3931623931623931</v>
      </c>
      <c r="P87" s="987">
        <f t="shared" ref="P87" si="716">IF(ISERROR(P86/L86-1),"NA",P86/L86-1)</f>
        <v>0.32592592592592595</v>
      </c>
      <c r="Q87" s="998">
        <f t="shared" ref="Q87" si="717">IF(ISERROR(Q86/M86-1),"NA",Q86/M86-1)</f>
        <v>0.28082191780821919</v>
      </c>
      <c r="R87" s="984">
        <f t="shared" ref="R87" si="718">IF(ISERROR(R86/N86-1),"NA",R86/N86-1)</f>
        <v>0.26623376623376616</v>
      </c>
      <c r="S87" s="984">
        <f t="shared" ref="S87" si="719">IF(ISERROR(S86/O86-1),"NA",S86/O86-1)</f>
        <v>0.22699386503067487</v>
      </c>
      <c r="T87" s="984">
        <f t="shared" ref="T87" si="720">IF(ISERROR(T86/P86-1),"NA",T86/P86-1)</f>
        <v>0.15642458100558665</v>
      </c>
      <c r="U87" s="985">
        <f t="shared" ref="U87" si="721">IF(ISERROR(U86/Q86-1),"NA",U86/Q86-1)</f>
        <v>0.20855614973262027</v>
      </c>
      <c r="V87" s="984">
        <f t="shared" ref="V87:X87" si="722">IF(ISERROR(V86/R86-1),"NA",V86/R86-1)</f>
        <v>0.17435897435897441</v>
      </c>
      <c r="W87" s="984">
        <f t="shared" si="722"/>
        <v>0.19999999999999996</v>
      </c>
      <c r="X87" s="984">
        <f t="shared" si="722"/>
        <v>0.34299516908212557</v>
      </c>
      <c r="Y87" s="985">
        <f t="shared" ref="Y87:AL87" si="723">IF(ISERROR(Y86/U86-1),"NA",Y86/U86-1)</f>
        <v>0.34513274336283195</v>
      </c>
      <c r="Z87" s="1270">
        <f t="shared" si="723"/>
        <v>0.42358078602620086</v>
      </c>
      <c r="AA87" s="984">
        <f t="shared" si="723"/>
        <v>1.3916666666666666</v>
      </c>
      <c r="AB87" s="984">
        <f t="shared" si="723"/>
        <v>1.2086330935251799</v>
      </c>
      <c r="AC87" s="985">
        <f t="shared" si="723"/>
        <v>1.1611842105263159</v>
      </c>
      <c r="AD87" s="1270">
        <f t="shared" si="723"/>
        <v>1.0889570552147241</v>
      </c>
      <c r="AE87" s="984">
        <f t="shared" ref="AE87" si="724">IF(ISERROR(AE86/AA86-1),"NA",AE86/AA86-1)</f>
        <v>0.21080139372822293</v>
      </c>
      <c r="AF87" s="984">
        <f t="shared" si="723"/>
        <v>0.21335504885993495</v>
      </c>
      <c r="AG87" s="985">
        <f t="shared" si="723"/>
        <v>0.20091324200913241</v>
      </c>
      <c r="AH87" s="1270">
        <f t="shared" si="723"/>
        <v>0.20411160058737154</v>
      </c>
      <c r="AI87" s="984">
        <f t="shared" si="723"/>
        <v>0.24028776978417277</v>
      </c>
      <c r="AJ87" s="984">
        <f t="shared" si="723"/>
        <v>0.19999999999999996</v>
      </c>
      <c r="AK87" s="985">
        <f t="shared" si="723"/>
        <v>0.18757921419518375</v>
      </c>
      <c r="AL87" s="1270">
        <f t="shared" si="723"/>
        <v>0.19268292682926824</v>
      </c>
      <c r="AM87" s="984">
        <f t="shared" ref="AM87:AQ87" si="725">IF(ISERROR(AM86/AI86-1),"NA",AM86/AI86-1)</f>
        <v>0.19489559164733183</v>
      </c>
      <c r="AN87" s="984">
        <f t="shared" si="725"/>
        <v>0.18456375838926165</v>
      </c>
      <c r="AO87" s="985">
        <f t="shared" si="725"/>
        <v>0.18996798292422623</v>
      </c>
      <c r="AP87" s="1270">
        <f t="shared" si="725"/>
        <v>0.17075664621676889</v>
      </c>
      <c r="AQ87" s="984">
        <f t="shared" si="725"/>
        <v>0.18349514563106806</v>
      </c>
      <c r="AR87" s="984">
        <f t="shared" ref="AR87" si="726">IF(ISERROR(AR86/AN86-1),"NA",AR86/AN86-1)</f>
        <v>0.1831916902738433</v>
      </c>
      <c r="AS87" s="985">
        <f t="shared" ref="AS87" si="727">IF(ISERROR(AS86/AO86-1),"NA",AS86/AO86-1)</f>
        <v>0.16412556053811667</v>
      </c>
      <c r="AT87" s="984">
        <f t="shared" ref="AT87" si="728">IF(ISERROR(AT86/AP86-1),"NA",AT86/AP86-1)</f>
        <v>0.18078602620087336</v>
      </c>
      <c r="AU87" s="984">
        <f t="shared" ref="AU87" si="729">IF(ISERROR(AU86/AQ86-1),"NA",AU86/AQ86-1)</f>
        <v>0.17145200984413456</v>
      </c>
      <c r="AV87" s="984">
        <f t="shared" ref="AV87" si="730">IF(ISERROR(AV86/AR86-1),"NA",AV86/AR86-1)</f>
        <v>0.17797286512370314</v>
      </c>
      <c r="AW87" s="985">
        <f t="shared" ref="AW87" si="731">IF(ISERROR(AW86/AS86-1),"NA",AW86/AS86-1)</f>
        <v>0.17950693374422189</v>
      </c>
      <c r="AX87" s="984">
        <f t="shared" ref="AX87" si="732">IF(ISERROR(AX86/AT86-1),"NA",AX86/AT86-1)</f>
        <v>0.16974852071005908</v>
      </c>
      <c r="AY87" s="984">
        <f t="shared" ref="AY87" si="733">IF(ISERROR(AY86/AU86-1),"NA",AY86/AU86-1)</f>
        <v>0.169467787114846</v>
      </c>
      <c r="AZ87" s="984">
        <f t="shared" ref="AZ87" si="734">IF(ISERROR(AZ86/AV86-1),"NA",AZ86/AV86-1)</f>
        <v>0.17242547425474264</v>
      </c>
      <c r="BA87" s="985">
        <f t="shared" ref="BA87" si="735">IF(ISERROR(BA86/AW86-1),"NA",BA86/AW86-1)</f>
        <v>0.17439581972566942</v>
      </c>
      <c r="BB87" s="1013"/>
      <c r="BC87" s="846"/>
      <c r="BD87" s="842" t="str">
        <f t="shared" ref="BD87" si="736">IF(ISERROR(BD86/BB86-1),"NA",BD86/BB86-1)</f>
        <v>NA</v>
      </c>
      <c r="BE87" s="842">
        <f t="shared" ref="BE87" si="737">IF(ISERROR(BE86/BD86-1),"NA",BE86/BD86-1)</f>
        <v>0.16147308781869696</v>
      </c>
      <c r="BF87" s="842">
        <f t="shared" ref="BF87" si="738">IF(ISERROR(BF86/BE86-1),"NA",BF86/BE86-1)</f>
        <v>0.24634146341463414</v>
      </c>
      <c r="BG87" s="842">
        <f t="shared" ref="BG87" si="739">IF(ISERROR(BG86/BF86-1),"NA",BG86/BF86-1)</f>
        <v>0.33659491193737767</v>
      </c>
      <c r="BH87" s="842">
        <f t="shared" ref="BH87" si="740">IF(ISERROR(BH86/BG86-1),"NA",BH86/BG86-1)</f>
        <v>0.21229868228404092</v>
      </c>
      <c r="BI87" s="842">
        <f t="shared" ref="BI87" si="741">IF(ISERROR(BI86/BH86-1),"NA",BI86/BH86-1)</f>
        <v>0.26932367149758463</v>
      </c>
      <c r="BJ87" s="842">
        <f t="shared" ref="BJ87" si="742">IF(ISERROR(BJ86/BI86-1),"NA",BJ86/BI86-1)</f>
        <v>1.065651760228354</v>
      </c>
      <c r="BK87" s="842">
        <f t="shared" ref="BK87" si="743">IF(ISERROR(BK86/BJ86-1),"NA",BK86/BJ86-1)</f>
        <v>0.34039613081529252</v>
      </c>
      <c r="BL87" s="842">
        <f t="shared" ref="BL87:BP87" si="744">IF(ISERROR(BL86/BK86-1),"NA",BL86/BK86-1)</f>
        <v>0.20721649484536075</v>
      </c>
      <c r="BM87" s="842">
        <f t="shared" si="744"/>
        <v>0.19043552519214346</v>
      </c>
      <c r="BN87" s="1187">
        <f t="shared" si="744"/>
        <v>0.1752749880439981</v>
      </c>
      <c r="BO87" s="1187">
        <f t="shared" si="744"/>
        <v>0.17741607324516795</v>
      </c>
      <c r="BP87" s="1187">
        <f t="shared" si="744"/>
        <v>0.17159149818558839</v>
      </c>
      <c r="BR87" s="1425"/>
      <c r="BS87" s="1425"/>
      <c r="BT87" s="1425"/>
      <c r="BU87" s="1263"/>
    </row>
    <row r="88" spans="1:73" s="1014" customFormat="1" ht="12" customHeight="1">
      <c r="A88" s="1694" t="s">
        <v>712</v>
      </c>
      <c r="B88" s="987"/>
      <c r="C88" s="987"/>
      <c r="D88" s="987"/>
      <c r="E88" s="998"/>
      <c r="F88" s="987"/>
      <c r="G88" s="987"/>
      <c r="H88" s="987"/>
      <c r="I88" s="998"/>
      <c r="J88" s="987"/>
      <c r="K88" s="987"/>
      <c r="L88" s="987"/>
      <c r="M88" s="998"/>
      <c r="N88" s="987"/>
      <c r="O88" s="987"/>
      <c r="P88" s="987"/>
      <c r="Q88" s="998"/>
      <c r="R88" s="984"/>
      <c r="S88" s="984"/>
      <c r="T88" s="984"/>
      <c r="U88" s="985"/>
      <c r="V88" s="984"/>
      <c r="W88" s="984"/>
      <c r="X88" s="984"/>
      <c r="Y88" s="985"/>
      <c r="Z88" s="984"/>
      <c r="AA88" s="984"/>
      <c r="AB88" s="984"/>
      <c r="AC88" s="985"/>
      <c r="AD88" s="984"/>
      <c r="AE88" s="984"/>
      <c r="AF88" s="984"/>
      <c r="AG88" s="985"/>
      <c r="AH88" s="984">
        <f t="shared" ref="AH88:AQ88" si="745">(AH86-AH107)/(AD86-AD107)-1</f>
        <v>0.21103117505995206</v>
      </c>
      <c r="AI88" s="984">
        <f t="shared" si="745"/>
        <v>0.33827160493827169</v>
      </c>
      <c r="AJ88" s="984">
        <f t="shared" si="745"/>
        <v>0.29318181818181821</v>
      </c>
      <c r="AK88" s="985">
        <f t="shared" si="745"/>
        <v>0.25672877846790887</v>
      </c>
      <c r="AL88" s="984">
        <f t="shared" si="745"/>
        <v>0.27920792079207923</v>
      </c>
      <c r="AM88" s="984">
        <f t="shared" si="745"/>
        <v>0.29889298892988925</v>
      </c>
      <c r="AN88" s="984">
        <f t="shared" si="745"/>
        <v>0.29173989455184524</v>
      </c>
      <c r="AO88" s="985">
        <f>(AO86-AO107)/(AK86-AK107)-1</f>
        <v>0.29654036243822079</v>
      </c>
      <c r="AP88" s="984">
        <f t="shared" si="745"/>
        <v>0.26006191950464386</v>
      </c>
      <c r="AQ88" s="984">
        <f t="shared" si="745"/>
        <v>0.26988636363636354</v>
      </c>
      <c r="AR88" s="984">
        <f t="shared" ref="AR88" si="746">(AR86-AR107)/(AN86-AN107)-1</f>
        <v>0.25306122448979584</v>
      </c>
      <c r="AS88" s="985">
        <f>(AS86-AS107)/(AO86-AO107)-1</f>
        <v>0.2147395171537485</v>
      </c>
      <c r="AT88" s="984">
        <f t="shared" ref="AT88" si="747">(AT86-AT107)/(AP86-AP107)-1</f>
        <v>0.23095823095823098</v>
      </c>
      <c r="AU88" s="984">
        <f t="shared" ref="AU88" si="748">(AU86-AU107)/(AQ86-AQ107)-1</f>
        <v>0.19686800894854595</v>
      </c>
      <c r="AV88" s="984">
        <f t="shared" ref="AV88" si="749">(AV86-AV107)/(AR86-AR107)-1</f>
        <v>0.20521172638436491</v>
      </c>
      <c r="AW88" s="985">
        <f>(AW86-AW107)/(AS86-AS107)-1</f>
        <v>0.20815899581589958</v>
      </c>
      <c r="AX88" s="984">
        <f t="shared" ref="AX88" si="750">(AX86-AX107)/(AT86-AT107)-1</f>
        <v>0.19361277445109781</v>
      </c>
      <c r="AY88" s="984">
        <f t="shared" ref="AY88" si="751">(AY86-AY107)/(AU86-AU107)-1</f>
        <v>0.1906542056074767</v>
      </c>
      <c r="AZ88" s="984">
        <f t="shared" ref="AZ88" si="752">(AZ86-AZ107)/(AV86-AV107)-1</f>
        <v>0.19279279279279282</v>
      </c>
      <c r="BA88" s="985">
        <f>(BA86-BA107)/(AW86-AW107)-1</f>
        <v>0.19393939393939386</v>
      </c>
      <c r="BB88" s="1198"/>
      <c r="BC88" s="1908"/>
      <c r="BD88" s="985"/>
      <c r="BE88" s="985"/>
      <c r="BF88" s="985"/>
      <c r="BG88" s="985"/>
      <c r="BH88" s="985"/>
      <c r="BI88" s="985"/>
      <c r="BJ88" s="985"/>
      <c r="BK88" s="985">
        <f t="shared" ref="BK88:BO88" si="753">(BK86-BK107)/(BJ86-BJ107)-1</f>
        <v>0.23846699787083048</v>
      </c>
      <c r="BL88" s="985">
        <f t="shared" si="753"/>
        <v>0.2739255014326647</v>
      </c>
      <c r="BM88" s="985">
        <f t="shared" si="753"/>
        <v>0.29194781826360772</v>
      </c>
      <c r="BN88" s="985">
        <f t="shared" si="753"/>
        <v>0.248259052924791</v>
      </c>
      <c r="BO88" s="985">
        <f t="shared" si="753"/>
        <v>0.20976290097629002</v>
      </c>
      <c r="BP88" s="985">
        <f>(BP86-BP107)/(BO86-BO107)-1</f>
        <v>0.19275997233110442</v>
      </c>
      <c r="BR88" s="1425"/>
      <c r="BS88" s="1425"/>
      <c r="BT88" s="1425"/>
      <c r="BU88" s="1263"/>
    </row>
    <row r="89" spans="1:73" s="304" customFormat="1" ht="11.65" customHeight="1">
      <c r="A89" s="1694" t="s">
        <v>664</v>
      </c>
      <c r="B89" s="1851"/>
      <c r="C89" s="1701"/>
      <c r="D89" s="1701"/>
      <c r="E89" s="1702"/>
      <c r="F89" s="1701"/>
      <c r="G89" s="1701"/>
      <c r="H89" s="1701"/>
      <c r="I89" s="1702"/>
      <c r="J89" s="1701"/>
      <c r="K89" s="1701"/>
      <c r="L89" s="1701"/>
      <c r="M89" s="1702"/>
      <c r="N89" s="1851"/>
      <c r="O89" s="1851"/>
      <c r="P89" s="1851"/>
      <c r="Q89" s="1852"/>
      <c r="R89" s="1851"/>
      <c r="S89" s="1569"/>
      <c r="T89" s="1569"/>
      <c r="U89" s="1570"/>
      <c r="V89" s="1569"/>
      <c r="W89" s="1569"/>
      <c r="X89" s="1569"/>
      <c r="Y89" s="1570"/>
      <c r="Z89" s="1813">
        <f t="shared" ref="Z89" si="754">Z86-V86</f>
        <v>97</v>
      </c>
      <c r="AA89" s="1813">
        <f t="shared" ref="AA89" si="755">AA86-W86</f>
        <v>334</v>
      </c>
      <c r="AB89" s="1813">
        <f t="shared" ref="AB89" si="756">AB86-X86</f>
        <v>336</v>
      </c>
      <c r="AC89" s="1810">
        <f t="shared" ref="AC89" si="757">AC86-Y86</f>
        <v>353</v>
      </c>
      <c r="AD89" s="1813">
        <f t="shared" ref="AD89" si="758">AD86-Z86</f>
        <v>355</v>
      </c>
      <c r="AE89" s="1813">
        <f t="shared" ref="AE89" si="759">AE86-AA86</f>
        <v>121</v>
      </c>
      <c r="AF89" s="1813">
        <f t="shared" ref="AF89" si="760">AF86-AB86</f>
        <v>131</v>
      </c>
      <c r="AG89" s="1810">
        <f t="shared" ref="AG89" si="761">AG86-AC86</f>
        <v>132</v>
      </c>
      <c r="AH89" s="1813">
        <f t="shared" ref="AH89" si="762">AH86-AD86</f>
        <v>139</v>
      </c>
      <c r="AI89" s="1813">
        <f t="shared" ref="AI89" si="763">AI86-AE86</f>
        <v>167</v>
      </c>
      <c r="AJ89" s="1813">
        <f t="shared" ref="AJ89" si="764">AJ86-AF86</f>
        <v>149</v>
      </c>
      <c r="AK89" s="1810">
        <f t="shared" ref="AK89" si="765">AK86-AG86</f>
        <v>148</v>
      </c>
      <c r="AL89" s="1813">
        <f t="shared" ref="AL89" si="766">AL86-AH86</f>
        <v>158</v>
      </c>
      <c r="AM89" s="1813">
        <f t="shared" ref="AM89" si="767">AM86-AI86</f>
        <v>168</v>
      </c>
      <c r="AN89" s="1825">
        <f t="shared" ref="AN89:AQ89" si="768">AN86-AJ86</f>
        <v>165</v>
      </c>
      <c r="AO89" s="1810">
        <f t="shared" si="768"/>
        <v>178</v>
      </c>
      <c r="AP89" s="1813">
        <f t="shared" si="768"/>
        <v>167</v>
      </c>
      <c r="AQ89" s="1813">
        <f t="shared" si="768"/>
        <v>189</v>
      </c>
      <c r="AR89" s="1825">
        <f t="shared" ref="AR89" si="769">AR86-AN86</f>
        <v>194</v>
      </c>
      <c r="AS89" s="1826">
        <f t="shared" ref="AS89" si="770">AS86-AO86</f>
        <v>183</v>
      </c>
      <c r="AT89" s="1825">
        <f t="shared" ref="AT89" si="771">AT86-AP86</f>
        <v>207</v>
      </c>
      <c r="AU89" s="1825">
        <f t="shared" ref="AU89" si="772">AU86-AQ86</f>
        <v>209</v>
      </c>
      <c r="AV89" s="1825">
        <f t="shared" ref="AV89" si="773">AV86-AR86</f>
        <v>223</v>
      </c>
      <c r="AW89" s="1826">
        <f t="shared" ref="AW89" si="774">AW86-AS86</f>
        <v>233</v>
      </c>
      <c r="AX89" s="1825">
        <f t="shared" ref="AX89" si="775">AX86-AT86</f>
        <v>229.5</v>
      </c>
      <c r="AY89" s="1825">
        <f t="shared" ref="AY89" si="776">AY86-AU86</f>
        <v>242</v>
      </c>
      <c r="AZ89" s="1825">
        <f t="shared" ref="AZ89" si="777">AZ86-AV86</f>
        <v>254.5</v>
      </c>
      <c r="BA89" s="1826">
        <f t="shared" ref="BA89" si="778">BA86-AW86</f>
        <v>267</v>
      </c>
      <c r="BB89" s="1799"/>
      <c r="BC89" s="1805"/>
      <c r="BD89" s="1805"/>
      <c r="BE89" s="1805"/>
      <c r="BF89" s="1805"/>
      <c r="BG89" s="1805"/>
      <c r="BH89" s="1805"/>
      <c r="BI89" s="1764"/>
      <c r="BJ89" s="1764">
        <f t="shared" ref="BJ89:BP89" si="779">BJ86-BI86</f>
        <v>1120</v>
      </c>
      <c r="BK89" s="1764">
        <f t="shared" si="779"/>
        <v>739</v>
      </c>
      <c r="BL89" s="1764">
        <f t="shared" si="779"/>
        <v>603</v>
      </c>
      <c r="BM89" s="1764">
        <f t="shared" si="779"/>
        <v>669</v>
      </c>
      <c r="BN89" s="1764">
        <f t="shared" si="779"/>
        <v>733</v>
      </c>
      <c r="BO89" s="1764">
        <f t="shared" si="779"/>
        <v>872</v>
      </c>
      <c r="BP89" s="1764">
        <f t="shared" si="779"/>
        <v>993</v>
      </c>
      <c r="BR89" s="1483"/>
      <c r="BS89" s="1483"/>
      <c r="BT89" s="1483"/>
      <c r="BU89" s="1672"/>
    </row>
    <row r="90" spans="1:73" s="1014" customFormat="1" ht="12" customHeight="1">
      <c r="A90" s="1895" t="s">
        <v>509</v>
      </c>
      <c r="B90" s="999" t="str">
        <f t="shared" ref="B90" si="780">IF(ISERROR(B86/A86-1),"NA",B86/A86-1)</f>
        <v>NA</v>
      </c>
      <c r="C90" s="987">
        <f t="shared" ref="C90" si="781">IF(ISERROR(C86/B86-1),"NA",C86/B86-1)</f>
        <v>-2.352941176470591E-2</v>
      </c>
      <c r="D90" s="987">
        <f t="shared" ref="D90" si="782">IF(ISERROR(D86/C86-1),"NA",D86/C86-1)</f>
        <v>0.12048192771084332</v>
      </c>
      <c r="E90" s="998">
        <f t="shared" ref="E90" si="783">IF(ISERROR(E86/D86-1),"NA",E86/D86-1)</f>
        <v>-1.0752688172043001E-2</v>
      </c>
      <c r="F90" s="999">
        <f t="shared" ref="F90" si="784">IF(ISERROR(F86/E86-1),"NA",F86/E86-1)</f>
        <v>6.5217391304347894E-2</v>
      </c>
      <c r="G90" s="987">
        <f t="shared" ref="G90" si="785">IF(ISERROR(G86/F86-1),"NA",G86/F86-1)</f>
        <v>-1.0204081632653073E-2</v>
      </c>
      <c r="H90" s="987">
        <f t="shared" ref="H90" si="786">IF(ISERROR(H86/G86-1),"NA",H86/G86-1)</f>
        <v>9.2783505154639068E-2</v>
      </c>
      <c r="I90" s="998">
        <f t="shared" ref="I90" si="787">IF(ISERROR(I86/H86-1),"NA",I86/H86-1)</f>
        <v>2.8301886792452935E-2</v>
      </c>
      <c r="J90" s="999">
        <f t="shared" ref="J90" si="788">IF(ISERROR(J86/I86-1),"NA",J86/I86-1)</f>
        <v>3.669724770642202E-2</v>
      </c>
      <c r="K90" s="987">
        <f t="shared" ref="K90" si="789">IF(ISERROR(K86/J86-1),"NA",K86/J86-1)</f>
        <v>3.539823008849563E-2</v>
      </c>
      <c r="L90" s="987">
        <f t="shared" ref="L90" si="790">IF(ISERROR(L86/K86-1),"NA",L86/K86-1)</f>
        <v>0.15384615384615374</v>
      </c>
      <c r="M90" s="998">
        <f t="shared" ref="M90" si="791">IF(ISERROR(M86/L86-1),"NA",M86/L86-1)</f>
        <v>8.1481481481481488E-2</v>
      </c>
      <c r="N90" s="999">
        <f t="shared" ref="N90" si="792">IF(ISERROR(N86/M86-1),"NA",N86/M86-1)</f>
        <v>5.4794520547945202E-2</v>
      </c>
      <c r="O90" s="987">
        <f t="shared" ref="O90" si="793">IF(ISERROR(O86/N86-1),"NA",O86/N86-1)</f>
        <v>5.8441558441558517E-2</v>
      </c>
      <c r="P90" s="987">
        <f t="shared" ref="P90" si="794">IF(ISERROR(P86/O86-1),"NA",P86/O86-1)</f>
        <v>9.8159509202454087E-2</v>
      </c>
      <c r="Q90" s="998">
        <f t="shared" ref="Q90" si="795">IF(ISERROR(Q86/P86-1),"NA",Q86/P86-1)</f>
        <v>4.4692737430167551E-2</v>
      </c>
      <c r="R90" s="984">
        <f t="shared" ref="R90" si="796">IF(ISERROR(R86/Q86-1),"NA",R86/Q86-1)</f>
        <v>4.2780748663101553E-2</v>
      </c>
      <c r="S90" s="984">
        <f t="shared" ref="S90" si="797">IF(ISERROR(S86/R86-1),"NA",S86/R86-1)</f>
        <v>2.564102564102555E-2</v>
      </c>
      <c r="T90" s="984">
        <f t="shared" ref="T90" si="798">IF(ISERROR(T86/S86-1),"NA",T86/S86-1)</f>
        <v>3.499999999999992E-2</v>
      </c>
      <c r="U90" s="985">
        <f t="shared" ref="U90" si="799">IF(ISERROR(U86/T86-1),"NA",U86/T86-1)</f>
        <v>9.1787439613526534E-2</v>
      </c>
      <c r="V90" s="984">
        <f t="shared" ref="V90:X90" si="800">IF(ISERROR(V86/U86-1),"NA",V86/U86-1)</f>
        <v>1.327433628318575E-2</v>
      </c>
      <c r="W90" s="984">
        <f t="shared" si="800"/>
        <v>4.8034934497816595E-2</v>
      </c>
      <c r="X90" s="984">
        <f t="shared" si="800"/>
        <v>0.15833333333333344</v>
      </c>
      <c r="Y90" s="985">
        <f t="shared" ref="Y90:AL90" si="801">IF(ISERROR(Y86/X86-1),"NA",Y86/X86-1)</f>
        <v>9.3525179856115193E-2</v>
      </c>
      <c r="Z90" s="1270">
        <f t="shared" si="801"/>
        <v>7.2368421052631637E-2</v>
      </c>
      <c r="AA90" s="984">
        <f t="shared" si="801"/>
        <v>0.76073619631901845</v>
      </c>
      <c r="AB90" s="984">
        <f t="shared" si="801"/>
        <v>6.9686411149825878E-2</v>
      </c>
      <c r="AC90" s="985">
        <f t="shared" si="801"/>
        <v>7.0032573289902311E-2</v>
      </c>
      <c r="AD90" s="1270">
        <f t="shared" si="801"/>
        <v>3.6529680365296802E-2</v>
      </c>
      <c r="AE90" s="984">
        <f t="shared" ref="AE90" si="802">IF(ISERROR(AE86/AD86-1),"NA",AE86/AD86-1)</f>
        <v>2.05580029368575E-2</v>
      </c>
      <c r="AF90" s="984">
        <f t="shared" si="801"/>
        <v>7.1942446043165464E-2</v>
      </c>
      <c r="AG90" s="985">
        <f t="shared" si="801"/>
        <v>5.9060402684563806E-2</v>
      </c>
      <c r="AH90" s="1270">
        <f t="shared" si="801"/>
        <v>3.9290240811153287E-2</v>
      </c>
      <c r="AI90" s="984">
        <f t="shared" si="801"/>
        <v>5.1219512195121997E-2</v>
      </c>
      <c r="AJ90" s="984">
        <f t="shared" si="801"/>
        <v>3.7122969837587005E-2</v>
      </c>
      <c r="AK90" s="985">
        <f t="shared" si="801"/>
        <v>4.8098434004474333E-2</v>
      </c>
      <c r="AL90" s="1270">
        <f t="shared" si="801"/>
        <v>4.3756670224119443E-2</v>
      </c>
      <c r="AM90" s="984">
        <f t="shared" ref="AM90:AQ90" si="803">IF(ISERROR(AM86/AL86-1),"NA",AM86/AL86-1)</f>
        <v>5.3169734151329306E-2</v>
      </c>
      <c r="AN90" s="984">
        <f t="shared" si="803"/>
        <v>2.8155339805825186E-2</v>
      </c>
      <c r="AO90" s="985">
        <f t="shared" si="803"/>
        <v>5.2880075542965033E-2</v>
      </c>
      <c r="AP90" s="1270">
        <f t="shared" si="803"/>
        <v>2.6905829596412634E-2</v>
      </c>
      <c r="AQ90" s="984">
        <f t="shared" si="803"/>
        <v>6.4628820960698663E-2</v>
      </c>
      <c r="AR90" s="984">
        <f t="shared" ref="AR90" si="804">IF(ISERROR(AR86/AQ86-1),"NA",AR86/AQ86-1)</f>
        <v>2.7891714520098532E-2</v>
      </c>
      <c r="AS90" s="985">
        <f t="shared" ref="AS90" si="805">IF(ISERROR(AS86/AR86-1),"NA",AS86/AR86-1)</f>
        <v>3.5913806863527631E-2</v>
      </c>
      <c r="AT90" s="984">
        <f t="shared" ref="AT90" si="806">IF(ISERROR(AT86/AS86-1),"NA",AT86/AS86-1)</f>
        <v>4.1602465331278982E-2</v>
      </c>
      <c r="AU90" s="984">
        <f t="shared" ref="AU90" si="807">IF(ISERROR(AU86/AT86-1),"NA",AU86/AT86-1)</f>
        <v>5.6213017751479244E-2</v>
      </c>
      <c r="AV90" s="984">
        <f t="shared" ref="AV90" si="808">IF(ISERROR(AV86/AU86-1),"NA",AV86/AU86-1)</f>
        <v>3.3613445378151363E-2</v>
      </c>
      <c r="AW90" s="985">
        <f t="shared" ref="AW90" si="809">IF(ISERROR(AW86/AV86-1),"NA",AW86/AV86-1)</f>
        <v>3.7262872628726296E-2</v>
      </c>
      <c r="AX90" s="984">
        <f t="shared" ref="AX90" si="810">IF(ISERROR(AX86/AW86-1),"NA",AX86/AW86-1)</f>
        <v>3.2984977139124849E-2</v>
      </c>
      <c r="AY90" s="984">
        <f t="shared" ref="AY90" si="811">IF(ISERROR(AY86/AX86-1),"NA",AY86/AX86-1)</f>
        <v>5.59595320897881E-2</v>
      </c>
      <c r="AZ90" s="984">
        <f t="shared" ref="AZ90" si="812">IF(ISERROR(AZ86/AY86-1),"NA",AZ86/AY86-1)</f>
        <v>3.6227544910179654E-2</v>
      </c>
      <c r="BA90" s="985">
        <f t="shared" ref="BA90" si="813">IF(ISERROR(BA86/AZ86-1),"NA",BA86/AZ86-1)</f>
        <v>3.9006067610517281E-2</v>
      </c>
      <c r="BB90" s="1013"/>
      <c r="BC90" s="846"/>
      <c r="BD90" s="989" t="s">
        <v>366</v>
      </c>
      <c r="BE90" s="989" t="s">
        <v>366</v>
      </c>
      <c r="BF90" s="989" t="s">
        <v>366</v>
      </c>
      <c r="BG90" s="841" t="s">
        <v>366</v>
      </c>
      <c r="BH90" s="841" t="s">
        <v>366</v>
      </c>
      <c r="BI90" s="989" t="s">
        <v>366</v>
      </c>
      <c r="BJ90" s="989" t="s">
        <v>366</v>
      </c>
      <c r="BK90" s="989" t="s">
        <v>366</v>
      </c>
      <c r="BL90" s="989" t="s">
        <v>366</v>
      </c>
      <c r="BM90" s="1046" t="s">
        <v>366</v>
      </c>
      <c r="BN90" s="1188" t="s">
        <v>366</v>
      </c>
      <c r="BO90" s="1188" t="s">
        <v>366</v>
      </c>
      <c r="BP90" s="1188" t="s">
        <v>366</v>
      </c>
      <c r="BR90" s="1425"/>
      <c r="BS90" s="1425"/>
      <c r="BT90" s="1425"/>
      <c r="BU90" s="1263"/>
    </row>
    <row r="91" spans="1:73" s="304" customFormat="1" ht="11.65" customHeight="1">
      <c r="A91" s="1694" t="s">
        <v>668</v>
      </c>
      <c r="B91" s="1851"/>
      <c r="C91" s="1701"/>
      <c r="D91" s="1701"/>
      <c r="E91" s="1702"/>
      <c r="F91" s="1701"/>
      <c r="G91" s="1701"/>
      <c r="H91" s="1701"/>
      <c r="I91" s="1702"/>
      <c r="J91" s="1701"/>
      <c r="K91" s="1701"/>
      <c r="L91" s="1701"/>
      <c r="M91" s="1702"/>
      <c r="N91" s="1851"/>
      <c r="O91" s="1851"/>
      <c r="P91" s="1851"/>
      <c r="Q91" s="1852"/>
      <c r="R91" s="1851"/>
      <c r="S91" s="1569"/>
      <c r="T91" s="1569"/>
      <c r="U91" s="1570"/>
      <c r="V91" s="1813">
        <f t="shared" ref="V91" si="814">+V86-U86</f>
        <v>3</v>
      </c>
      <c r="W91" s="1813">
        <f>+W86-V86</f>
        <v>11</v>
      </c>
      <c r="X91" s="1813">
        <f t="shared" ref="X91:Y91" si="815">+X86-W86</f>
        <v>38</v>
      </c>
      <c r="Y91" s="1810">
        <f t="shared" si="815"/>
        <v>26</v>
      </c>
      <c r="Z91" s="1813">
        <f t="shared" ref="Z91" si="816">+Z86-Y86</f>
        <v>22</v>
      </c>
      <c r="AA91" s="1813">
        <f>+AA86-Z86</f>
        <v>248</v>
      </c>
      <c r="AB91" s="1813">
        <f t="shared" ref="AB91:AC91" si="817">+AB86-AA86</f>
        <v>40</v>
      </c>
      <c r="AC91" s="1810">
        <f t="shared" si="817"/>
        <v>43</v>
      </c>
      <c r="AD91" s="1813">
        <f t="shared" ref="AD91" si="818">+AD86-AC86</f>
        <v>24</v>
      </c>
      <c r="AE91" s="1813">
        <f>+AE86-AD86</f>
        <v>14</v>
      </c>
      <c r="AF91" s="1813">
        <f t="shared" ref="AF91:AG91" si="819">+AF86-AE86</f>
        <v>50</v>
      </c>
      <c r="AG91" s="1810">
        <f t="shared" si="819"/>
        <v>44</v>
      </c>
      <c r="AH91" s="1813">
        <f t="shared" ref="AH91" si="820">+AH86-AG86</f>
        <v>31</v>
      </c>
      <c r="AI91" s="1813">
        <f t="shared" ref="AI91:AW91" si="821">+AI86-AH86</f>
        <v>42</v>
      </c>
      <c r="AJ91" s="1813">
        <f t="shared" si="821"/>
        <v>32</v>
      </c>
      <c r="AK91" s="1810">
        <f t="shared" si="821"/>
        <v>43</v>
      </c>
      <c r="AL91" s="1813">
        <f t="shared" si="821"/>
        <v>41</v>
      </c>
      <c r="AM91" s="1813">
        <f t="shared" si="821"/>
        <v>52</v>
      </c>
      <c r="AN91" s="1825">
        <f t="shared" si="821"/>
        <v>29</v>
      </c>
      <c r="AO91" s="1810">
        <f t="shared" si="821"/>
        <v>56</v>
      </c>
      <c r="AP91" s="1813">
        <f t="shared" si="821"/>
        <v>30</v>
      </c>
      <c r="AQ91" s="1813">
        <f t="shared" si="821"/>
        <v>74</v>
      </c>
      <c r="AR91" s="1825">
        <f t="shared" si="821"/>
        <v>34</v>
      </c>
      <c r="AS91" s="1826">
        <f t="shared" si="821"/>
        <v>45</v>
      </c>
      <c r="AT91" s="1825">
        <f t="shared" si="821"/>
        <v>54</v>
      </c>
      <c r="AU91" s="1825">
        <f t="shared" si="821"/>
        <v>76</v>
      </c>
      <c r="AV91" s="1825">
        <f t="shared" si="821"/>
        <v>48</v>
      </c>
      <c r="AW91" s="1826">
        <f t="shared" si="821"/>
        <v>55</v>
      </c>
      <c r="AX91" s="1825">
        <f t="shared" ref="AX91:BA91" si="822">+AX86-AW86</f>
        <v>50.5</v>
      </c>
      <c r="AY91" s="1825">
        <f t="shared" si="822"/>
        <v>88.5</v>
      </c>
      <c r="AZ91" s="1825">
        <f t="shared" si="822"/>
        <v>60.5</v>
      </c>
      <c r="BA91" s="1826">
        <f t="shared" si="822"/>
        <v>67.5</v>
      </c>
      <c r="BB91" s="1799"/>
      <c r="BC91" s="1805"/>
      <c r="BD91" s="1805"/>
      <c r="BE91" s="1805"/>
      <c r="BF91" s="1805"/>
      <c r="BG91" s="1805"/>
      <c r="BH91" s="1805"/>
      <c r="BI91" s="1764"/>
      <c r="BJ91" s="1764"/>
      <c r="BK91" s="989" t="s">
        <v>366</v>
      </c>
      <c r="BL91" s="989" t="s">
        <v>366</v>
      </c>
      <c r="BM91" s="1046" t="s">
        <v>366</v>
      </c>
      <c r="BN91" s="1188" t="s">
        <v>366</v>
      </c>
      <c r="BO91" s="1188" t="s">
        <v>366</v>
      </c>
      <c r="BP91" s="1188" t="s">
        <v>366</v>
      </c>
      <c r="BR91" s="1483"/>
      <c r="BS91" s="1483"/>
      <c r="BT91" s="1483"/>
      <c r="BU91" s="1672"/>
    </row>
    <row r="92" spans="1:73" s="1014" customFormat="1" ht="12" customHeight="1">
      <c r="A92" s="1064" t="s">
        <v>665</v>
      </c>
      <c r="B92" s="1252">
        <f t="shared" ref="B92:Y92" si="823">1-B68</f>
        <v>0.5629139072847682</v>
      </c>
      <c r="C92" s="1252">
        <f t="shared" si="823"/>
        <v>0.53548387096774186</v>
      </c>
      <c r="D92" s="1252">
        <f t="shared" si="823"/>
        <v>0.54385964912280704</v>
      </c>
      <c r="E92" s="1253">
        <f t="shared" si="823"/>
        <v>0.51396648044692739</v>
      </c>
      <c r="F92" s="1252">
        <f t="shared" si="823"/>
        <v>0.51308900523560208</v>
      </c>
      <c r="G92" s="1252">
        <f t="shared" si="823"/>
        <v>0.48499999999999999</v>
      </c>
      <c r="H92" s="1252">
        <f t="shared" si="823"/>
        <v>0.47111111111111115</v>
      </c>
      <c r="I92" s="1253">
        <f t="shared" si="823"/>
        <v>0.45041322314049592</v>
      </c>
      <c r="J92" s="1254">
        <f t="shared" si="823"/>
        <v>0.43129770992366412</v>
      </c>
      <c r="K92" s="1252">
        <f t="shared" si="823"/>
        <v>0.41052631578947374</v>
      </c>
      <c r="L92" s="1254">
        <f t="shared" si="823"/>
        <v>0.42452830188679247</v>
      </c>
      <c r="M92" s="1253">
        <f t="shared" si="823"/>
        <v>0.42815249266862165</v>
      </c>
      <c r="N92" s="1252">
        <f t="shared" si="823"/>
        <v>0.41509433962264153</v>
      </c>
      <c r="O92" s="1252">
        <f t="shared" si="823"/>
        <v>0.41370558375634514</v>
      </c>
      <c r="P92" s="1252">
        <f t="shared" si="823"/>
        <v>0.407744874715262</v>
      </c>
      <c r="Q92" s="1253">
        <f t="shared" si="823"/>
        <v>0.40740740740740744</v>
      </c>
      <c r="R92" s="984">
        <f t="shared" si="823"/>
        <v>0.3892215568862275</v>
      </c>
      <c r="S92" s="984">
        <f t="shared" si="823"/>
        <v>0.37735849056603776</v>
      </c>
      <c r="T92" s="984">
        <f t="shared" si="823"/>
        <v>0.36964285714285716</v>
      </c>
      <c r="U92" s="985">
        <f t="shared" si="823"/>
        <v>0.38240270727580372</v>
      </c>
      <c r="V92" s="984">
        <f t="shared" si="823"/>
        <v>0.3687600644122383</v>
      </c>
      <c r="W92" s="984">
        <f t="shared" si="823"/>
        <v>0.37267080745341619</v>
      </c>
      <c r="X92" s="984">
        <f>1-X68</f>
        <v>0.38881118881118881</v>
      </c>
      <c r="Y92" s="985">
        <f t="shared" si="823"/>
        <v>0.39480519480519483</v>
      </c>
      <c r="Z92" s="1270">
        <f t="shared" ref="Z92:AA92" si="824">1-Z68</f>
        <v>0.38579881656804738</v>
      </c>
      <c r="AA92" s="984">
        <f t="shared" si="824"/>
        <v>0.51204281891168602</v>
      </c>
      <c r="AB92" s="984">
        <f>1-AB68</f>
        <v>0.5151006711409396</v>
      </c>
      <c r="AC92" s="985">
        <f t="shared" ref="AC92:AE92" si="825">1-AC68</f>
        <v>0.51328125000000002</v>
      </c>
      <c r="AD92" s="1270">
        <f t="shared" si="825"/>
        <v>0.50481838398813939</v>
      </c>
      <c r="AE92" s="984">
        <f t="shared" si="825"/>
        <v>0.49964054636951838</v>
      </c>
      <c r="AF92" s="984">
        <f>1-AF68</f>
        <v>0.50749318801089927</v>
      </c>
      <c r="AG92" s="985">
        <f t="shared" ref="AG92" si="826">1-AG68</f>
        <v>0.50870406189555128</v>
      </c>
      <c r="AH92" s="1270">
        <f t="shared" ref="AH92:AI92" si="827">1-AH68</f>
        <v>0.50679851668726816</v>
      </c>
      <c r="AI92" s="984">
        <f t="shared" si="827"/>
        <v>0.51066350710900477</v>
      </c>
      <c r="AJ92" s="984">
        <f>1-AJ68</f>
        <v>0.50969213226909926</v>
      </c>
      <c r="AK92" s="985">
        <f t="shared" ref="AK92:AM92" si="828">1-AK68</f>
        <v>0.51146288209606983</v>
      </c>
      <c r="AL92" s="1270">
        <f t="shared" si="828"/>
        <v>0.50334534225424599</v>
      </c>
      <c r="AM92" s="984">
        <f t="shared" si="828"/>
        <v>0.50539744847890089</v>
      </c>
      <c r="AN92" s="984">
        <f t="shared" ref="AN92:AQ92" si="829">1-AN68</f>
        <v>0.50356633380884452</v>
      </c>
      <c r="AO92" s="985">
        <f t="shared" si="829"/>
        <v>0.50270513976555453</v>
      </c>
      <c r="AP92" s="1270">
        <f t="shared" si="829"/>
        <v>0.48702679710761376</v>
      </c>
      <c r="AQ92" s="984">
        <f t="shared" si="829"/>
        <v>0.49412241588974459</v>
      </c>
      <c r="AR92" s="1015">
        <f t="shared" ref="AR92:BA92" si="830">AR86/AR32</f>
        <v>0.50492839124092304</v>
      </c>
      <c r="AS92" s="1016">
        <f t="shared" si="830"/>
        <v>0.50018111334612692</v>
      </c>
      <c r="AT92" s="1015">
        <f t="shared" si="830"/>
        <v>0.4852948830464458</v>
      </c>
      <c r="AU92" s="1015">
        <f t="shared" si="830"/>
        <v>0.47818295131734023</v>
      </c>
      <c r="AV92" s="1015">
        <f t="shared" si="830"/>
        <v>0.50406096924777311</v>
      </c>
      <c r="AW92" s="1016">
        <f t="shared" si="830"/>
        <v>0.5042453771962917</v>
      </c>
      <c r="AX92" s="1015">
        <f t="shared" si="830"/>
        <v>0.4810787894506281</v>
      </c>
      <c r="AY92" s="1015">
        <f t="shared" si="830"/>
        <v>0.46388994632347286</v>
      </c>
      <c r="AZ92" s="1015">
        <f t="shared" si="830"/>
        <v>0.50295652844563876</v>
      </c>
      <c r="BA92" s="1016">
        <f t="shared" si="830"/>
        <v>0.50831215716336342</v>
      </c>
      <c r="BB92" s="1013"/>
      <c r="BC92" s="846"/>
      <c r="BD92" s="1011">
        <f t="shared" ref="BD92:BE92" si="831">+BD86/BD$6</f>
        <v>7.5202386024712395E-2</v>
      </c>
      <c r="BE92" s="1011">
        <f t="shared" si="831"/>
        <v>7.9196445818041333E-2</v>
      </c>
      <c r="BF92" s="1017">
        <f>+BF86/BF$6</f>
        <v>8.4813278008298756E-2</v>
      </c>
      <c r="BG92" s="1017">
        <f>+BG86/BG$6</f>
        <v>0.10067806603773585</v>
      </c>
      <c r="BH92" s="1017">
        <f>+BH86/BH$6</f>
        <v>0.10782653991405131</v>
      </c>
      <c r="BI92" s="1017">
        <f t="shared" ref="BI92:BJ92" si="832">+BI86/BI$6</f>
        <v>0.10910412124987023</v>
      </c>
      <c r="BJ92" s="1017">
        <f t="shared" si="832"/>
        <v>0.1705956309916706</v>
      </c>
      <c r="BK92" s="1017">
        <f t="shared" ref="BK92:BP92" si="833">BK86/BK32</f>
        <v>0.50529605834346236</v>
      </c>
      <c r="BL92" s="1017">
        <f t="shared" si="833"/>
        <v>0.50972141613464883</v>
      </c>
      <c r="BM92" s="1062">
        <f t="shared" si="833"/>
        <v>0.50373403999036381</v>
      </c>
      <c r="BN92" s="1368">
        <f t="shared" si="833"/>
        <v>0.49673559315182014</v>
      </c>
      <c r="BO92" s="1368">
        <f t="shared" si="833"/>
        <v>0.49306971176897474</v>
      </c>
      <c r="BP92" s="1368">
        <f t="shared" si="833"/>
        <v>0.48899237639213239</v>
      </c>
      <c r="BR92" s="1425"/>
      <c r="BS92" s="1425"/>
      <c r="BT92" s="1425"/>
      <c r="BU92" s="1263"/>
    </row>
    <row r="93" spans="1:73" s="414" customFormat="1" ht="12.75" hidden="1" customHeight="1" outlineLevel="1">
      <c r="A93" s="1950" t="s">
        <v>410</v>
      </c>
      <c r="B93" s="1926"/>
      <c r="C93" s="1926"/>
      <c r="D93" s="1926"/>
      <c r="E93" s="1927"/>
      <c r="F93" s="1071"/>
      <c r="G93" s="1071"/>
      <c r="H93" s="1071"/>
      <c r="I93" s="1072"/>
      <c r="J93" s="1071"/>
      <c r="K93" s="1071"/>
      <c r="L93" s="1071"/>
      <c r="M93" s="1072"/>
      <c r="N93" s="1071"/>
      <c r="O93" s="1071"/>
      <c r="P93" s="1071"/>
      <c r="Q93" s="1072"/>
      <c r="R93" s="1071"/>
      <c r="S93" s="1071"/>
      <c r="T93" s="1071"/>
      <c r="U93" s="1072"/>
      <c r="V93" s="1071"/>
      <c r="W93" s="1928"/>
      <c r="X93" s="1073"/>
      <c r="Y93" s="1072"/>
      <c r="Z93" s="1929"/>
      <c r="AA93" s="1928"/>
      <c r="AB93" s="1073"/>
      <c r="AC93" s="1074"/>
      <c r="AD93" s="1073"/>
      <c r="AE93" s="1073"/>
      <c r="AF93" s="1073"/>
      <c r="AG93" s="1074"/>
      <c r="AH93" s="1995">
        <f>_xll.VAData("INTU",AH$22,"Revenue - Online services","consensus.vaactuals","CD","IMPL","Current","","","USD")</f>
        <v>820</v>
      </c>
      <c r="AI93" s="1996">
        <f>_xll.VAData("INTU",AI$22,"Revenue - Online services","consensus.vaactuals","CD","IMPL","Current","","","USD")</f>
        <v>862</v>
      </c>
      <c r="AJ93" s="1995">
        <f>_xll.VAData("INTU",AJ$22,"Revenue - Online services","consensus.vaactuals","CD","IMPL","Current","","","USD")</f>
        <v>894</v>
      </c>
      <c r="AK93" s="1997">
        <f>_xll.VAData("INTU",AK$22,"Revenue - Online services","consensus.vaactuals","CD","IMPL","Current","","","USD")</f>
        <v>937</v>
      </c>
      <c r="AL93" s="1995">
        <f>_xll.VAData("INTU",AL$22,"Revenue - Online services","consensus.vaactuals","CD","IMPL","Current","","","USD")</f>
        <v>978</v>
      </c>
      <c r="AM93" s="1995">
        <f>_xll.VAData("INTU",AM$22,"Revenue - Online services","consensus.vaactuals","CD","IMPL","Current","","","USD")</f>
        <v>1030</v>
      </c>
      <c r="AN93" s="1995">
        <f>_xll.VAData("INTU",AN$22,"Revenue - Online services","consensus.vaactuals","CD","IMPL","Current","","","USD")</f>
        <v>1059</v>
      </c>
      <c r="AO93" s="1997">
        <f>_xll.VAData("INTU",AO$22,"Revenue - Online services","consensus.vaactuals","CD","IMPL","Current","","","USD")</f>
        <v>1115</v>
      </c>
      <c r="AP93" s="1995">
        <f>_xll.VAData("INTU",AP$22,"Revenue - Online services","consensus.vaactuals","CD","IMPL","Current","","","USD")</f>
        <v>1145</v>
      </c>
      <c r="AQ93" s="1995">
        <f>_xll.VAData("INTU",AQ$22,"Revenue - Online services","consensus.vaactuals","CD","IMPL","Current","","","USD")</f>
        <v>1030</v>
      </c>
      <c r="AR93" s="1995">
        <f>_xll.VAData("INTU",AR$22,"Revenue - Online services","consensus.vaactuals","CD","IMPL","Current","","","USD")</f>
        <v>1234.9605783997749</v>
      </c>
      <c r="AS93" s="1997">
        <f>_xll.VAData("INTU",AS$22,"Revenue - Online services","consensus.vaactuals","CD","IMPL","Current","","","USD")</f>
        <v>1274.363196925151</v>
      </c>
      <c r="AT93" s="1995">
        <f>_xll.VAData("INTU",AT$22,"Revenue - Online services","consensus.vaactuals","CD","IMPL","Current","","","USD")</f>
        <v>1349.2896063510993</v>
      </c>
      <c r="AU93" s="1995">
        <f>_xll.VAData("INTU",AU$22,"Revenue - Online services","consensus.vaactuals","CD","IMPL","Current","","","USD")</f>
        <v>1437.3079659834075</v>
      </c>
      <c r="AV93" s="1995">
        <f>_xll.VAData("INTU",AV$22,"Revenue - Online services","consensus.vaactuals","CD","IMPL","Current","","","USD")</f>
        <v>1469.5490564444915</v>
      </c>
      <c r="AW93" s="1997">
        <f>_xll.VAData("INTU",AW$22,"Revenue - Online services","consensus.vaactuals","CD","IMPL","Current","","","USD")</f>
        <v>1518.0042699757091</v>
      </c>
      <c r="AX93" s="1995">
        <f>_xll.VAData("INTU",AX$22,"Revenue - Online services","consensus.vaactuals","CD","IMPL","Current","","","USD")</f>
        <v>1600.779395288976</v>
      </c>
      <c r="AY93" s="1995">
        <f>_xll.VAData("INTU",AY$22,"Revenue - Online services","consensus.vaactuals","CD","IMPL","Current","","","USD")</f>
        <v>1685.672829019923</v>
      </c>
      <c r="AZ93" s="1995">
        <f>_xll.VAData("INTU",AZ$22,"Revenue - Online services","consensus.vaactuals","CD","IMPL","Current","","","USD")</f>
        <v>1721.2373511566932</v>
      </c>
      <c r="BA93" s="1997">
        <f>_xll.VAData("INTU",BA$22,"Revenue - Online services","consensus.vaactuals","CD","IMPL","Current","","","USD")</f>
        <v>1775.6390088919391</v>
      </c>
      <c r="BB93" s="1949"/>
      <c r="BC93" s="1930"/>
      <c r="BD93" s="1130"/>
      <c r="BE93" s="1130"/>
      <c r="BF93" s="1130"/>
      <c r="BG93" s="1130"/>
      <c r="BH93" s="1130"/>
      <c r="BI93" s="1130"/>
      <c r="BJ93" s="1130"/>
      <c r="BK93" s="1130"/>
      <c r="BL93" s="1993">
        <f>SUM(AH93:AK93)</f>
        <v>3513</v>
      </c>
      <c r="BM93" s="1993">
        <f>SUM(AL93:AO93)</f>
        <v>4182</v>
      </c>
      <c r="BN93" s="1994">
        <f>SUM(AP93:AS93)</f>
        <v>4684.3237753249259</v>
      </c>
      <c r="BO93" s="1994">
        <f>SUM(AT93:AW93)</f>
        <v>5774.1508987547077</v>
      </c>
      <c r="BP93" s="1994">
        <f>SUM(AX93:BA93)</f>
        <v>6783.3285843575313</v>
      </c>
      <c r="BR93" s="1406"/>
      <c r="BS93" s="1431"/>
      <c r="BT93" s="1432"/>
      <c r="BU93" s="1263"/>
    </row>
    <row r="94" spans="1:73" s="1014" customFormat="1" ht="12.75" hidden="1" customHeight="1" outlineLevel="1">
      <c r="A94" s="1951" t="s">
        <v>507</v>
      </c>
      <c r="B94" s="1939" t="str">
        <f>IF(ISERROR(B93/#REF!-1),"NA",B93/#REF!-1)</f>
        <v>NA</v>
      </c>
      <c r="C94" s="1940" t="str">
        <f>IF(ISERROR(C93/#REF!-1),"NA",C93/#REF!-1)</f>
        <v>NA</v>
      </c>
      <c r="D94" s="1940" t="str">
        <f>IF(ISERROR(D93/#REF!-1),"NA",D93/#REF!-1)</f>
        <v>NA</v>
      </c>
      <c r="E94" s="1941" t="str">
        <f t="shared" ref="E94:AG94" si="834">IF(ISERROR(E93/A93-1),"NA",E93/A93-1)</f>
        <v>NA</v>
      </c>
      <c r="F94" s="1939" t="str">
        <f t="shared" si="834"/>
        <v>NA</v>
      </c>
      <c r="G94" s="1940" t="str">
        <f t="shared" si="834"/>
        <v>NA</v>
      </c>
      <c r="H94" s="1940" t="str">
        <f t="shared" si="834"/>
        <v>NA</v>
      </c>
      <c r="I94" s="1941" t="str">
        <f t="shared" si="834"/>
        <v>NA</v>
      </c>
      <c r="J94" s="1939" t="str">
        <f t="shared" si="834"/>
        <v>NA</v>
      </c>
      <c r="K94" s="1940" t="str">
        <f t="shared" si="834"/>
        <v>NA</v>
      </c>
      <c r="L94" s="1940" t="str">
        <f t="shared" si="834"/>
        <v>NA</v>
      </c>
      <c r="M94" s="1941" t="str">
        <f t="shared" si="834"/>
        <v>NA</v>
      </c>
      <c r="N94" s="1939" t="str">
        <f t="shared" si="834"/>
        <v>NA</v>
      </c>
      <c r="O94" s="1940" t="str">
        <f t="shared" si="834"/>
        <v>NA</v>
      </c>
      <c r="P94" s="1940" t="str">
        <f t="shared" si="834"/>
        <v>NA</v>
      </c>
      <c r="Q94" s="1941" t="str">
        <f t="shared" si="834"/>
        <v>NA</v>
      </c>
      <c r="R94" s="1942" t="str">
        <f t="shared" si="834"/>
        <v>NA</v>
      </c>
      <c r="S94" s="1942" t="str">
        <f t="shared" si="834"/>
        <v>NA</v>
      </c>
      <c r="T94" s="1942" t="str">
        <f t="shared" si="834"/>
        <v>NA</v>
      </c>
      <c r="U94" s="1943" t="str">
        <f t="shared" si="834"/>
        <v>NA</v>
      </c>
      <c r="V94" s="1942" t="str">
        <f t="shared" si="834"/>
        <v>NA</v>
      </c>
      <c r="W94" s="1942" t="str">
        <f t="shared" si="834"/>
        <v>NA</v>
      </c>
      <c r="X94" s="1942" t="str">
        <f t="shared" si="834"/>
        <v>NA</v>
      </c>
      <c r="Y94" s="1943" t="str">
        <f t="shared" si="834"/>
        <v>NA</v>
      </c>
      <c r="Z94" s="1944" t="str">
        <f t="shared" si="834"/>
        <v>NA</v>
      </c>
      <c r="AA94" s="1942" t="str">
        <f t="shared" si="834"/>
        <v>NA</v>
      </c>
      <c r="AB94" s="1942" t="str">
        <f t="shared" si="834"/>
        <v>NA</v>
      </c>
      <c r="AC94" s="1943" t="str">
        <f t="shared" si="834"/>
        <v>NA</v>
      </c>
      <c r="AD94" s="1944" t="str">
        <f t="shared" si="834"/>
        <v>NA</v>
      </c>
      <c r="AE94" s="1942" t="str">
        <f t="shared" si="834"/>
        <v>NA</v>
      </c>
      <c r="AF94" s="1942" t="str">
        <f t="shared" si="834"/>
        <v>NA</v>
      </c>
      <c r="AG94" s="1943" t="str">
        <f t="shared" si="834"/>
        <v>NA</v>
      </c>
      <c r="AH94" s="1942"/>
      <c r="AI94" s="1942"/>
      <c r="AJ94" s="1942"/>
      <c r="AK94" s="1943"/>
      <c r="AL94" s="1942">
        <f>IF(ISERROR(AL93/AH93-1),"NA",AL93/AH93-1)</f>
        <v>0.19268292682926824</v>
      </c>
      <c r="AM94" s="1942">
        <f>IF(ISERROR(AM93/AI93-1),"NA",AM93/AI93-1)</f>
        <v>0.19489559164733183</v>
      </c>
      <c r="AN94" s="1942">
        <f>IF(ISERROR(AN93/AJ93-1),"NA",AN93/AJ93-1)</f>
        <v>0.18456375838926165</v>
      </c>
      <c r="AO94" s="1943">
        <v>0.20554320419854966</v>
      </c>
      <c r="AP94" s="1942">
        <f>IF(ISERROR(AP93/AL93-1),"NA",AP93/AL93-1)</f>
        <v>0.17075664621676889</v>
      </c>
      <c r="AQ94" s="1942">
        <f>IF(ISERROR(AQ93/AM93-1),"NA",AQ93/AM93-1)</f>
        <v>0</v>
      </c>
      <c r="AR94" s="1942">
        <v>0.17691048355285255</v>
      </c>
      <c r="AS94" s="1943">
        <v>0.1903289291668695</v>
      </c>
      <c r="AT94" s="1942">
        <v>0.1900031211763995</v>
      </c>
      <c r="AU94" s="1942">
        <v>0.18758004683403007</v>
      </c>
      <c r="AV94" s="1942">
        <v>0.18556425438852764</v>
      </c>
      <c r="AW94" s="1943">
        <v>0.18242459356905383</v>
      </c>
      <c r="AX94" s="1942">
        <v>0.18018397931533259</v>
      </c>
      <c r="AY94" s="1942">
        <v>0.17817349013947048</v>
      </c>
      <c r="AZ94" s="1942">
        <v>0.17648335308197516</v>
      </c>
      <c r="BA94" s="1943">
        <v>0.17389177041651482</v>
      </c>
      <c r="BB94" s="1945"/>
      <c r="BC94" s="1946"/>
      <c r="BD94" s="1947" t="str">
        <f>IF(ISERROR(BD93/BB93-1),"NA",BD93/BB93-1)</f>
        <v>NA</v>
      </c>
      <c r="BE94" s="1947" t="str">
        <f t="shared" ref="BE94:BJ94" si="835">IF(ISERROR(BE93/BD93-1),"NA",BE93/BD93-1)</f>
        <v>NA</v>
      </c>
      <c r="BF94" s="1947" t="str">
        <f t="shared" si="835"/>
        <v>NA</v>
      </c>
      <c r="BG94" s="1947" t="str">
        <f t="shared" si="835"/>
        <v>NA</v>
      </c>
      <c r="BH94" s="1947" t="str">
        <f t="shared" si="835"/>
        <v>NA</v>
      </c>
      <c r="BI94" s="1947" t="str">
        <f t="shared" si="835"/>
        <v>NA</v>
      </c>
      <c r="BJ94" s="1947" t="str">
        <f t="shared" si="835"/>
        <v>NA</v>
      </c>
      <c r="BK94" s="1947"/>
      <c r="BL94" s="1947"/>
      <c r="BM94" s="1947">
        <f>IF(ISERROR(BM93/BL93-1),"NA",BM93/BL93-1)</f>
        <v>0.19043552519214346</v>
      </c>
      <c r="BN94" s="1948">
        <f>IF(ISERROR(BN93/BM93-1),"NA",BN93/BM93-1)</f>
        <v>0.12011568037420517</v>
      </c>
      <c r="BO94" s="1948">
        <f>IF(ISERROR(BO93/BN93-1),"NA",BO93/BN93-1)</f>
        <v>0.23265409815831672</v>
      </c>
      <c r="BP94" s="1948">
        <f>IF(ISERROR(BP93/BO93-1),"NA",BP93/BO93-1)</f>
        <v>0.17477508005903863</v>
      </c>
      <c r="BR94" s="1425"/>
      <c r="BS94" s="1425"/>
      <c r="BT94" s="1425"/>
      <c r="BU94" s="1263"/>
    </row>
    <row r="95" spans="1:73" s="304" customFormat="1" ht="11.65" hidden="1" customHeight="1" outlineLevel="1">
      <c r="A95" s="1694"/>
      <c r="B95" s="836"/>
      <c r="C95" s="837"/>
      <c r="D95" s="837"/>
      <c r="E95" s="838"/>
      <c r="F95" s="837"/>
      <c r="G95" s="837"/>
      <c r="H95" s="837"/>
      <c r="I95" s="838"/>
      <c r="J95" s="837"/>
      <c r="K95" s="837"/>
      <c r="L95" s="837"/>
      <c r="M95" s="838"/>
      <c r="N95" s="836"/>
      <c r="O95" s="836"/>
      <c r="P95" s="836"/>
      <c r="Q95" s="1041"/>
      <c r="R95" s="836"/>
      <c r="S95" s="1294"/>
      <c r="T95" s="1294"/>
      <c r="U95" s="1557"/>
      <c r="V95" s="1813"/>
      <c r="W95" s="1813"/>
      <c r="X95" s="1813"/>
      <c r="Y95" s="1810"/>
      <c r="Z95" s="1813"/>
      <c r="AA95" s="1813"/>
      <c r="AB95" s="1813"/>
      <c r="AC95" s="1810"/>
      <c r="AD95" s="1813"/>
      <c r="AE95" s="1813"/>
      <c r="AF95" s="1813"/>
      <c r="AG95" s="1810"/>
      <c r="AH95" s="1813"/>
      <c r="AI95" s="1813"/>
      <c r="AJ95" s="1813"/>
      <c r="AK95" s="1810"/>
      <c r="AL95" s="1813"/>
      <c r="AM95" s="1813"/>
      <c r="AN95" s="1825"/>
      <c r="AO95" s="1826"/>
      <c r="AP95" s="1813"/>
      <c r="AQ95" s="1813"/>
      <c r="AR95" s="1825"/>
      <c r="AS95" s="1826"/>
      <c r="AT95" s="1825"/>
      <c r="AU95" s="1825"/>
      <c r="AV95" s="1825"/>
      <c r="AW95" s="1826"/>
      <c r="AX95" s="1825"/>
      <c r="AY95" s="1825"/>
      <c r="AZ95" s="1825"/>
      <c r="BA95" s="1826"/>
      <c r="BB95" s="1799"/>
      <c r="BC95" s="1710"/>
      <c r="BD95" s="1119"/>
      <c r="BE95" s="1119"/>
      <c r="BF95" s="1119"/>
      <c r="BG95" s="1119"/>
      <c r="BH95" s="1057"/>
      <c r="BI95" s="1057"/>
      <c r="BJ95" s="1057"/>
      <c r="BK95" s="1057"/>
      <c r="BL95" s="1057"/>
      <c r="BM95" s="1057"/>
      <c r="BN95" s="1057"/>
      <c r="BO95" s="1057"/>
      <c r="BP95" s="1057"/>
      <c r="BR95" s="1483"/>
      <c r="BS95" s="1483"/>
      <c r="BT95" s="1483"/>
      <c r="BU95" s="1675"/>
    </row>
    <row r="96" spans="1:73" s="304" customFormat="1" ht="11.65" hidden="1" customHeight="1" outlineLevel="1">
      <c r="A96" s="1699" t="s">
        <v>678</v>
      </c>
      <c r="B96" s="1110"/>
      <c r="C96" s="1108"/>
      <c r="D96" s="1108"/>
      <c r="E96" s="1109"/>
      <c r="F96" s="1108"/>
      <c r="G96" s="1108"/>
      <c r="H96" s="1108"/>
      <c r="I96" s="1109"/>
      <c r="J96" s="1108"/>
      <c r="K96" s="1108"/>
      <c r="L96" s="1108"/>
      <c r="M96" s="1109"/>
      <c r="N96" s="1110"/>
      <c r="O96" s="1110"/>
      <c r="P96" s="1110"/>
      <c r="Q96" s="1111"/>
      <c r="R96" s="1110"/>
      <c r="S96" s="1569"/>
      <c r="T96" s="1569"/>
      <c r="U96" s="1570"/>
      <c r="V96" s="1833"/>
      <c r="W96" s="1833"/>
      <c r="X96" s="1833"/>
      <c r="Y96" s="1834"/>
      <c r="Z96" s="1833">
        <f t="shared" ref="Z96:BA96" si="836">Z42-Z72</f>
        <v>26.357142857142854</v>
      </c>
      <c r="AA96" s="1833">
        <f t="shared" si="836"/>
        <v>30.417142857142849</v>
      </c>
      <c r="AB96" s="1833">
        <f t="shared" si="836"/>
        <v>33.937142857142845</v>
      </c>
      <c r="AC96" s="1834">
        <f t="shared" si="836"/>
        <v>35.661428571428573</v>
      </c>
      <c r="AD96" s="1833">
        <f t="shared" si="836"/>
        <v>41.604285714285723</v>
      </c>
      <c r="AE96" s="1833">
        <f t="shared" si="836"/>
        <v>47.084285714285727</v>
      </c>
      <c r="AF96" s="1833">
        <f t="shared" si="836"/>
        <v>54.52428571428571</v>
      </c>
      <c r="AG96" s="1834">
        <f t="shared" si="836"/>
        <v>63.697142857142822</v>
      </c>
      <c r="AH96" s="1833">
        <f t="shared" si="836"/>
        <v>68.097142857142842</v>
      </c>
      <c r="AI96" s="1833">
        <f t="shared" si="836"/>
        <v>72.497142857142848</v>
      </c>
      <c r="AJ96" s="1833">
        <f t="shared" si="836"/>
        <v>76.897142857142825</v>
      </c>
      <c r="AK96" s="1834">
        <f t="shared" si="836"/>
        <v>87.386071428571483</v>
      </c>
      <c r="AL96" s="1833">
        <f t="shared" si="836"/>
        <v>97.002571428571514</v>
      </c>
      <c r="AM96" s="1833">
        <f t="shared" si="836"/>
        <v>99.985071428571501</v>
      </c>
      <c r="AN96" s="1844">
        <f t="shared" si="836"/>
        <v>100.46757142857149</v>
      </c>
      <c r="AO96" s="1845">
        <f t="shared" si="836"/>
        <v>110.95007142857148</v>
      </c>
      <c r="AP96" s="1833">
        <f t="shared" ref="AP96:AQ96" si="837">AP42-AP72</f>
        <v>105.60924642857151</v>
      </c>
      <c r="AQ96" s="1833">
        <f t="shared" si="837"/>
        <v>106.97174642857152</v>
      </c>
      <c r="AR96" s="1844">
        <f t="shared" si="836"/>
        <v>131.0536573257653</v>
      </c>
      <c r="AS96" s="1845">
        <f t="shared" si="836"/>
        <v>140.13101089204059</v>
      </c>
      <c r="AT96" s="1844">
        <f t="shared" si="836"/>
        <v>152.81161721711339</v>
      </c>
      <c r="AU96" s="1844">
        <f t="shared" si="836"/>
        <v>153.83538412573182</v>
      </c>
      <c r="AV96" s="1844">
        <f t="shared" si="836"/>
        <v>195.61127590908916</v>
      </c>
      <c r="AW96" s="1845">
        <f t="shared" si="836"/>
        <v>198.84138628865634</v>
      </c>
      <c r="AX96" s="1844">
        <f t="shared" si="836"/>
        <v>202.6502496859851</v>
      </c>
      <c r="AY96" s="1844">
        <f t="shared" si="836"/>
        <v>201.83970461652257</v>
      </c>
      <c r="AZ96" s="1844">
        <f t="shared" si="836"/>
        <v>279.14393394995722</v>
      </c>
      <c r="BA96" s="1845">
        <f t="shared" si="836"/>
        <v>271.01268454758292</v>
      </c>
      <c r="BB96" s="1799"/>
      <c r="BC96" s="1710"/>
      <c r="BD96" s="1567"/>
      <c r="BE96" s="1567"/>
      <c r="BF96" s="1567"/>
      <c r="BG96" s="1567"/>
      <c r="BH96" s="1057"/>
      <c r="BI96" s="1827">
        <f>BI42-BI72</f>
        <v>93.973730664240236</v>
      </c>
      <c r="BJ96" s="1827">
        <f>BJ42-BJ72</f>
        <v>126.37285714285713</v>
      </c>
      <c r="BK96" s="1827">
        <f>BK42-BK72</f>
        <v>206.90999999999997</v>
      </c>
      <c r="BL96" s="1827">
        <f>BL42-BL72</f>
        <v>304.87750000000005</v>
      </c>
      <c r="BM96" s="1827">
        <f>SUM(AL96:AO96)</f>
        <v>408.40528571428604</v>
      </c>
      <c r="BN96" s="1827">
        <f>SUM(AP96:AS96)</f>
        <v>483.76566107494892</v>
      </c>
      <c r="BO96" s="1827">
        <f>SUM(AT96:AW96)</f>
        <v>701.09966354059065</v>
      </c>
      <c r="BP96" s="1828">
        <f>SUM(AX96:BA96)</f>
        <v>954.64657280004781</v>
      </c>
      <c r="BR96" s="1483"/>
      <c r="BS96" s="1483"/>
      <c r="BT96" s="1483"/>
      <c r="BU96" s="1672"/>
    </row>
    <row r="97" spans="1:73" s="304" customFormat="1" ht="11.65" hidden="1" customHeight="1" outlineLevel="1">
      <c r="A97" s="1700" t="s">
        <v>507</v>
      </c>
      <c r="B97" s="1851"/>
      <c r="C97" s="1701"/>
      <c r="D97" s="1701"/>
      <c r="E97" s="1702"/>
      <c r="F97" s="1701"/>
      <c r="G97" s="1701"/>
      <c r="H97" s="1701"/>
      <c r="I97" s="1702"/>
      <c r="J97" s="1701"/>
      <c r="K97" s="1701"/>
      <c r="L97" s="1701"/>
      <c r="M97" s="1702"/>
      <c r="N97" s="1851"/>
      <c r="O97" s="1851"/>
      <c r="P97" s="1851"/>
      <c r="Q97" s="1852"/>
      <c r="R97" s="1851"/>
      <c r="S97" s="1569"/>
      <c r="T97" s="1569"/>
      <c r="U97" s="1570"/>
      <c r="V97" s="1569"/>
      <c r="W97" s="1569"/>
      <c r="X97" s="1569"/>
      <c r="Y97" s="1570"/>
      <c r="Z97" s="1853"/>
      <c r="AA97" s="1853"/>
      <c r="AB97" s="1853"/>
      <c r="AC97" s="1854"/>
      <c r="AD97" s="1853">
        <f t="shared" ref="AD97:BA97" si="838">AD96/Z96-1</f>
        <v>0.57848238482384873</v>
      </c>
      <c r="AE97" s="1853">
        <f t="shared" si="838"/>
        <v>0.54795228254743655</v>
      </c>
      <c r="AF97" s="1853">
        <f t="shared" si="838"/>
        <v>0.60662569456137438</v>
      </c>
      <c r="AG97" s="1854">
        <f t="shared" si="838"/>
        <v>0.78616352201257755</v>
      </c>
      <c r="AH97" s="1853">
        <f t="shared" si="838"/>
        <v>0.63678192493905095</v>
      </c>
      <c r="AI97" s="1853">
        <f t="shared" si="838"/>
        <v>0.53973118116447649</v>
      </c>
      <c r="AJ97" s="1853">
        <f t="shared" si="838"/>
        <v>0.41032829407603377</v>
      </c>
      <c r="AK97" s="1854">
        <f t="shared" si="838"/>
        <v>0.37189938997039729</v>
      </c>
      <c r="AL97" s="1853">
        <f t="shared" si="838"/>
        <v>0.42447344130234277</v>
      </c>
      <c r="AM97" s="1853">
        <f t="shared" si="838"/>
        <v>0.37915878458264474</v>
      </c>
      <c r="AN97" s="1855">
        <f t="shared" si="838"/>
        <v>0.3065189120903633</v>
      </c>
      <c r="AO97" s="1856">
        <f t="shared" si="838"/>
        <v>0.26965395760193855</v>
      </c>
      <c r="AP97" s="1853">
        <f t="shared" si="838"/>
        <v>8.8726256152266814E-2</v>
      </c>
      <c r="AQ97" s="1853">
        <f t="shared" si="838"/>
        <v>6.987718166497725E-2</v>
      </c>
      <c r="AR97" s="1855">
        <f t="shared" si="838"/>
        <v>0.30443739668714209</v>
      </c>
      <c r="AS97" s="1856">
        <f t="shared" si="838"/>
        <v>0.26300965008621469</v>
      </c>
      <c r="AT97" s="1855">
        <f t="shared" si="838"/>
        <v>0.4469530120212255</v>
      </c>
      <c r="AU97" s="1855">
        <f t="shared" si="838"/>
        <v>0.43809360192555769</v>
      </c>
      <c r="AV97" s="1855">
        <f t="shared" si="838"/>
        <v>0.49260447896429493</v>
      </c>
      <c r="AW97" s="1856">
        <f t="shared" si="838"/>
        <v>0.41896775754973503</v>
      </c>
      <c r="AX97" s="1855">
        <f t="shared" si="838"/>
        <v>0.3261442642679544</v>
      </c>
      <c r="AY97" s="1855">
        <f t="shared" si="838"/>
        <v>0.31204992767825201</v>
      </c>
      <c r="AZ97" s="1855">
        <f t="shared" si="838"/>
        <v>0.42703396137393468</v>
      </c>
      <c r="BA97" s="1856">
        <f t="shared" si="838"/>
        <v>0.36295913846706007</v>
      </c>
      <c r="BB97" s="1799"/>
      <c r="BC97" s="1805"/>
      <c r="BD97" s="1805"/>
      <c r="BE97" s="1805"/>
      <c r="BF97" s="1805"/>
      <c r="BG97" s="1805"/>
      <c r="BH97" s="1805"/>
      <c r="BI97" s="1808"/>
      <c r="BJ97" s="1808">
        <f t="shared" ref="BJ97:BP97" si="839">BJ96/BI96-1</f>
        <v>0.34476790747380326</v>
      </c>
      <c r="BK97" s="1808">
        <f t="shared" si="839"/>
        <v>0.63729779224743099</v>
      </c>
      <c r="BL97" s="1809">
        <f t="shared" si="839"/>
        <v>0.4734788072108651</v>
      </c>
      <c r="BM97" s="1809">
        <f t="shared" si="839"/>
        <v>0.3395717483720051</v>
      </c>
      <c r="BN97" s="1809">
        <f t="shared" si="839"/>
        <v>0.18452350642049198</v>
      </c>
      <c r="BO97" s="1809">
        <f t="shared" si="839"/>
        <v>0.44925471142932283</v>
      </c>
      <c r="BP97" s="1809">
        <f t="shared" si="839"/>
        <v>0.36164175001743937</v>
      </c>
      <c r="BR97" s="1483"/>
      <c r="BS97" s="1483"/>
      <c r="BT97" s="1483"/>
      <c r="BU97" s="1672"/>
    </row>
    <row r="98" spans="1:73" s="304" customFormat="1" ht="11.65" hidden="1" customHeight="1" outlineLevel="1">
      <c r="A98" s="1700" t="s">
        <v>664</v>
      </c>
      <c r="B98" s="1851"/>
      <c r="C98" s="1701"/>
      <c r="D98" s="1701"/>
      <c r="E98" s="1702"/>
      <c r="F98" s="1701"/>
      <c r="G98" s="1701"/>
      <c r="H98" s="1701"/>
      <c r="I98" s="1702"/>
      <c r="J98" s="1701"/>
      <c r="K98" s="1701"/>
      <c r="L98" s="1701"/>
      <c r="M98" s="1702"/>
      <c r="N98" s="1851"/>
      <c r="O98" s="1851"/>
      <c r="P98" s="1851"/>
      <c r="Q98" s="1852"/>
      <c r="R98" s="1851"/>
      <c r="S98" s="1569"/>
      <c r="T98" s="1569"/>
      <c r="U98" s="1570"/>
      <c r="V98" s="1569"/>
      <c r="W98" s="1569"/>
      <c r="X98" s="1569"/>
      <c r="Y98" s="1570"/>
      <c r="Z98" s="1813"/>
      <c r="AA98" s="1813"/>
      <c r="AB98" s="1813"/>
      <c r="AC98" s="1810"/>
      <c r="AD98" s="1813">
        <f t="shared" ref="AD98:BA98" si="840">AD96-Z96</f>
        <v>15.247142857142869</v>
      </c>
      <c r="AE98" s="1813">
        <f t="shared" si="840"/>
        <v>16.667142857142878</v>
      </c>
      <c r="AF98" s="1813">
        <f t="shared" si="840"/>
        <v>20.587142857142865</v>
      </c>
      <c r="AG98" s="1810">
        <f t="shared" si="840"/>
        <v>28.035714285714249</v>
      </c>
      <c r="AH98" s="1813">
        <f t="shared" si="840"/>
        <v>26.492857142857119</v>
      </c>
      <c r="AI98" s="1813">
        <f t="shared" si="840"/>
        <v>25.412857142857121</v>
      </c>
      <c r="AJ98" s="1813">
        <f t="shared" si="840"/>
        <v>22.372857142857114</v>
      </c>
      <c r="AK98" s="1810">
        <f t="shared" si="840"/>
        <v>23.688928571428661</v>
      </c>
      <c r="AL98" s="1813">
        <f t="shared" si="840"/>
        <v>28.905428571428672</v>
      </c>
      <c r="AM98" s="1813">
        <f t="shared" si="840"/>
        <v>27.487928571428654</v>
      </c>
      <c r="AN98" s="1825">
        <f t="shared" si="840"/>
        <v>23.570428571428664</v>
      </c>
      <c r="AO98" s="1826">
        <f t="shared" si="840"/>
        <v>23.563999999999993</v>
      </c>
      <c r="AP98" s="1813">
        <f t="shared" si="840"/>
        <v>8.6066749999999956</v>
      </c>
      <c r="AQ98" s="1813">
        <f t="shared" si="840"/>
        <v>6.9866750000000195</v>
      </c>
      <c r="AR98" s="1825">
        <f t="shared" si="840"/>
        <v>30.586085897193811</v>
      </c>
      <c r="AS98" s="1826">
        <f t="shared" si="840"/>
        <v>29.180939463469116</v>
      </c>
      <c r="AT98" s="1825">
        <f t="shared" si="840"/>
        <v>47.202370788541884</v>
      </c>
      <c r="AU98" s="1825">
        <f t="shared" si="840"/>
        <v>46.8636376971603</v>
      </c>
      <c r="AV98" s="1825">
        <f t="shared" si="840"/>
        <v>64.557618583323858</v>
      </c>
      <c r="AW98" s="1826">
        <f t="shared" si="840"/>
        <v>58.710375396615746</v>
      </c>
      <c r="AX98" s="1825">
        <f t="shared" si="840"/>
        <v>49.838632468871708</v>
      </c>
      <c r="AY98" s="1825">
        <f t="shared" si="840"/>
        <v>48.004320490790747</v>
      </c>
      <c r="AZ98" s="1825">
        <f t="shared" si="840"/>
        <v>83.532658040868057</v>
      </c>
      <c r="BA98" s="1826">
        <f t="shared" si="840"/>
        <v>72.171298258926583</v>
      </c>
      <c r="BB98" s="1799"/>
      <c r="BC98" s="1805"/>
      <c r="BD98" s="1805"/>
      <c r="BE98" s="1805"/>
      <c r="BF98" s="1805"/>
      <c r="BG98" s="1805"/>
      <c r="BH98" s="1805"/>
      <c r="BI98" s="1764"/>
      <c r="BJ98" s="1764">
        <f t="shared" ref="BJ98:BP98" si="841">BJ96-BI96</f>
        <v>32.399126478616893</v>
      </c>
      <c r="BK98" s="1764">
        <f t="shared" si="841"/>
        <v>80.53714285714284</v>
      </c>
      <c r="BL98" s="1764">
        <f t="shared" si="841"/>
        <v>97.967500000000086</v>
      </c>
      <c r="BM98" s="1764">
        <f t="shared" si="841"/>
        <v>103.52778571428598</v>
      </c>
      <c r="BN98" s="1764">
        <f t="shared" si="841"/>
        <v>75.360375360662886</v>
      </c>
      <c r="BO98" s="1764">
        <f t="shared" si="841"/>
        <v>217.33400246564173</v>
      </c>
      <c r="BP98" s="1764">
        <f t="shared" si="841"/>
        <v>253.54690925945715</v>
      </c>
      <c r="BR98" s="1483"/>
      <c r="BS98" s="1483"/>
      <c r="BT98" s="1483"/>
      <c r="BU98" s="1672"/>
    </row>
    <row r="99" spans="1:73" s="569" customFormat="1" ht="11.65" hidden="1" customHeight="1" outlineLevel="1">
      <c r="A99" s="1700" t="s">
        <v>667</v>
      </c>
      <c r="B99" s="1127"/>
      <c r="C99" s="1125"/>
      <c r="D99" s="1125"/>
      <c r="E99" s="1126"/>
      <c r="F99" s="1125"/>
      <c r="G99" s="1125"/>
      <c r="H99" s="1125"/>
      <c r="I99" s="1126"/>
      <c r="J99" s="1125"/>
      <c r="K99" s="1125"/>
      <c r="L99" s="1125"/>
      <c r="M99" s="1126"/>
      <c r="N99" s="1127"/>
      <c r="O99" s="1127"/>
      <c r="P99" s="1127"/>
      <c r="Q99" s="1128"/>
      <c r="R99" s="1127"/>
      <c r="S99" s="1294"/>
      <c r="T99" s="1294"/>
      <c r="U99" s="1557"/>
      <c r="V99" s="1294"/>
      <c r="W99" s="1294"/>
      <c r="X99" s="1294"/>
      <c r="Y99" s="1557"/>
      <c r="Z99" s="1552">
        <f t="shared" ref="Z99:BA99" si="842">Z96/Z42</f>
        <v>0.29285714285714282</v>
      </c>
      <c r="AA99" s="1552">
        <f t="shared" si="842"/>
        <v>0.30417142857142848</v>
      </c>
      <c r="AB99" s="1552">
        <f t="shared" si="842"/>
        <v>0.30851948051948042</v>
      </c>
      <c r="AC99" s="1553">
        <f t="shared" si="842"/>
        <v>0.30169319459047894</v>
      </c>
      <c r="AD99" s="1552">
        <f t="shared" si="842"/>
        <v>0.31830850447575226</v>
      </c>
      <c r="AE99" s="1552">
        <f t="shared" si="842"/>
        <v>0.32879103777819901</v>
      </c>
      <c r="AF99" s="1552">
        <f t="shared" si="842"/>
        <v>0.34464480824973132</v>
      </c>
      <c r="AG99" s="1553">
        <f t="shared" si="842"/>
        <v>0.36299395932722195</v>
      </c>
      <c r="AH99" s="1552">
        <f t="shared" si="842"/>
        <v>0.36226288910505833</v>
      </c>
      <c r="AI99" s="1552">
        <f t="shared" si="842"/>
        <v>0.36162298516396596</v>
      </c>
      <c r="AJ99" s="1552">
        <f t="shared" si="842"/>
        <v>0.36105819537978578</v>
      </c>
      <c r="AK99" s="1553">
        <f t="shared" si="842"/>
        <v>0.37736992681817144</v>
      </c>
      <c r="AL99" s="1552">
        <f t="shared" si="842"/>
        <v>0.35073923177747524</v>
      </c>
      <c r="AM99" s="1552">
        <f t="shared" si="842"/>
        <v>0.34589002761355864</v>
      </c>
      <c r="AN99" s="1865">
        <f t="shared" si="842"/>
        <v>0.33593771084984819</v>
      </c>
      <c r="AO99" s="1866">
        <f t="shared" si="842"/>
        <v>0.34773384375157418</v>
      </c>
      <c r="AP99" s="1552">
        <f t="shared" ref="AP99:AQ99" si="843">AP96/AP42</f>
        <v>0.29008263806118412</v>
      </c>
      <c r="AQ99" s="1552">
        <f t="shared" si="843"/>
        <v>0.28407165314377597</v>
      </c>
      <c r="AR99" s="1865">
        <f t="shared" si="842"/>
        <v>0.31825710946771113</v>
      </c>
      <c r="AS99" s="1866">
        <f t="shared" si="842"/>
        <v>0.32326586227807297</v>
      </c>
      <c r="AT99" s="1865">
        <f t="shared" si="842"/>
        <v>0.31965241134890809</v>
      </c>
      <c r="AU99" s="1865">
        <f t="shared" si="842"/>
        <v>0.31246208268372255</v>
      </c>
      <c r="AV99" s="1865">
        <f t="shared" si="842"/>
        <v>0.35737063068477187</v>
      </c>
      <c r="AW99" s="1866">
        <f t="shared" si="842"/>
        <v>0.35167927666964527</v>
      </c>
      <c r="AX99" s="1865">
        <f t="shared" si="842"/>
        <v>0.33605671096666911</v>
      </c>
      <c r="AY99" s="1865">
        <f t="shared" si="842"/>
        <v>0.32853446183825807</v>
      </c>
      <c r="AZ99" s="1865">
        <f t="shared" si="842"/>
        <v>0.3966134886879179</v>
      </c>
      <c r="BA99" s="1866">
        <f t="shared" si="842"/>
        <v>0.38199971127146137</v>
      </c>
      <c r="BB99" s="1804"/>
      <c r="BC99" s="1729"/>
      <c r="BD99" s="1729"/>
      <c r="BE99" s="1729"/>
      <c r="BF99" s="1729"/>
      <c r="BG99" s="1729"/>
      <c r="BH99" s="1729"/>
      <c r="BI99" s="1809">
        <f t="shared" ref="BI99:BP99" si="844">BI96/BI42</f>
        <v>0.38781754194651669</v>
      </c>
      <c r="BJ99" s="1809">
        <f t="shared" si="844"/>
        <v>0.30217972761090783</v>
      </c>
      <c r="BK99" s="1809">
        <f t="shared" si="844"/>
        <v>0.3405421419049029</v>
      </c>
      <c r="BL99" s="1809">
        <f t="shared" si="844"/>
        <v>0.36600049820077496</v>
      </c>
      <c r="BM99" s="1809">
        <f t="shared" si="844"/>
        <v>0.34500558146831856</v>
      </c>
      <c r="BN99" s="1809">
        <f t="shared" si="844"/>
        <v>0.30504114876426314</v>
      </c>
      <c r="BO99" s="1809">
        <f t="shared" si="844"/>
        <v>0.33655640645076168</v>
      </c>
      <c r="BP99" s="1809">
        <f t="shared" si="844"/>
        <v>0.3628918374079057</v>
      </c>
      <c r="BR99" s="1862"/>
      <c r="BS99" s="1862"/>
      <c r="BT99" s="1862"/>
      <c r="BU99" s="1675"/>
    </row>
    <row r="100" spans="1:73" s="304" customFormat="1" ht="11.65" hidden="1" customHeight="1" outlineLevel="1">
      <c r="A100" s="1700" t="s">
        <v>666</v>
      </c>
      <c r="B100" s="1851"/>
      <c r="C100" s="1701"/>
      <c r="D100" s="1701"/>
      <c r="E100" s="1702"/>
      <c r="F100" s="1701"/>
      <c r="G100" s="1701"/>
      <c r="H100" s="1701"/>
      <c r="I100" s="1702"/>
      <c r="J100" s="1701"/>
      <c r="K100" s="1701"/>
      <c r="L100" s="1701"/>
      <c r="M100" s="1702"/>
      <c r="N100" s="1851"/>
      <c r="O100" s="1851"/>
      <c r="P100" s="1851"/>
      <c r="Q100" s="1852"/>
      <c r="R100" s="1851"/>
      <c r="S100" s="1569"/>
      <c r="T100" s="1569"/>
      <c r="U100" s="1570"/>
      <c r="V100" s="1569"/>
      <c r="W100" s="1569"/>
      <c r="X100" s="1569"/>
      <c r="Y100" s="1570"/>
      <c r="Z100" s="1552">
        <f t="shared" ref="Z100:BA100" si="845">Z96/Z86</f>
        <v>8.0850131463628391E-2</v>
      </c>
      <c r="AA100" s="1552">
        <f t="shared" si="845"/>
        <v>5.299153807864608E-2</v>
      </c>
      <c r="AB100" s="1552">
        <f t="shared" si="845"/>
        <v>5.5272219637040466E-2</v>
      </c>
      <c r="AC100" s="1553">
        <f t="shared" si="845"/>
        <v>5.4279191128506196E-2</v>
      </c>
      <c r="AD100" s="1552">
        <f t="shared" si="845"/>
        <v>6.1092930564296218E-2</v>
      </c>
      <c r="AE100" s="1552">
        <f t="shared" si="845"/>
        <v>6.7747173689619758E-2</v>
      </c>
      <c r="AF100" s="1552">
        <f t="shared" si="845"/>
        <v>7.3186960690316397E-2</v>
      </c>
      <c r="AG100" s="1553">
        <f t="shared" si="845"/>
        <v>8.0731486510954145E-2</v>
      </c>
      <c r="AH100" s="1552">
        <f t="shared" si="845"/>
        <v>8.3045296167247373E-2</v>
      </c>
      <c r="AI100" s="1552">
        <f t="shared" si="845"/>
        <v>8.4103413987404702E-2</v>
      </c>
      <c r="AJ100" s="1552">
        <f t="shared" si="845"/>
        <v>8.6014701182486386E-2</v>
      </c>
      <c r="AK100" s="1553">
        <f t="shared" si="845"/>
        <v>9.3261549016618442E-2</v>
      </c>
      <c r="AL100" s="1552">
        <f t="shared" si="845"/>
        <v>9.9184633362547556E-2</v>
      </c>
      <c r="AM100" s="1552">
        <f t="shared" si="845"/>
        <v>9.707288488210826E-2</v>
      </c>
      <c r="AN100" s="1865">
        <f t="shared" si="845"/>
        <v>9.4870227977876753E-2</v>
      </c>
      <c r="AO100" s="1866">
        <f t="shared" si="845"/>
        <v>9.9506790518898186E-2</v>
      </c>
      <c r="AP100" s="1552">
        <f t="shared" ref="AP100:AQ100" si="846">AP96/AP86</f>
        <v>9.2235149719276432E-2</v>
      </c>
      <c r="AQ100" s="1552">
        <f t="shared" si="846"/>
        <v>8.775368862064932E-2</v>
      </c>
      <c r="AR100" s="1865">
        <f t="shared" si="845"/>
        <v>0.10459190528792123</v>
      </c>
      <c r="AS100" s="1866">
        <f t="shared" si="845"/>
        <v>0.10795917634209599</v>
      </c>
      <c r="AT100" s="1865">
        <f t="shared" si="845"/>
        <v>0.11302634409549807</v>
      </c>
      <c r="AU100" s="1865">
        <f t="shared" si="845"/>
        <v>0.10772786003202509</v>
      </c>
      <c r="AV100" s="1865">
        <f t="shared" si="845"/>
        <v>0.13252796470805497</v>
      </c>
      <c r="AW100" s="1866">
        <f t="shared" si="845"/>
        <v>0.12987680358501394</v>
      </c>
      <c r="AX100" s="1865">
        <f t="shared" si="845"/>
        <v>0.12813800169837819</v>
      </c>
      <c r="AY100" s="1865">
        <f t="shared" si="845"/>
        <v>0.120862098572768</v>
      </c>
      <c r="AZ100" s="1865">
        <f t="shared" si="845"/>
        <v>0.16130825423285594</v>
      </c>
      <c r="BA100" s="1866">
        <f t="shared" si="845"/>
        <v>0.15073008039353888</v>
      </c>
      <c r="BB100" s="1799"/>
      <c r="BC100" s="1805"/>
      <c r="BD100" s="1857"/>
      <c r="BE100" s="1857"/>
      <c r="BF100" s="1857"/>
      <c r="BG100" s="1857"/>
      <c r="BH100" s="1857"/>
      <c r="BI100" s="1858">
        <f t="shared" ref="BI100:BP100" si="847">BI96/BI86</f>
        <v>8.9413635265690045E-2</v>
      </c>
      <c r="BJ100" s="1858">
        <f t="shared" si="847"/>
        <v>5.8209515035862337E-2</v>
      </c>
      <c r="BK100" s="1858">
        <f t="shared" si="847"/>
        <v>7.1103092783505142E-2</v>
      </c>
      <c r="BL100" s="1858">
        <f t="shared" si="847"/>
        <v>8.6785510959294071E-2</v>
      </c>
      <c r="BM100" s="1858">
        <f t="shared" si="847"/>
        <v>9.7657887545262084E-2</v>
      </c>
      <c r="BN100" s="1858">
        <f t="shared" si="847"/>
        <v>9.8426380686663054E-2</v>
      </c>
      <c r="BO100" s="1858">
        <f t="shared" si="847"/>
        <v>0.1211507972249163</v>
      </c>
      <c r="BP100" s="1858">
        <f t="shared" si="847"/>
        <v>0.14080332932154097</v>
      </c>
      <c r="BR100" s="1483"/>
      <c r="BS100" s="1483"/>
      <c r="BT100" s="1483"/>
      <c r="BU100" s="1672"/>
    </row>
    <row r="101" spans="1:73" s="304" customFormat="1" ht="11.65" hidden="1" customHeight="1" outlineLevel="1">
      <c r="A101" s="1694"/>
      <c r="B101" s="836"/>
      <c r="C101" s="837"/>
      <c r="D101" s="837"/>
      <c r="E101" s="838"/>
      <c r="F101" s="837"/>
      <c r="G101" s="837"/>
      <c r="H101" s="837"/>
      <c r="I101" s="838"/>
      <c r="J101" s="837"/>
      <c r="K101" s="837"/>
      <c r="L101" s="837"/>
      <c r="M101" s="838"/>
      <c r="N101" s="836"/>
      <c r="O101" s="836"/>
      <c r="P101" s="836"/>
      <c r="Q101" s="1041"/>
      <c r="R101" s="836"/>
      <c r="S101" s="1294"/>
      <c r="T101" s="1294"/>
      <c r="U101" s="1557"/>
      <c r="V101" s="1813"/>
      <c r="W101" s="1813"/>
      <c r="X101" s="1813"/>
      <c r="Y101" s="1810"/>
      <c r="Z101" s="1813"/>
      <c r="AA101" s="1813"/>
      <c r="AB101" s="1813"/>
      <c r="AC101" s="1810"/>
      <c r="AD101" s="1813"/>
      <c r="AE101" s="1813"/>
      <c r="AF101" s="1813"/>
      <c r="AG101" s="1810"/>
      <c r="AH101" s="1813"/>
      <c r="AI101" s="1813"/>
      <c r="AJ101" s="1813"/>
      <c r="AK101" s="1810"/>
      <c r="AL101" s="1813"/>
      <c r="AM101" s="1813"/>
      <c r="AN101" s="1825"/>
      <c r="AO101" s="1826"/>
      <c r="AP101" s="1813"/>
      <c r="AQ101" s="1813"/>
      <c r="AR101" s="1825"/>
      <c r="AS101" s="1826"/>
      <c r="AT101" s="1825"/>
      <c r="AU101" s="1825"/>
      <c r="AV101" s="1825"/>
      <c r="AW101" s="1826"/>
      <c r="AX101" s="1825"/>
      <c r="AY101" s="1825"/>
      <c r="AZ101" s="1825"/>
      <c r="BA101" s="1826"/>
      <c r="BB101" s="1799"/>
      <c r="BC101" s="1674"/>
      <c r="BD101" s="1119"/>
      <c r="BE101" s="1119"/>
      <c r="BF101" s="1119"/>
      <c r="BG101" s="1119"/>
      <c r="BH101" s="1057"/>
      <c r="BI101" s="1057"/>
      <c r="BJ101" s="1057"/>
      <c r="BK101" s="1057"/>
      <c r="BL101" s="1057"/>
      <c r="BM101" s="1057"/>
      <c r="BN101" s="1057"/>
      <c r="BO101" s="1057"/>
      <c r="BP101" s="1057"/>
      <c r="BR101" s="1483"/>
      <c r="BS101" s="1483"/>
      <c r="BT101" s="1483"/>
      <c r="BU101" s="1675"/>
    </row>
    <row r="102" spans="1:73" s="304" customFormat="1" ht="11.65" hidden="1" customHeight="1" outlineLevel="1">
      <c r="A102" s="1699" t="s">
        <v>677</v>
      </c>
      <c r="B102" s="1110"/>
      <c r="C102" s="1108"/>
      <c r="D102" s="1108"/>
      <c r="E102" s="1109"/>
      <c r="F102" s="1108"/>
      <c r="G102" s="1108"/>
      <c r="H102" s="1108"/>
      <c r="I102" s="1109"/>
      <c r="J102" s="1108"/>
      <c r="K102" s="1108"/>
      <c r="L102" s="1108"/>
      <c r="M102" s="1109"/>
      <c r="N102" s="1110"/>
      <c r="O102" s="1110"/>
      <c r="P102" s="1110"/>
      <c r="Q102" s="1111"/>
      <c r="R102" s="1110"/>
      <c r="S102" s="1569"/>
      <c r="T102" s="1569"/>
      <c r="U102" s="1570"/>
      <c r="V102" s="1833"/>
      <c r="W102" s="1833"/>
      <c r="X102" s="1833"/>
      <c r="Y102" s="1834"/>
      <c r="Z102" s="1833">
        <f t="shared" ref="Z102:BA102" si="848">Z86-Z96</f>
        <v>299.64285714285717</v>
      </c>
      <c r="AA102" s="1833">
        <f t="shared" si="848"/>
        <v>543.58285714285716</v>
      </c>
      <c r="AB102" s="1833">
        <f t="shared" si="848"/>
        <v>580.06285714285718</v>
      </c>
      <c r="AC102" s="1834">
        <f t="shared" si="848"/>
        <v>621.33857142857141</v>
      </c>
      <c r="AD102" s="1833">
        <f t="shared" si="848"/>
        <v>639.39571428571423</v>
      </c>
      <c r="AE102" s="1833">
        <f t="shared" si="848"/>
        <v>647.91571428571433</v>
      </c>
      <c r="AF102" s="1833">
        <f t="shared" si="848"/>
        <v>690.47571428571428</v>
      </c>
      <c r="AG102" s="1834">
        <f t="shared" si="848"/>
        <v>725.30285714285719</v>
      </c>
      <c r="AH102" s="1833">
        <f t="shared" si="848"/>
        <v>751.9028571428571</v>
      </c>
      <c r="AI102" s="1833">
        <f t="shared" si="848"/>
        <v>789.50285714285712</v>
      </c>
      <c r="AJ102" s="1833">
        <f t="shared" si="848"/>
        <v>817.10285714285715</v>
      </c>
      <c r="AK102" s="1834">
        <f t="shared" si="848"/>
        <v>849.61392857142846</v>
      </c>
      <c r="AL102" s="1833">
        <f t="shared" si="848"/>
        <v>880.99742857142849</v>
      </c>
      <c r="AM102" s="1833">
        <f t="shared" si="848"/>
        <v>930.01492857142853</v>
      </c>
      <c r="AN102" s="1844">
        <f t="shared" si="848"/>
        <v>958.53242857142845</v>
      </c>
      <c r="AO102" s="1845">
        <f t="shared" si="848"/>
        <v>1004.0499285714285</v>
      </c>
      <c r="AP102" s="1833">
        <f t="shared" ref="AP102:AQ102" si="849">AP86-AP96</f>
        <v>1039.3907535714284</v>
      </c>
      <c r="AQ102" s="1833">
        <f t="shared" si="849"/>
        <v>1112.0282535714284</v>
      </c>
      <c r="AR102" s="1844">
        <f t="shared" si="848"/>
        <v>1121.9463426742348</v>
      </c>
      <c r="AS102" s="1845">
        <f t="shared" si="848"/>
        <v>1157.8689891079594</v>
      </c>
      <c r="AT102" s="1844">
        <f t="shared" si="848"/>
        <v>1199.1883827828865</v>
      </c>
      <c r="AU102" s="1844">
        <f t="shared" si="848"/>
        <v>1274.1646158742683</v>
      </c>
      <c r="AV102" s="1844">
        <f t="shared" si="848"/>
        <v>1280.3887240909107</v>
      </c>
      <c r="AW102" s="1845">
        <f t="shared" si="848"/>
        <v>1332.1586137113436</v>
      </c>
      <c r="AX102" s="1844">
        <f t="shared" si="848"/>
        <v>1378.849750314015</v>
      </c>
      <c r="AY102" s="1844">
        <f t="shared" si="848"/>
        <v>1468.1602953834774</v>
      </c>
      <c r="AZ102" s="1844">
        <f t="shared" si="848"/>
        <v>1451.3560660500427</v>
      </c>
      <c r="BA102" s="1845">
        <f t="shared" si="848"/>
        <v>1526.9873154524171</v>
      </c>
      <c r="BB102" s="1799"/>
      <c r="BC102" s="1710"/>
      <c r="BD102" s="1567"/>
      <c r="BE102" s="1567"/>
      <c r="BF102" s="1567"/>
      <c r="BG102" s="1567"/>
      <c r="BH102" s="1671"/>
      <c r="BI102" s="1827">
        <f>SUM(V102:Y102)</f>
        <v>0</v>
      </c>
      <c r="BJ102" s="1827">
        <f>SUM(Z102:AC102)</f>
        <v>2044.6271428571429</v>
      </c>
      <c r="BK102" s="1827">
        <f>SUM(AD102:AG102)</f>
        <v>2703.09</v>
      </c>
      <c r="BL102" s="1827">
        <f>SUM(AH102:AK102)</f>
        <v>3208.1224999999999</v>
      </c>
      <c r="BM102" s="1827">
        <f>SUM(AL102:AO102)</f>
        <v>3773.594714285714</v>
      </c>
      <c r="BN102" s="1827">
        <f>SUM(AP102:AS102)</f>
        <v>4431.2343389250509</v>
      </c>
      <c r="BO102" s="1827">
        <f>SUM(AT102:AW102)</f>
        <v>5085.9003364594091</v>
      </c>
      <c r="BP102" s="1828">
        <f>SUM(AX102:BA102)</f>
        <v>5825.3534271999524</v>
      </c>
      <c r="BR102" s="1483"/>
      <c r="BS102" s="1483"/>
      <c r="BT102" s="1483"/>
      <c r="BU102" s="1672"/>
    </row>
    <row r="103" spans="1:73" s="304" customFormat="1" ht="11.65" hidden="1" customHeight="1" outlineLevel="1">
      <c r="A103" s="1700" t="s">
        <v>507</v>
      </c>
      <c r="B103" s="1110"/>
      <c r="C103" s="1108"/>
      <c r="D103" s="1108"/>
      <c r="E103" s="1109"/>
      <c r="F103" s="1108"/>
      <c r="G103" s="1108"/>
      <c r="H103" s="1108"/>
      <c r="I103" s="1109"/>
      <c r="J103" s="1108"/>
      <c r="K103" s="1108"/>
      <c r="L103" s="1108"/>
      <c r="M103" s="1109"/>
      <c r="N103" s="1110"/>
      <c r="O103" s="1110"/>
      <c r="P103" s="1110"/>
      <c r="Q103" s="1111"/>
      <c r="R103" s="1110"/>
      <c r="S103" s="1569"/>
      <c r="T103" s="1569"/>
      <c r="U103" s="1570"/>
      <c r="V103" s="1569"/>
      <c r="W103" s="1569"/>
      <c r="X103" s="1569"/>
      <c r="Y103" s="1570"/>
      <c r="Z103" s="1829"/>
      <c r="AA103" s="1829"/>
      <c r="AB103" s="1829"/>
      <c r="AC103" s="1830"/>
      <c r="AD103" s="1829">
        <f t="shared" ref="AD103:BA103" si="850">AD102/Z102-1</f>
        <v>1.1338593563766386</v>
      </c>
      <c r="AE103" s="1829">
        <f t="shared" si="850"/>
        <v>0.19193551778149209</v>
      </c>
      <c r="AF103" s="1829">
        <f t="shared" si="850"/>
        <v>0.19034636640364089</v>
      </c>
      <c r="AG103" s="1830">
        <f t="shared" si="850"/>
        <v>0.16732308357302328</v>
      </c>
      <c r="AH103" s="1829">
        <f t="shared" si="850"/>
        <v>0.17595855014891293</v>
      </c>
      <c r="AI103" s="1829">
        <f t="shared" si="850"/>
        <v>0.21852710118820551</v>
      </c>
      <c r="AJ103" s="1829">
        <f t="shared" si="850"/>
        <v>0.18339116095942143</v>
      </c>
      <c r="AK103" s="1830">
        <f t="shared" si="850"/>
        <v>0.17139195055464485</v>
      </c>
      <c r="AL103" s="1829">
        <f t="shared" si="850"/>
        <v>0.17169049193284835</v>
      </c>
      <c r="AM103" s="1829">
        <f t="shared" si="850"/>
        <v>0.17797538052879558</v>
      </c>
      <c r="AN103" s="1831">
        <f t="shared" si="850"/>
        <v>0.1730866196247367</v>
      </c>
      <c r="AO103" s="1753">
        <f t="shared" si="850"/>
        <v>0.18177197290029645</v>
      </c>
      <c r="AP103" s="1829">
        <f t="shared" si="850"/>
        <v>0.17978863486223884</v>
      </c>
      <c r="AQ103" s="1829">
        <f t="shared" si="850"/>
        <v>0.19571011110497527</v>
      </c>
      <c r="AR103" s="1831">
        <f t="shared" si="850"/>
        <v>0.17048344868869392</v>
      </c>
      <c r="AS103" s="1753">
        <f t="shared" si="850"/>
        <v>0.15319861708011473</v>
      </c>
      <c r="AT103" s="1831">
        <f t="shared" si="850"/>
        <v>0.15374163052959711</v>
      </c>
      <c r="AU103" s="1831">
        <f t="shared" si="850"/>
        <v>0.14580237667713658</v>
      </c>
      <c r="AV103" s="1831">
        <f t="shared" si="850"/>
        <v>0.14122099728853144</v>
      </c>
      <c r="AW103" s="1753">
        <f t="shared" si="850"/>
        <v>0.15052620481498491</v>
      </c>
      <c r="AX103" s="1831">
        <f t="shared" si="850"/>
        <v>0.14981913610120112</v>
      </c>
      <c r="AY103" s="1831">
        <f t="shared" si="850"/>
        <v>0.15225323093444953</v>
      </c>
      <c r="AZ103" s="1831">
        <f t="shared" si="850"/>
        <v>0.13352768479003951</v>
      </c>
      <c r="BA103" s="1753">
        <f t="shared" si="850"/>
        <v>0.14625037869799007</v>
      </c>
      <c r="BB103" s="1799"/>
      <c r="BC103" s="1710"/>
      <c r="BD103" s="1710"/>
      <c r="BE103" s="1710"/>
      <c r="BF103" s="1710"/>
      <c r="BG103" s="1710"/>
      <c r="BH103" s="1710"/>
      <c r="BI103" s="1808"/>
      <c r="BJ103" s="1808" t="e">
        <f t="shared" ref="BJ103:BP103" si="851">BJ102/BI102-1</f>
        <v>#DIV/0!</v>
      </c>
      <c r="BK103" s="1808">
        <f t="shared" si="851"/>
        <v>0.32204544454140782</v>
      </c>
      <c r="BL103" s="1809">
        <f t="shared" si="851"/>
        <v>0.18683525150845881</v>
      </c>
      <c r="BM103" s="1809">
        <f t="shared" si="851"/>
        <v>0.17626266275234626</v>
      </c>
      <c r="BN103" s="1809">
        <f t="shared" si="851"/>
        <v>0.1742740475413822</v>
      </c>
      <c r="BO103" s="1809">
        <f t="shared" si="851"/>
        <v>0.14773897010672887</v>
      </c>
      <c r="BP103" s="1809">
        <f t="shared" si="851"/>
        <v>0.14539276073493013</v>
      </c>
      <c r="BR103" s="1483"/>
      <c r="BS103" s="1483"/>
      <c r="BT103" s="1483"/>
      <c r="BU103" s="1672"/>
    </row>
    <row r="104" spans="1:73" s="304" customFormat="1" ht="11.65" hidden="1" customHeight="1" outlineLevel="1">
      <c r="A104" s="1700" t="s">
        <v>664</v>
      </c>
      <c r="B104" s="1110"/>
      <c r="C104" s="1108"/>
      <c r="D104" s="1108"/>
      <c r="E104" s="1109"/>
      <c r="F104" s="1108"/>
      <c r="G104" s="1108"/>
      <c r="H104" s="1108"/>
      <c r="I104" s="1109"/>
      <c r="J104" s="1108"/>
      <c r="K104" s="1108"/>
      <c r="L104" s="1108"/>
      <c r="M104" s="1109"/>
      <c r="N104" s="1110"/>
      <c r="O104" s="1110"/>
      <c r="P104" s="1110"/>
      <c r="Q104" s="1111"/>
      <c r="R104" s="1110"/>
      <c r="S104" s="1569"/>
      <c r="T104" s="1569"/>
      <c r="U104" s="1570"/>
      <c r="V104" s="1569"/>
      <c r="W104" s="1569"/>
      <c r="X104" s="1569"/>
      <c r="Y104" s="1570"/>
      <c r="Z104" s="1813">
        <f t="shared" ref="Z104:BA104" si="852">Z102-V102</f>
        <v>299.64285714285717</v>
      </c>
      <c r="AA104" s="1813">
        <f t="shared" si="852"/>
        <v>543.58285714285716</v>
      </c>
      <c r="AB104" s="1813">
        <f t="shared" si="852"/>
        <v>580.06285714285718</v>
      </c>
      <c r="AC104" s="1810">
        <f t="shared" si="852"/>
        <v>621.33857142857141</v>
      </c>
      <c r="AD104" s="1813">
        <f t="shared" si="852"/>
        <v>339.75285714285707</v>
      </c>
      <c r="AE104" s="1813">
        <f t="shared" si="852"/>
        <v>104.33285714285716</v>
      </c>
      <c r="AF104" s="1813">
        <f t="shared" si="852"/>
        <v>110.41285714285709</v>
      </c>
      <c r="AG104" s="1810">
        <f t="shared" si="852"/>
        <v>103.96428571428578</v>
      </c>
      <c r="AH104" s="1813">
        <f t="shared" si="852"/>
        <v>112.50714285714287</v>
      </c>
      <c r="AI104" s="1813">
        <f t="shared" si="852"/>
        <v>141.58714285714279</v>
      </c>
      <c r="AJ104" s="1813">
        <f t="shared" si="852"/>
        <v>126.62714285714287</v>
      </c>
      <c r="AK104" s="1810">
        <f t="shared" si="852"/>
        <v>124.31107142857127</v>
      </c>
      <c r="AL104" s="1813">
        <f t="shared" si="852"/>
        <v>129.09457142857138</v>
      </c>
      <c r="AM104" s="1813">
        <f t="shared" si="852"/>
        <v>140.5120714285714</v>
      </c>
      <c r="AN104" s="1825">
        <f t="shared" si="852"/>
        <v>141.42957142857131</v>
      </c>
      <c r="AO104" s="1826">
        <f t="shared" si="852"/>
        <v>154.43600000000004</v>
      </c>
      <c r="AP104" s="1813">
        <f t="shared" si="852"/>
        <v>158.39332499999989</v>
      </c>
      <c r="AQ104" s="1813">
        <f t="shared" si="852"/>
        <v>182.0133249999999</v>
      </c>
      <c r="AR104" s="1825">
        <f t="shared" si="852"/>
        <v>163.4139141028063</v>
      </c>
      <c r="AS104" s="1826">
        <f t="shared" si="852"/>
        <v>153.81906053653086</v>
      </c>
      <c r="AT104" s="1825">
        <f t="shared" si="852"/>
        <v>159.79762921145812</v>
      </c>
      <c r="AU104" s="1825">
        <f t="shared" si="852"/>
        <v>162.13636230283987</v>
      </c>
      <c r="AV104" s="1825">
        <f t="shared" si="852"/>
        <v>158.44238141667597</v>
      </c>
      <c r="AW104" s="1826">
        <f t="shared" si="852"/>
        <v>174.28962460338425</v>
      </c>
      <c r="AX104" s="1825">
        <f t="shared" si="852"/>
        <v>179.66136753112846</v>
      </c>
      <c r="AY104" s="1825">
        <f t="shared" si="852"/>
        <v>193.99567950920914</v>
      </c>
      <c r="AZ104" s="1825">
        <f t="shared" si="852"/>
        <v>170.967341959132</v>
      </c>
      <c r="BA104" s="1826">
        <f t="shared" si="852"/>
        <v>194.82870174107347</v>
      </c>
      <c r="BB104" s="1799"/>
      <c r="BC104" s="1710"/>
      <c r="BD104" s="1710"/>
      <c r="BE104" s="1710"/>
      <c r="BF104" s="1710"/>
      <c r="BG104" s="1710"/>
      <c r="BH104" s="1710"/>
      <c r="BI104" s="1764"/>
      <c r="BJ104" s="1764">
        <f t="shared" ref="BJ104:BP104" si="853">BJ102-BI102</f>
        <v>2044.6271428571429</v>
      </c>
      <c r="BK104" s="1764">
        <f t="shared" si="853"/>
        <v>658.46285714285727</v>
      </c>
      <c r="BL104" s="1764">
        <f t="shared" si="853"/>
        <v>505.0324999999998</v>
      </c>
      <c r="BM104" s="1764">
        <f t="shared" si="853"/>
        <v>565.47221428571402</v>
      </c>
      <c r="BN104" s="1764">
        <f t="shared" si="853"/>
        <v>657.63962463933694</v>
      </c>
      <c r="BO104" s="1764">
        <f t="shared" si="853"/>
        <v>654.66599753435821</v>
      </c>
      <c r="BP104" s="1764">
        <f t="shared" si="853"/>
        <v>739.4530907405433</v>
      </c>
      <c r="BR104" s="1483"/>
      <c r="BS104" s="1483"/>
      <c r="BT104" s="1483"/>
      <c r="BU104" s="1672"/>
    </row>
    <row r="105" spans="1:73" s="304" customFormat="1" ht="11.65" hidden="1" customHeight="1" outlineLevel="1">
      <c r="A105" s="1700" t="s">
        <v>666</v>
      </c>
      <c r="B105" s="1110"/>
      <c r="C105" s="1108"/>
      <c r="D105" s="1108"/>
      <c r="E105" s="1109"/>
      <c r="F105" s="1108"/>
      <c r="G105" s="1108"/>
      <c r="H105" s="1108"/>
      <c r="I105" s="1109"/>
      <c r="J105" s="1108"/>
      <c r="K105" s="1108"/>
      <c r="L105" s="1108"/>
      <c r="M105" s="1109"/>
      <c r="N105" s="1110"/>
      <c r="O105" s="1110"/>
      <c r="P105" s="1110"/>
      <c r="Q105" s="1111"/>
      <c r="R105" s="1110"/>
      <c r="S105" s="1569"/>
      <c r="T105" s="1569"/>
      <c r="U105" s="1570"/>
      <c r="V105" s="1569"/>
      <c r="W105" s="1569"/>
      <c r="X105" s="1569"/>
      <c r="Y105" s="1570"/>
      <c r="Z105" s="1552">
        <f t="shared" ref="Z105:BA105" si="854">1-Z100</f>
        <v>0.91914986853637159</v>
      </c>
      <c r="AA105" s="1552">
        <f t="shared" si="854"/>
        <v>0.94700846192135391</v>
      </c>
      <c r="AB105" s="1552">
        <f t="shared" si="854"/>
        <v>0.94472778036295957</v>
      </c>
      <c r="AC105" s="1553">
        <f t="shared" si="854"/>
        <v>0.94572080887149379</v>
      </c>
      <c r="AD105" s="1552">
        <f t="shared" si="854"/>
        <v>0.93890706943570379</v>
      </c>
      <c r="AE105" s="1552">
        <f t="shared" si="854"/>
        <v>0.9322528263103802</v>
      </c>
      <c r="AF105" s="1552">
        <f t="shared" si="854"/>
        <v>0.92681303930968362</v>
      </c>
      <c r="AG105" s="1553">
        <f t="shared" si="854"/>
        <v>0.91926851348904581</v>
      </c>
      <c r="AH105" s="1552">
        <f t="shared" si="854"/>
        <v>0.91695470383275257</v>
      </c>
      <c r="AI105" s="1552">
        <f t="shared" si="854"/>
        <v>0.91589658601259527</v>
      </c>
      <c r="AJ105" s="1552">
        <f t="shared" si="854"/>
        <v>0.91398529881751367</v>
      </c>
      <c r="AK105" s="1553">
        <f t="shared" si="854"/>
        <v>0.90673845098338157</v>
      </c>
      <c r="AL105" s="1552">
        <f t="shared" si="854"/>
        <v>0.90081536663745243</v>
      </c>
      <c r="AM105" s="1552">
        <f t="shared" si="854"/>
        <v>0.9029271151178917</v>
      </c>
      <c r="AN105" s="1865">
        <f t="shared" si="854"/>
        <v>0.90512977202212319</v>
      </c>
      <c r="AO105" s="1866">
        <f t="shared" si="854"/>
        <v>0.90049320948110179</v>
      </c>
      <c r="AP105" s="1552">
        <f t="shared" ref="AP105:AQ105" si="855">1-AP100</f>
        <v>0.90776485028072362</v>
      </c>
      <c r="AQ105" s="1552">
        <f t="shared" si="855"/>
        <v>0.91224631137935064</v>
      </c>
      <c r="AR105" s="1865">
        <f t="shared" si="854"/>
        <v>0.89540809471207883</v>
      </c>
      <c r="AS105" s="1866">
        <f t="shared" si="854"/>
        <v>0.89204082365790405</v>
      </c>
      <c r="AT105" s="1865">
        <f t="shared" si="854"/>
        <v>0.88697365590450195</v>
      </c>
      <c r="AU105" s="1865">
        <f t="shared" si="854"/>
        <v>0.89227213996797494</v>
      </c>
      <c r="AV105" s="1865">
        <f t="shared" si="854"/>
        <v>0.86747203529194505</v>
      </c>
      <c r="AW105" s="1866">
        <f t="shared" si="854"/>
        <v>0.87012319641498603</v>
      </c>
      <c r="AX105" s="1865">
        <f t="shared" si="854"/>
        <v>0.87186199830162181</v>
      </c>
      <c r="AY105" s="1865">
        <f t="shared" si="854"/>
        <v>0.87913790142723203</v>
      </c>
      <c r="AZ105" s="1865">
        <f t="shared" si="854"/>
        <v>0.83869174576714411</v>
      </c>
      <c r="BA105" s="1866">
        <f t="shared" si="854"/>
        <v>0.84926991960646114</v>
      </c>
      <c r="BB105" s="1799"/>
      <c r="BC105" s="1710"/>
      <c r="BD105" s="1567"/>
      <c r="BE105" s="1567"/>
      <c r="BF105" s="1567"/>
      <c r="BG105" s="1567"/>
      <c r="BH105" s="1567"/>
      <c r="BI105" s="1858">
        <f t="shared" ref="BI105:BP105" si="856">1-BI97</f>
        <v>1</v>
      </c>
      <c r="BJ105" s="1858">
        <f t="shared" si="856"/>
        <v>0.65523209252619674</v>
      </c>
      <c r="BK105" s="1858">
        <f t="shared" si="856"/>
        <v>0.36270220775256901</v>
      </c>
      <c r="BL105" s="1858">
        <f t="shared" si="856"/>
        <v>0.5265211927891349</v>
      </c>
      <c r="BM105" s="1858">
        <f t="shared" si="856"/>
        <v>0.6604282516279949</v>
      </c>
      <c r="BN105" s="1858">
        <f t="shared" si="856"/>
        <v>0.81547649357950802</v>
      </c>
      <c r="BO105" s="1858">
        <f t="shared" si="856"/>
        <v>0.55074528857067717</v>
      </c>
      <c r="BP105" s="1858">
        <f t="shared" si="856"/>
        <v>0.63835824998256063</v>
      </c>
      <c r="BR105" s="1483"/>
      <c r="BS105" s="1483"/>
      <c r="BT105" s="1483"/>
      <c r="BU105" s="1672"/>
    </row>
    <row r="106" spans="1:73" s="1014" customFormat="1" ht="12" hidden="1" customHeight="1" outlineLevel="1">
      <c r="A106" s="1064"/>
      <c r="B106" s="1008"/>
      <c r="C106" s="1008"/>
      <c r="D106" s="1008"/>
      <c r="E106" s="1009"/>
      <c r="F106" s="1008"/>
      <c r="G106" s="1008"/>
      <c r="H106" s="1008"/>
      <c r="I106" s="1009"/>
      <c r="J106" s="1010"/>
      <c r="K106" s="1008"/>
      <c r="L106" s="1010"/>
      <c r="M106" s="1009"/>
      <c r="N106" s="1008"/>
      <c r="O106" s="1008"/>
      <c r="P106" s="1008"/>
      <c r="Q106" s="1009"/>
      <c r="R106" s="984"/>
      <c r="S106" s="984"/>
      <c r="T106" s="984"/>
      <c r="U106" s="985"/>
      <c r="V106" s="984"/>
      <c r="W106" s="984"/>
      <c r="X106" s="984"/>
      <c r="Y106" s="985"/>
      <c r="Z106" s="1270"/>
      <c r="AA106" s="1015"/>
      <c r="AB106" s="1307"/>
      <c r="AC106" s="1016"/>
      <c r="AD106" s="1015"/>
      <c r="AE106" s="1015"/>
      <c r="AF106" s="1015"/>
      <c r="AG106" s="1016"/>
      <c r="AH106" s="1015"/>
      <c r="AI106" s="1015"/>
      <c r="AJ106" s="1015"/>
      <c r="AK106" s="1016"/>
      <c r="AL106" s="1071"/>
      <c r="AM106" s="1071"/>
      <c r="AN106" s="1015"/>
      <c r="AO106" s="1072"/>
      <c r="AP106" s="1071"/>
      <c r="AQ106" s="1071"/>
      <c r="AR106" s="1015"/>
      <c r="AS106" s="1016"/>
      <c r="AT106" s="1015"/>
      <c r="AU106" s="1015"/>
      <c r="AV106" s="1015"/>
      <c r="AW106" s="1016"/>
      <c r="AX106" s="1015"/>
      <c r="AY106" s="1015"/>
      <c r="AZ106" s="1015"/>
      <c r="BA106" s="1016"/>
      <c r="BB106" s="1013"/>
      <c r="BC106" s="846"/>
      <c r="BD106" s="1011"/>
      <c r="BE106" s="1011"/>
      <c r="BF106" s="1017"/>
      <c r="BG106" s="1017"/>
      <c r="BH106" s="1017"/>
      <c r="BI106" s="1017">
        <f>+BI135/BI24</f>
        <v>0.41339590443686008</v>
      </c>
      <c r="BJ106" s="1017"/>
      <c r="BK106" s="1017"/>
      <c r="BL106" s="1062"/>
      <c r="BM106" s="1076"/>
      <c r="BN106" s="1367"/>
      <c r="BO106" s="1367"/>
      <c r="BP106" s="1367"/>
      <c r="BR106" s="1425"/>
      <c r="BS106" s="1425"/>
      <c r="BT106" s="1425"/>
      <c r="BU106" s="1263"/>
    </row>
    <row r="107" spans="1:73" s="304" customFormat="1" ht="12" hidden="1" outlineLevel="1">
      <c r="A107" s="1699" t="s">
        <v>407</v>
      </c>
      <c r="B107" s="1110"/>
      <c r="C107" s="1003"/>
      <c r="D107" s="1003"/>
      <c r="E107" s="1004"/>
      <c r="F107" s="1673"/>
      <c r="G107" s="1673"/>
      <c r="H107" s="1673"/>
      <c r="I107" s="1543"/>
      <c r="J107" s="1673"/>
      <c r="K107" s="1673"/>
      <c r="L107" s="1673"/>
      <c r="M107" s="1543"/>
      <c r="N107" s="1110"/>
      <c r="O107" s="1110"/>
      <c r="P107" s="1110"/>
      <c r="Q107" s="1111"/>
      <c r="R107" s="1110"/>
      <c r="S107" s="1569"/>
      <c r="T107" s="1569"/>
      <c r="U107" s="1570"/>
      <c r="V107" s="1569"/>
      <c r="W107" s="1569"/>
      <c r="X107" s="1569"/>
      <c r="Y107" s="1570"/>
      <c r="Z107" s="1569"/>
      <c r="AA107" s="1571">
        <f>+AA388</f>
        <v>240</v>
      </c>
      <c r="AB107" s="1572">
        <f>+AB388</f>
        <v>257</v>
      </c>
      <c r="AC107" s="1573">
        <f>+AC388</f>
        <v>265</v>
      </c>
      <c r="AD107" s="1688">
        <v>264</v>
      </c>
      <c r="AE107" s="1688">
        <v>290</v>
      </c>
      <c r="AF107" s="1572">
        <f>AJ107-AJ109</f>
        <v>305</v>
      </c>
      <c r="AG107" s="1573">
        <f>BK107-SUM(AD107:AF107)</f>
        <v>306</v>
      </c>
      <c r="AH107" s="1572">
        <v>315</v>
      </c>
      <c r="AI107" s="1572">
        <v>320</v>
      </c>
      <c r="AJ107" s="1572">
        <v>325</v>
      </c>
      <c r="AK107" s="1573">
        <v>330</v>
      </c>
      <c r="AL107" s="1572">
        <f t="shared" ref="AL107:AM107" si="857">AH107+AL109</f>
        <v>332</v>
      </c>
      <c r="AM107" s="1572">
        <f t="shared" si="857"/>
        <v>326</v>
      </c>
      <c r="AN107" s="1572">
        <f>AJ107+AN109</f>
        <v>324</v>
      </c>
      <c r="AO107" s="1573">
        <f>AK107+AO109</f>
        <v>328</v>
      </c>
      <c r="AP107" s="1572">
        <f t="shared" ref="AP107:AQ107" si="858">AL107+AP109</f>
        <v>331</v>
      </c>
      <c r="AQ107" s="1572">
        <f t="shared" si="858"/>
        <v>325</v>
      </c>
      <c r="AR107" s="1572">
        <f t="shared" ref="AR107:AW107" si="859">AR111+AQ107</f>
        <v>332</v>
      </c>
      <c r="AS107" s="1573">
        <f t="shared" si="859"/>
        <v>342</v>
      </c>
      <c r="AT107" s="1572">
        <f t="shared" si="859"/>
        <v>350</v>
      </c>
      <c r="AU107" s="1572">
        <f t="shared" si="859"/>
        <v>358</v>
      </c>
      <c r="AV107" s="1572">
        <f t="shared" si="859"/>
        <v>366</v>
      </c>
      <c r="AW107" s="1573">
        <f t="shared" si="859"/>
        <v>376</v>
      </c>
      <c r="AX107" s="1572">
        <f t="shared" ref="AX107" si="860">AX111+AW107</f>
        <v>385.5</v>
      </c>
      <c r="AY107" s="1572">
        <f t="shared" ref="AY107" si="861">AY111+AX107</f>
        <v>396</v>
      </c>
      <c r="AZ107" s="1572">
        <f t="shared" ref="AZ107" si="862">AZ111+AY107</f>
        <v>406.5</v>
      </c>
      <c r="BA107" s="1573">
        <f t="shared" ref="BA107" si="863">BA111+AZ107</f>
        <v>419</v>
      </c>
      <c r="BB107" s="1013"/>
      <c r="BC107" s="1670"/>
      <c r="BD107" s="1670"/>
      <c r="BE107" s="1670"/>
      <c r="BF107" s="1670"/>
      <c r="BG107" s="1670"/>
      <c r="BH107" s="1670"/>
      <c r="BI107" s="1670"/>
      <c r="BJ107" s="1671">
        <f>SUM(AA107:AC107)</f>
        <v>762</v>
      </c>
      <c r="BK107" s="1670">
        <f>BL107-BL109</f>
        <v>1165</v>
      </c>
      <c r="BL107" s="1670">
        <f>SUM(AH107:AK107)</f>
        <v>1290</v>
      </c>
      <c r="BM107" s="1670">
        <f>SUM(AL107:AO107)</f>
        <v>1310</v>
      </c>
      <c r="BN107" s="1670">
        <f>SUM(AP107:AS107)</f>
        <v>1330</v>
      </c>
      <c r="BO107" s="1670">
        <f>SUM(AT107:AW107)</f>
        <v>1450</v>
      </c>
      <c r="BP107" s="1670">
        <f>SUM(AX107:BA107)</f>
        <v>1607</v>
      </c>
      <c r="BR107" s="1483"/>
      <c r="BS107" s="1483"/>
      <c r="BT107" s="1483"/>
      <c r="BU107" s="1672"/>
    </row>
    <row r="108" spans="1:73" s="304" customFormat="1" ht="12" hidden="1" outlineLevel="1">
      <c r="A108" s="1700" t="s">
        <v>507</v>
      </c>
      <c r="B108" s="836"/>
      <c r="C108" s="1003"/>
      <c r="D108" s="1003"/>
      <c r="E108" s="1004"/>
      <c r="F108" s="1673"/>
      <c r="G108" s="1673"/>
      <c r="H108" s="1673"/>
      <c r="I108" s="1543"/>
      <c r="J108" s="1673"/>
      <c r="K108" s="1673"/>
      <c r="L108" s="1673"/>
      <c r="M108" s="1543"/>
      <c r="N108" s="836"/>
      <c r="O108" s="836"/>
      <c r="P108" s="836"/>
      <c r="Q108" s="1041"/>
      <c r="R108" s="836"/>
      <c r="S108" s="1294"/>
      <c r="T108" s="1294"/>
      <c r="U108" s="1557"/>
      <c r="V108" s="1294"/>
      <c r="W108" s="1294"/>
      <c r="X108" s="1294"/>
      <c r="Y108" s="1557"/>
      <c r="Z108" s="1294"/>
      <c r="AA108" s="1294" t="e">
        <f t="shared" ref="AA108:AQ108" si="864">+(AA107/W107)-1</f>
        <v>#DIV/0!</v>
      </c>
      <c r="AB108" s="1294" t="e">
        <f t="shared" si="864"/>
        <v>#DIV/0!</v>
      </c>
      <c r="AC108" s="1557" t="e">
        <f t="shared" si="864"/>
        <v>#DIV/0!</v>
      </c>
      <c r="AD108" s="1294" t="e">
        <f t="shared" si="864"/>
        <v>#DIV/0!</v>
      </c>
      <c r="AE108" s="1294">
        <f t="shared" si="864"/>
        <v>0.20833333333333326</v>
      </c>
      <c r="AF108" s="1294">
        <f t="shared" si="864"/>
        <v>0.1867704280155642</v>
      </c>
      <c r="AG108" s="1557">
        <f t="shared" si="864"/>
        <v>0.15471698113207544</v>
      </c>
      <c r="AH108" s="1294">
        <f t="shared" si="864"/>
        <v>0.19318181818181812</v>
      </c>
      <c r="AI108" s="1294">
        <f t="shared" si="864"/>
        <v>0.10344827586206895</v>
      </c>
      <c r="AJ108" s="1294">
        <f t="shared" si="864"/>
        <v>6.5573770491803351E-2</v>
      </c>
      <c r="AK108" s="1557">
        <f t="shared" si="864"/>
        <v>7.8431372549019551E-2</v>
      </c>
      <c r="AL108" s="1294">
        <f t="shared" si="864"/>
        <v>5.3968253968253999E-2</v>
      </c>
      <c r="AM108" s="1294">
        <f t="shared" si="864"/>
        <v>1.8750000000000044E-2</v>
      </c>
      <c r="AN108" s="1294">
        <f t="shared" si="864"/>
        <v>-3.0769230769230882E-3</v>
      </c>
      <c r="AO108" s="1557">
        <f>+(AO107/AK107)-1</f>
        <v>-6.0606060606060996E-3</v>
      </c>
      <c r="AP108" s="1294">
        <f t="shared" si="864"/>
        <v>-3.0120481927711218E-3</v>
      </c>
      <c r="AQ108" s="1294">
        <f t="shared" si="864"/>
        <v>-3.0674846625766694E-3</v>
      </c>
      <c r="AR108" s="1294">
        <f t="shared" ref="AR108" si="865">+(AR107/AN107)-1</f>
        <v>2.4691358024691468E-2</v>
      </c>
      <c r="AS108" s="1557">
        <f t="shared" ref="AS108" si="866">+(AS107/AO107)-1</f>
        <v>4.2682926829268331E-2</v>
      </c>
      <c r="AT108" s="1294">
        <f t="shared" ref="AT108" si="867">+(AT107/AP107)-1</f>
        <v>5.7401812688821829E-2</v>
      </c>
      <c r="AU108" s="1294">
        <f t="shared" ref="AU108" si="868">+(AU107/AQ107)-1</f>
        <v>0.10153846153846158</v>
      </c>
      <c r="AV108" s="1294">
        <f t="shared" ref="AV108" si="869">+(AV107/AR107)-1</f>
        <v>0.10240963855421681</v>
      </c>
      <c r="AW108" s="1557">
        <f t="shared" ref="AW108" si="870">+(AW107/AS107)-1</f>
        <v>9.9415204678362512E-2</v>
      </c>
      <c r="AX108" s="1294">
        <f t="shared" ref="AX108" si="871">+(AX107/AT107)-1</f>
        <v>0.10142857142857142</v>
      </c>
      <c r="AY108" s="1294">
        <f t="shared" ref="AY108" si="872">+(AY107/AU107)-1</f>
        <v>0.1061452513966481</v>
      </c>
      <c r="AZ108" s="1294">
        <f t="shared" ref="AZ108" si="873">+(AZ107/AV107)-1</f>
        <v>0.11065573770491799</v>
      </c>
      <c r="BA108" s="1557">
        <f t="shared" ref="BA108" si="874">+(BA107/AW107)-1</f>
        <v>0.1143617021276595</v>
      </c>
      <c r="BB108" s="401"/>
      <c r="BC108" s="1674"/>
      <c r="BD108" s="1674"/>
      <c r="BE108" s="1674"/>
      <c r="BF108" s="1674"/>
      <c r="BG108" s="1674"/>
      <c r="BH108" s="1674"/>
      <c r="BI108" s="1674"/>
      <c r="BJ108" s="1546"/>
      <c r="BK108" s="1659">
        <f t="shared" ref="BK108:BP108" si="875">BK107/BJ107-1</f>
        <v>0.52887139107611558</v>
      </c>
      <c r="BL108" s="1659">
        <f t="shared" si="875"/>
        <v>0.10729613733905574</v>
      </c>
      <c r="BM108" s="1659">
        <f t="shared" si="875"/>
        <v>1.5503875968992276E-2</v>
      </c>
      <c r="BN108" s="1659">
        <f t="shared" si="875"/>
        <v>1.5267175572519109E-2</v>
      </c>
      <c r="BO108" s="1659">
        <f t="shared" si="875"/>
        <v>9.0225563909774431E-2</v>
      </c>
      <c r="BP108" s="1659">
        <f t="shared" si="875"/>
        <v>0.10827586206896544</v>
      </c>
      <c r="BR108" s="1483"/>
      <c r="BS108" s="1483"/>
      <c r="BT108" s="1483"/>
      <c r="BU108" s="1675"/>
    </row>
    <row r="109" spans="1:73" s="304" customFormat="1" ht="12" hidden="1" outlineLevel="1">
      <c r="A109" s="1700" t="s">
        <v>508</v>
      </c>
      <c r="B109" s="836"/>
      <c r="C109" s="837"/>
      <c r="D109" s="837"/>
      <c r="E109" s="838"/>
      <c r="F109" s="837"/>
      <c r="G109" s="837"/>
      <c r="H109" s="837"/>
      <c r="I109" s="838"/>
      <c r="J109" s="837"/>
      <c r="K109" s="837"/>
      <c r="L109" s="837"/>
      <c r="M109" s="838"/>
      <c r="N109" s="836"/>
      <c r="O109" s="836"/>
      <c r="P109" s="836"/>
      <c r="Q109" s="1041"/>
      <c r="R109" s="1549"/>
      <c r="S109" s="1550"/>
      <c r="T109" s="1550"/>
      <c r="U109" s="1551"/>
      <c r="V109" s="1550"/>
      <c r="W109" s="1550"/>
      <c r="X109" s="1550"/>
      <c r="Y109" s="1551"/>
      <c r="Z109" s="1550"/>
      <c r="AA109" s="1550">
        <f t="shared" ref="AA109:AI109" si="876">+AA107-W107</f>
        <v>240</v>
      </c>
      <c r="AB109" s="1550">
        <f t="shared" si="876"/>
        <v>257</v>
      </c>
      <c r="AC109" s="1551">
        <f t="shared" si="876"/>
        <v>265</v>
      </c>
      <c r="AD109" s="1550">
        <f t="shared" si="876"/>
        <v>264</v>
      </c>
      <c r="AE109" s="1550">
        <f t="shared" si="876"/>
        <v>50</v>
      </c>
      <c r="AF109" s="1550">
        <f t="shared" si="876"/>
        <v>48</v>
      </c>
      <c r="AG109" s="1551">
        <f t="shared" si="876"/>
        <v>41</v>
      </c>
      <c r="AH109" s="1550">
        <f t="shared" si="876"/>
        <v>51</v>
      </c>
      <c r="AI109" s="1550">
        <f t="shared" si="876"/>
        <v>30</v>
      </c>
      <c r="AJ109" s="1575">
        <v>20</v>
      </c>
      <c r="AK109" s="1551">
        <f>+AK107-AG107</f>
        <v>24</v>
      </c>
      <c r="AL109" s="1575">
        <v>17</v>
      </c>
      <c r="AM109" s="1575">
        <v>6</v>
      </c>
      <c r="AN109" s="1575">
        <f>22-SUM(AL109:AM109)</f>
        <v>-1</v>
      </c>
      <c r="AO109" s="1687">
        <f>BM109-SUM(AL109:AN109)</f>
        <v>-2</v>
      </c>
      <c r="AP109" s="1575">
        <v>-1</v>
      </c>
      <c r="AQ109" s="1686">
        <v>-1</v>
      </c>
      <c r="AR109" s="1550">
        <f t="shared" ref="AR109:AW109" si="877">+AR107-AN107</f>
        <v>8</v>
      </c>
      <c r="AS109" s="1551">
        <f t="shared" si="877"/>
        <v>14</v>
      </c>
      <c r="AT109" s="1550">
        <f t="shared" si="877"/>
        <v>19</v>
      </c>
      <c r="AU109" s="1550">
        <f t="shared" si="877"/>
        <v>33</v>
      </c>
      <c r="AV109" s="1550">
        <f t="shared" si="877"/>
        <v>34</v>
      </c>
      <c r="AW109" s="1551">
        <f t="shared" si="877"/>
        <v>34</v>
      </c>
      <c r="AX109" s="1550">
        <f t="shared" ref="AX109" si="878">+AX107-AT107</f>
        <v>35.5</v>
      </c>
      <c r="AY109" s="1550">
        <f t="shared" ref="AY109" si="879">+AY107-AU107</f>
        <v>38</v>
      </c>
      <c r="AZ109" s="1550">
        <f t="shared" ref="AZ109" si="880">+AZ107-AV107</f>
        <v>40.5</v>
      </c>
      <c r="BA109" s="1551">
        <f t="shared" ref="BA109" si="881">+BA107-AW107</f>
        <v>43</v>
      </c>
      <c r="BB109" s="401"/>
      <c r="BC109" s="1676"/>
      <c r="BD109" s="1676"/>
      <c r="BE109" s="1676"/>
      <c r="BF109" s="1676"/>
      <c r="BG109" s="1676"/>
      <c r="BH109" s="1676"/>
      <c r="BI109" s="1676"/>
      <c r="BJ109" s="1546"/>
      <c r="BK109" s="1674"/>
      <c r="BL109" s="1676">
        <v>125</v>
      </c>
      <c r="BM109" s="1676">
        <v>20</v>
      </c>
      <c r="BN109" s="1683">
        <f>+BN107-BM107</f>
        <v>20</v>
      </c>
      <c r="BO109" s="1683">
        <f t="shared" ref="BO109:BP109" si="882">+BO107-BN107</f>
        <v>120</v>
      </c>
      <c r="BP109" s="1683">
        <f t="shared" si="882"/>
        <v>157</v>
      </c>
      <c r="BR109" s="1483"/>
      <c r="BS109" s="1483"/>
      <c r="BT109" s="1483"/>
      <c r="BU109" s="1675"/>
    </row>
    <row r="110" spans="1:73" s="304" customFormat="1" ht="12" hidden="1" outlineLevel="1">
      <c r="A110" s="1700" t="s">
        <v>509</v>
      </c>
      <c r="B110" s="836"/>
      <c r="C110" s="1003"/>
      <c r="D110" s="1003"/>
      <c r="E110" s="1004"/>
      <c r="F110" s="1673"/>
      <c r="G110" s="1673"/>
      <c r="H110" s="1673"/>
      <c r="I110" s="1543"/>
      <c r="J110" s="1673"/>
      <c r="K110" s="1673"/>
      <c r="L110" s="1673"/>
      <c r="M110" s="1543"/>
      <c r="N110" s="836"/>
      <c r="O110" s="1552"/>
      <c r="P110" s="1552"/>
      <c r="Q110" s="1553"/>
      <c r="R110" s="1552"/>
      <c r="S110" s="1552"/>
      <c r="T110" s="1552"/>
      <c r="U110" s="1553"/>
      <c r="V110" s="1552"/>
      <c r="W110" s="1552"/>
      <c r="X110" s="1552"/>
      <c r="Y110" s="1553"/>
      <c r="Z110" s="1552"/>
      <c r="AA110" s="1552" t="e">
        <f t="shared" ref="AA110:AQ110" si="883">+(AA107/Z107)-1</f>
        <v>#DIV/0!</v>
      </c>
      <c r="AB110" s="1552">
        <f t="shared" si="883"/>
        <v>7.0833333333333304E-2</v>
      </c>
      <c r="AC110" s="1553">
        <f t="shared" si="883"/>
        <v>3.112840466926059E-2</v>
      </c>
      <c r="AD110" s="1552">
        <f t="shared" si="883"/>
        <v>-3.7735849056603765E-3</v>
      </c>
      <c r="AE110" s="1552">
        <f t="shared" si="883"/>
        <v>9.8484848484848397E-2</v>
      </c>
      <c r="AF110" s="1552">
        <f t="shared" si="883"/>
        <v>5.1724137931034475E-2</v>
      </c>
      <c r="AG110" s="1553">
        <f t="shared" si="883"/>
        <v>3.2786885245901232E-3</v>
      </c>
      <c r="AH110" s="1552">
        <f t="shared" si="883"/>
        <v>2.9411764705882248E-2</v>
      </c>
      <c r="AI110" s="1552">
        <f t="shared" si="883"/>
        <v>1.5873015873015817E-2</v>
      </c>
      <c r="AJ110" s="1552">
        <f t="shared" si="883"/>
        <v>1.5625E-2</v>
      </c>
      <c r="AK110" s="1553">
        <f t="shared" si="883"/>
        <v>1.538461538461533E-2</v>
      </c>
      <c r="AL110" s="1552">
        <f t="shared" si="883"/>
        <v>6.0606060606060996E-3</v>
      </c>
      <c r="AM110" s="1552">
        <f t="shared" si="883"/>
        <v>-1.8072289156626509E-2</v>
      </c>
      <c r="AN110" s="1552">
        <f t="shared" si="883"/>
        <v>-6.1349693251533388E-3</v>
      </c>
      <c r="AO110" s="1553">
        <f t="shared" ref="AO110" si="884">+(AO107/AN107)-1</f>
        <v>1.2345679012345734E-2</v>
      </c>
      <c r="AP110" s="1552">
        <f t="shared" si="883"/>
        <v>9.1463414634145312E-3</v>
      </c>
      <c r="AQ110" s="1552">
        <f t="shared" si="883"/>
        <v>-1.8126888217522619E-2</v>
      </c>
      <c r="AR110" s="1552">
        <f t="shared" ref="AR110" si="885">+(AR107/AQ107)-1</f>
        <v>2.1538461538461506E-2</v>
      </c>
      <c r="AS110" s="1553">
        <f t="shared" ref="AS110" si="886">+(AS107/AR107)-1</f>
        <v>3.0120481927710774E-2</v>
      </c>
      <c r="AT110" s="1552">
        <f t="shared" ref="AT110" si="887">+(AT107/AS107)-1</f>
        <v>2.3391812865497075E-2</v>
      </c>
      <c r="AU110" s="1552">
        <f t="shared" ref="AU110" si="888">+(AU107/AT107)-1</f>
        <v>2.2857142857142909E-2</v>
      </c>
      <c r="AV110" s="1552">
        <f t="shared" ref="AV110" si="889">+(AV107/AU107)-1</f>
        <v>2.2346368715083775E-2</v>
      </c>
      <c r="AW110" s="1553">
        <f t="shared" ref="AW110" si="890">+(AW107/AV107)-1</f>
        <v>2.732240437158473E-2</v>
      </c>
      <c r="AX110" s="1552">
        <f t="shared" ref="AX110" si="891">+(AX107/AW107)-1</f>
        <v>2.5265957446808596E-2</v>
      </c>
      <c r="AY110" s="1552">
        <f t="shared" ref="AY110" si="892">+(AY107/AX107)-1</f>
        <v>2.7237354085603016E-2</v>
      </c>
      <c r="AZ110" s="1552">
        <f t="shared" ref="AZ110" si="893">+(AZ107/AY107)-1</f>
        <v>2.6515151515151603E-2</v>
      </c>
      <c r="BA110" s="1553">
        <f t="shared" ref="BA110" si="894">+(BA107/AZ107)-1</f>
        <v>3.0750307503075058E-2</v>
      </c>
      <c r="BB110" s="401"/>
      <c r="BC110" s="1674"/>
      <c r="BD110" s="1674"/>
      <c r="BE110" s="1674"/>
      <c r="BF110" s="1674"/>
      <c r="BG110" s="1674"/>
      <c r="BH110" s="1674"/>
      <c r="BI110" s="1674"/>
      <c r="BJ110" s="1546"/>
      <c r="BK110" s="989" t="s">
        <v>366</v>
      </c>
      <c r="BL110" s="989" t="s">
        <v>366</v>
      </c>
      <c r="BM110" s="1046" t="s">
        <v>366</v>
      </c>
      <c r="BN110" s="1188" t="s">
        <v>366</v>
      </c>
      <c r="BO110" s="1188" t="s">
        <v>366</v>
      </c>
      <c r="BP110" s="1188" t="s">
        <v>366</v>
      </c>
      <c r="BR110" s="1483"/>
      <c r="BS110" s="1483"/>
      <c r="BT110" s="1483"/>
      <c r="BU110" s="1675"/>
    </row>
    <row r="111" spans="1:73" s="304" customFormat="1" ht="12" hidden="1" outlineLevel="1">
      <c r="A111" s="1700" t="s">
        <v>510</v>
      </c>
      <c r="B111" s="836"/>
      <c r="C111" s="837"/>
      <c r="D111" s="837"/>
      <c r="E111" s="838"/>
      <c r="F111" s="837"/>
      <c r="G111" s="837"/>
      <c r="H111" s="837"/>
      <c r="I111" s="838"/>
      <c r="J111" s="837"/>
      <c r="K111" s="837"/>
      <c r="L111" s="837"/>
      <c r="M111" s="838"/>
      <c r="N111" s="836"/>
      <c r="O111" s="1549"/>
      <c r="P111" s="1550"/>
      <c r="Q111" s="1551"/>
      <c r="R111" s="1550"/>
      <c r="S111" s="1550"/>
      <c r="T111" s="1550"/>
      <c r="U111" s="1551"/>
      <c r="V111" s="1550"/>
      <c r="W111" s="1550"/>
      <c r="X111" s="1550"/>
      <c r="Y111" s="1551"/>
      <c r="Z111" s="1550"/>
      <c r="AA111" s="1550">
        <f t="shared" ref="AA111:AQ111" si="895">+AA107-Z107</f>
        <v>240</v>
      </c>
      <c r="AB111" s="1550">
        <f t="shared" si="895"/>
        <v>17</v>
      </c>
      <c r="AC111" s="1551">
        <f t="shared" si="895"/>
        <v>8</v>
      </c>
      <c r="AD111" s="1550">
        <f t="shared" si="895"/>
        <v>-1</v>
      </c>
      <c r="AE111" s="1550">
        <f t="shared" si="895"/>
        <v>26</v>
      </c>
      <c r="AF111" s="1550">
        <f t="shared" si="895"/>
        <v>15</v>
      </c>
      <c r="AG111" s="1551">
        <f t="shared" si="895"/>
        <v>1</v>
      </c>
      <c r="AH111" s="1550">
        <f t="shared" si="895"/>
        <v>9</v>
      </c>
      <c r="AI111" s="1550">
        <f t="shared" si="895"/>
        <v>5</v>
      </c>
      <c r="AJ111" s="1550">
        <f t="shared" si="895"/>
        <v>5</v>
      </c>
      <c r="AK111" s="1551">
        <f t="shared" si="895"/>
        <v>5</v>
      </c>
      <c r="AL111" s="1550">
        <f t="shared" si="895"/>
        <v>2</v>
      </c>
      <c r="AM111" s="1550">
        <f t="shared" si="895"/>
        <v>-6</v>
      </c>
      <c r="AN111" s="1550">
        <f t="shared" si="895"/>
        <v>-2</v>
      </c>
      <c r="AO111" s="1551">
        <f t="shared" si="895"/>
        <v>4</v>
      </c>
      <c r="AP111" s="1550">
        <f t="shared" si="895"/>
        <v>3</v>
      </c>
      <c r="AQ111" s="1550">
        <f t="shared" si="895"/>
        <v>-6</v>
      </c>
      <c r="AR111" s="1575">
        <v>7</v>
      </c>
      <c r="AS111" s="1685">
        <v>10</v>
      </c>
      <c r="AT111" s="1575">
        <v>8</v>
      </c>
      <c r="AU111" s="1575">
        <v>8</v>
      </c>
      <c r="AV111" s="1575">
        <v>8</v>
      </c>
      <c r="AW111" s="1685">
        <v>10</v>
      </c>
      <c r="AX111" s="1575">
        <f>+AT111+1.5</f>
        <v>9.5</v>
      </c>
      <c r="AY111" s="1575">
        <f t="shared" ref="AY111:BA111" si="896">+AU111+2.5</f>
        <v>10.5</v>
      </c>
      <c r="AZ111" s="1575">
        <f t="shared" si="896"/>
        <v>10.5</v>
      </c>
      <c r="BA111" s="1685">
        <f t="shared" si="896"/>
        <v>12.5</v>
      </c>
      <c r="BB111" s="401"/>
      <c r="BC111" s="1674"/>
      <c r="BD111" s="1674"/>
      <c r="BE111" s="1674"/>
      <c r="BF111" s="1674"/>
      <c r="BG111" s="1674"/>
      <c r="BH111" s="1674"/>
      <c r="BI111" s="1674"/>
      <c r="BJ111" s="1546"/>
      <c r="BK111" s="989" t="s">
        <v>366</v>
      </c>
      <c r="BL111" s="989" t="s">
        <v>366</v>
      </c>
      <c r="BM111" s="1046" t="s">
        <v>366</v>
      </c>
      <c r="BN111" s="1188" t="s">
        <v>366</v>
      </c>
      <c r="BO111" s="1188" t="s">
        <v>366</v>
      </c>
      <c r="BP111" s="1188" t="s">
        <v>366</v>
      </c>
      <c r="BR111" s="1483"/>
      <c r="BS111" s="1483"/>
      <c r="BT111" s="1483"/>
      <c r="BU111" s="1675"/>
    </row>
    <row r="112" spans="1:73" s="304" customFormat="1" ht="12" hidden="1" outlineLevel="1">
      <c r="A112" s="1700" t="s">
        <v>666</v>
      </c>
      <c r="B112" s="836"/>
      <c r="C112" s="837"/>
      <c r="D112" s="837"/>
      <c r="E112" s="838"/>
      <c r="F112" s="837"/>
      <c r="G112" s="837"/>
      <c r="H112" s="837"/>
      <c r="I112" s="838"/>
      <c r="J112" s="837"/>
      <c r="K112" s="837"/>
      <c r="L112" s="837"/>
      <c r="M112" s="838"/>
      <c r="N112" s="836"/>
      <c r="O112" s="1549"/>
      <c r="P112" s="1550"/>
      <c r="Q112" s="1551"/>
      <c r="R112" s="1550"/>
      <c r="S112" s="1550"/>
      <c r="T112" s="1550"/>
      <c r="U112" s="1551"/>
      <c r="V112" s="1550"/>
      <c r="W112" s="1550"/>
      <c r="X112" s="1550"/>
      <c r="Y112" s="1551"/>
      <c r="Z112" s="1550"/>
      <c r="AA112" s="1550"/>
      <c r="AB112" s="1550"/>
      <c r="AC112" s="1551"/>
      <c r="AD112" s="1550"/>
      <c r="AE112" s="1550"/>
      <c r="AF112" s="1550"/>
      <c r="AG112" s="1551"/>
      <c r="AH112" s="1552">
        <f>+AH107/AH86</f>
        <v>0.38414634146341464</v>
      </c>
      <c r="AI112" s="1552">
        <f t="shared" ref="AI112:AW112" si="897">+AI107/AI86</f>
        <v>0.37122969837587005</v>
      </c>
      <c r="AJ112" s="1552">
        <f t="shared" si="897"/>
        <v>0.36353467561521252</v>
      </c>
      <c r="AK112" s="1553">
        <f t="shared" si="897"/>
        <v>0.35218783351120597</v>
      </c>
      <c r="AL112" s="1552">
        <f t="shared" si="897"/>
        <v>0.33946830265848671</v>
      </c>
      <c r="AM112" s="1552">
        <f t="shared" si="897"/>
        <v>0.31650485436893205</v>
      </c>
      <c r="AN112" s="1552">
        <f t="shared" si="897"/>
        <v>0.30594900849858359</v>
      </c>
      <c r="AO112" s="1553">
        <f t="shared" si="897"/>
        <v>0.29417040358744395</v>
      </c>
      <c r="AP112" s="1552">
        <f t="shared" ref="AP112:AQ112" si="898">+AP107/AP86</f>
        <v>0.28908296943231443</v>
      </c>
      <c r="AQ112" s="1552">
        <f t="shared" si="898"/>
        <v>0.26661197703035278</v>
      </c>
      <c r="AR112" s="1552">
        <f t="shared" si="897"/>
        <v>0.26496408619313649</v>
      </c>
      <c r="AS112" s="1553">
        <f t="shared" si="897"/>
        <v>0.26348228043143296</v>
      </c>
      <c r="AT112" s="1552">
        <f t="shared" si="897"/>
        <v>0.2588757396449704</v>
      </c>
      <c r="AU112" s="1552">
        <f t="shared" si="897"/>
        <v>0.25070028011204482</v>
      </c>
      <c r="AV112" s="1552">
        <f t="shared" si="897"/>
        <v>0.24796747967479674</v>
      </c>
      <c r="AW112" s="1553">
        <f t="shared" si="897"/>
        <v>0.24559111691704769</v>
      </c>
      <c r="AX112" s="1552">
        <f t="shared" ref="AX112:BA112" si="899">+AX107/AX86</f>
        <v>0.24375592791653494</v>
      </c>
      <c r="AY112" s="1552">
        <f t="shared" si="899"/>
        <v>0.237125748502994</v>
      </c>
      <c r="AZ112" s="1552">
        <f t="shared" si="899"/>
        <v>0.2349032071655591</v>
      </c>
      <c r="BA112" s="1553">
        <f t="shared" si="899"/>
        <v>0.23303670745272526</v>
      </c>
      <c r="BB112" s="401"/>
      <c r="BC112" s="1674"/>
      <c r="BD112" s="1674"/>
      <c r="BE112" s="1674"/>
      <c r="BF112" s="1674"/>
      <c r="BG112" s="1674"/>
      <c r="BH112" s="1674"/>
      <c r="BI112" s="1674"/>
      <c r="BJ112" s="1546"/>
      <c r="BK112" s="1186">
        <f t="shared" ref="BK112:BO112" si="900">+BK107/BK86</f>
        <v>0.40034364261168387</v>
      </c>
      <c r="BL112" s="1186">
        <f t="shared" si="900"/>
        <v>0.36720751494449189</v>
      </c>
      <c r="BM112" s="1186">
        <f t="shared" si="900"/>
        <v>0.31324725011956001</v>
      </c>
      <c r="BN112" s="1186">
        <f t="shared" si="900"/>
        <v>0.27060020345879959</v>
      </c>
      <c r="BO112" s="1186">
        <f t="shared" si="900"/>
        <v>0.25056160359426299</v>
      </c>
      <c r="BP112" s="1186">
        <f t="shared" ref="BP112" si="901">+BP107/BP86</f>
        <v>0.23702064896755162</v>
      </c>
      <c r="BR112" s="1483"/>
      <c r="BS112" s="1483"/>
      <c r="BT112" s="1483"/>
      <c r="BU112" s="1675"/>
    </row>
    <row r="113" spans="1:73" s="304" customFormat="1" ht="12" hidden="1" outlineLevel="1">
      <c r="A113" s="1700" t="s">
        <v>685</v>
      </c>
      <c r="B113" s="836"/>
      <c r="C113" s="837"/>
      <c r="D113" s="837"/>
      <c r="E113" s="838"/>
      <c r="F113" s="837"/>
      <c r="G113" s="837"/>
      <c r="H113" s="837"/>
      <c r="I113" s="838"/>
      <c r="J113" s="837"/>
      <c r="K113" s="837"/>
      <c r="L113" s="837"/>
      <c r="M113" s="838"/>
      <c r="N113" s="836"/>
      <c r="O113" s="1549"/>
      <c r="P113" s="1550"/>
      <c r="Q113" s="1551"/>
      <c r="R113" s="1550"/>
      <c r="S113" s="1550"/>
      <c r="T113" s="1550"/>
      <c r="U113" s="1551"/>
      <c r="V113" s="1550"/>
      <c r="W113" s="1550"/>
      <c r="X113" s="1550"/>
      <c r="Y113" s="1551"/>
      <c r="Z113" s="1550"/>
      <c r="AA113" s="1550"/>
      <c r="AB113" s="1550"/>
      <c r="AC113" s="1551"/>
      <c r="AD113" s="1550"/>
      <c r="AE113" s="1550"/>
      <c r="AF113" s="1550"/>
      <c r="AG113" s="1551"/>
      <c r="AH113" s="1552">
        <f t="shared" ref="AH113:BA113" si="902">+AH107/AH24</f>
        <v>0.13438566552901024</v>
      </c>
      <c r="AI113" s="1552">
        <f t="shared" si="902"/>
        <v>0.14253897550111358</v>
      </c>
      <c r="AJ113" s="1552">
        <f t="shared" si="902"/>
        <v>0.13615416841223293</v>
      </c>
      <c r="AK113" s="1553">
        <f t="shared" si="902"/>
        <v>0.12905748924520924</v>
      </c>
      <c r="AL113" s="1552">
        <f t="shared" si="902"/>
        <v>0.13050314465408805</v>
      </c>
      <c r="AM113" s="1552">
        <f t="shared" si="902"/>
        <v>0.12205166604268064</v>
      </c>
      <c r="AN113" s="1552">
        <f t="shared" si="902"/>
        <v>0.11372411372411373</v>
      </c>
      <c r="AO113" s="1553">
        <f t="shared" si="902"/>
        <v>0.10886159973448391</v>
      </c>
      <c r="AP113" s="1552">
        <f t="shared" ref="AP113:AQ113" si="903">+AP107/AP24</f>
        <v>0.11066532932129723</v>
      </c>
      <c r="AQ113" s="1552">
        <f t="shared" si="903"/>
        <v>0.1027180783817952</v>
      </c>
      <c r="AR113" s="1552">
        <f t="shared" si="902"/>
        <v>0.10274597913513882</v>
      </c>
      <c r="AS113" s="1553">
        <f t="shared" si="902"/>
        <v>0.10082405980458706</v>
      </c>
      <c r="AT113" s="1552">
        <f t="shared" si="902"/>
        <v>0.10197139847946077</v>
      </c>
      <c r="AU113" s="1552">
        <f t="shared" si="902"/>
        <v>9.5745869012275012E-2</v>
      </c>
      <c r="AV113" s="1552">
        <f t="shared" si="902"/>
        <v>9.8508015363051704E-2</v>
      </c>
      <c r="AW113" s="1553">
        <f t="shared" si="902"/>
        <v>9.8090171320484407E-2</v>
      </c>
      <c r="AX113" s="1552">
        <f t="shared" si="902"/>
        <v>9.7675765259215896E-2</v>
      </c>
      <c r="AY113" s="1552">
        <f t="shared" si="902"/>
        <v>9.0663346745934389E-2</v>
      </c>
      <c r="AZ113" s="1552">
        <f t="shared" si="902"/>
        <v>9.5436864854898398E-2</v>
      </c>
      <c r="BA113" s="1553">
        <f t="shared" si="902"/>
        <v>9.5792592537967208E-2</v>
      </c>
      <c r="BB113" s="401"/>
      <c r="BC113" s="1674"/>
      <c r="BD113" s="1674"/>
      <c r="BE113" s="1674"/>
      <c r="BF113" s="1674"/>
      <c r="BG113" s="1674"/>
      <c r="BH113" s="1674"/>
      <c r="BI113" s="1674"/>
      <c r="BJ113" s="1546"/>
      <c r="BK113" s="1186">
        <f t="shared" ref="BK113:BP113" si="904">+BK107/BK24</f>
        <v>0.14493655138094053</v>
      </c>
      <c r="BL113" s="1186">
        <f t="shared" si="904"/>
        <v>0.13531941676282389</v>
      </c>
      <c r="BM113" s="1186">
        <f t="shared" si="904"/>
        <v>0.118263067617586</v>
      </c>
      <c r="BN113" s="1186">
        <f t="shared" si="904"/>
        <v>0.10408256016490433</v>
      </c>
      <c r="BO113" s="1186">
        <f t="shared" si="904"/>
        <v>9.8505159674156587E-2</v>
      </c>
      <c r="BP113" s="1186">
        <f t="shared" si="904"/>
        <v>9.4819827763650513E-2</v>
      </c>
      <c r="BR113" s="1483"/>
      <c r="BS113" s="1483"/>
      <c r="BT113" s="1483"/>
      <c r="BU113" s="1675"/>
    </row>
    <row r="114" spans="1:73" s="304" customFormat="1" ht="12" hidden="1" outlineLevel="1">
      <c r="A114" s="1694"/>
      <c r="B114" s="836"/>
      <c r="C114" s="837"/>
      <c r="D114" s="837"/>
      <c r="E114" s="838"/>
      <c r="F114" s="837"/>
      <c r="G114" s="837"/>
      <c r="H114" s="837"/>
      <c r="I114" s="838"/>
      <c r="J114" s="837"/>
      <c r="K114" s="837"/>
      <c r="L114" s="837"/>
      <c r="M114" s="838"/>
      <c r="N114" s="836"/>
      <c r="O114" s="836"/>
      <c r="P114" s="836"/>
      <c r="Q114" s="1041"/>
      <c r="R114" s="1549"/>
      <c r="S114" s="1550"/>
      <c r="T114" s="1550"/>
      <c r="U114" s="1551"/>
      <c r="V114" s="1550"/>
      <c r="W114" s="1550"/>
      <c r="X114" s="1550"/>
      <c r="Y114" s="1551"/>
      <c r="Z114" s="1550"/>
      <c r="AA114" s="1550"/>
      <c r="AB114" s="1550"/>
      <c r="AC114" s="1551"/>
      <c r="AD114" s="1550"/>
      <c r="AE114" s="1550"/>
      <c r="AF114" s="1550"/>
      <c r="AG114" s="1551"/>
      <c r="AH114" s="1550"/>
      <c r="AI114" s="1550"/>
      <c r="AJ114" s="1550"/>
      <c r="AK114" s="1551"/>
      <c r="AL114" s="1550"/>
      <c r="AM114" s="1550"/>
      <c r="AN114" s="1690"/>
      <c r="AO114" s="1685"/>
      <c r="AP114" s="1550"/>
      <c r="AQ114" s="1550"/>
      <c r="AR114" s="398"/>
      <c r="AS114" s="401"/>
      <c r="AT114" s="398"/>
      <c r="AU114" s="398"/>
      <c r="AV114" s="398"/>
      <c r="AW114" s="401"/>
      <c r="AX114" s="398"/>
      <c r="AY114" s="398"/>
      <c r="AZ114" s="398"/>
      <c r="BA114" s="401"/>
      <c r="BB114" s="401"/>
      <c r="BC114" s="1674"/>
      <c r="BD114" s="1674"/>
      <c r="BE114" s="1674"/>
      <c r="BF114" s="1674"/>
      <c r="BG114" s="1674"/>
      <c r="BH114" s="1674"/>
      <c r="BI114" s="1674"/>
      <c r="BJ114" s="1546"/>
      <c r="BK114" s="1674"/>
      <c r="BL114" s="1674"/>
      <c r="BM114" s="1674"/>
      <c r="BN114" s="1674"/>
      <c r="BO114" s="1674"/>
      <c r="BP114" s="1674"/>
      <c r="BR114" s="1483"/>
      <c r="BS114" s="1483"/>
      <c r="BT114" s="1483"/>
      <c r="BU114" s="1675"/>
    </row>
    <row r="115" spans="1:73" s="304" customFormat="1" ht="12" hidden="1" outlineLevel="1">
      <c r="A115" s="1699" t="s">
        <v>498</v>
      </c>
      <c r="B115" s="1110"/>
      <c r="C115" s="837"/>
      <c r="D115" s="837"/>
      <c r="E115" s="838"/>
      <c r="F115" s="837"/>
      <c r="G115" s="837"/>
      <c r="H115" s="837"/>
      <c r="I115" s="838"/>
      <c r="J115" s="837"/>
      <c r="K115" s="837"/>
      <c r="L115" s="837"/>
      <c r="M115" s="838"/>
      <c r="N115" s="1110"/>
      <c r="O115" s="1110"/>
      <c r="P115" s="1110"/>
      <c r="Q115" s="1111"/>
      <c r="R115" s="1110"/>
      <c r="S115" s="1569"/>
      <c r="T115" s="1569"/>
      <c r="U115" s="1570"/>
      <c r="V115" s="1569"/>
      <c r="W115" s="1569"/>
      <c r="X115" s="1569"/>
      <c r="Y115" s="1570"/>
      <c r="Z115" s="1569"/>
      <c r="AA115" s="1571"/>
      <c r="AB115" s="1572"/>
      <c r="AC115" s="1573"/>
      <c r="AD115" s="1572">
        <f t="shared" ref="AD115:AF115" si="905">AH115-AH117</f>
        <v>168</v>
      </c>
      <c r="AE115" s="1572">
        <f t="shared" si="905"/>
        <v>175</v>
      </c>
      <c r="AF115" s="1572">
        <f t="shared" si="905"/>
        <v>176</v>
      </c>
      <c r="AG115" s="1573">
        <f>AK115-AK117</f>
        <v>193</v>
      </c>
      <c r="AH115" s="1572">
        <v>210</v>
      </c>
      <c r="AI115" s="1572">
        <v>230</v>
      </c>
      <c r="AJ115" s="1572">
        <v>250</v>
      </c>
      <c r="AK115" s="1573">
        <v>275</v>
      </c>
      <c r="AL115" s="1572">
        <f t="shared" ref="AL115:AQ115" si="906">+AH115+AL117</f>
        <v>301</v>
      </c>
      <c r="AM115" s="1572">
        <f t="shared" si="906"/>
        <v>315</v>
      </c>
      <c r="AN115" s="1572">
        <f t="shared" si="906"/>
        <v>342</v>
      </c>
      <c r="AO115" s="1573">
        <f t="shared" si="906"/>
        <v>386</v>
      </c>
      <c r="AP115" s="1572">
        <f t="shared" si="906"/>
        <v>407</v>
      </c>
      <c r="AQ115" s="1572">
        <f t="shared" si="906"/>
        <v>430</v>
      </c>
      <c r="AR115" s="1572">
        <f t="shared" ref="AR115:AW115" si="907">AR119+AQ115</f>
        <v>450</v>
      </c>
      <c r="AS115" s="1573">
        <f t="shared" si="907"/>
        <v>475</v>
      </c>
      <c r="AT115" s="1572">
        <f t="shared" si="907"/>
        <v>496</v>
      </c>
      <c r="AU115" s="1572">
        <f t="shared" si="907"/>
        <v>519</v>
      </c>
      <c r="AV115" s="1572">
        <f t="shared" si="907"/>
        <v>539</v>
      </c>
      <c r="AW115" s="1573">
        <f t="shared" si="907"/>
        <v>564</v>
      </c>
      <c r="AX115" s="1572">
        <f t="shared" ref="AX115" si="908">AX119+AW115</f>
        <v>590</v>
      </c>
      <c r="AY115" s="1572">
        <f t="shared" ref="AY115" si="909">AY119+AX115</f>
        <v>618</v>
      </c>
      <c r="AZ115" s="1572">
        <f t="shared" ref="AZ115" si="910">AZ119+AY115</f>
        <v>643</v>
      </c>
      <c r="BA115" s="1573">
        <f t="shared" ref="BA115" si="911">BA119+AZ115</f>
        <v>673</v>
      </c>
      <c r="BB115" s="1013"/>
      <c r="BC115" s="1670"/>
      <c r="BD115" s="1670"/>
      <c r="BE115" s="1670"/>
      <c r="BF115" s="1670"/>
      <c r="BG115" s="1670"/>
      <c r="BH115" s="1670"/>
      <c r="BI115" s="1670"/>
      <c r="BJ115" s="1671">
        <f>SUM(AA115:AC115)</f>
        <v>0</v>
      </c>
      <c r="BK115" s="1670">
        <f>SUM(AD115:AG115)</f>
        <v>712</v>
      </c>
      <c r="BL115" s="1670">
        <f>SUM(AH115:AK115)</f>
        <v>965</v>
      </c>
      <c r="BM115" s="1670">
        <f>SUM(AL115:AO115)</f>
        <v>1344</v>
      </c>
      <c r="BN115" s="1670">
        <f>SUM(AP115:AS115)</f>
        <v>1762</v>
      </c>
      <c r="BO115" s="1670">
        <f>SUM(AT115:AW115)</f>
        <v>2118</v>
      </c>
      <c r="BP115" s="1670">
        <f>SUM(AX115:BA115)</f>
        <v>2524</v>
      </c>
      <c r="BR115" s="1483"/>
      <c r="BS115" s="1483"/>
      <c r="BT115" s="1483"/>
      <c r="BU115" s="1672"/>
    </row>
    <row r="116" spans="1:73" s="304" customFormat="1" ht="12" hidden="1" outlineLevel="1">
      <c r="A116" s="1700" t="s">
        <v>507</v>
      </c>
      <c r="B116" s="836"/>
      <c r="C116" s="1003"/>
      <c r="D116" s="1003"/>
      <c r="E116" s="1004"/>
      <c r="F116" s="1673"/>
      <c r="G116" s="1673"/>
      <c r="H116" s="1673"/>
      <c r="I116" s="1543"/>
      <c r="J116" s="1673"/>
      <c r="K116" s="1673"/>
      <c r="L116" s="1673"/>
      <c r="M116" s="1543"/>
      <c r="N116" s="836"/>
      <c r="O116" s="836"/>
      <c r="P116" s="836"/>
      <c r="Q116" s="1041"/>
      <c r="R116" s="836"/>
      <c r="S116" s="1294"/>
      <c r="T116" s="1294"/>
      <c r="U116" s="1557"/>
      <c r="V116" s="1294"/>
      <c r="W116" s="1294"/>
      <c r="X116" s="1294"/>
      <c r="Y116" s="1557"/>
      <c r="Z116" s="1294"/>
      <c r="AA116" s="1294"/>
      <c r="AB116" s="1294"/>
      <c r="AC116" s="1557"/>
      <c r="AD116" s="1294"/>
      <c r="AE116" s="1294"/>
      <c r="AF116" s="1294"/>
      <c r="AG116" s="1557"/>
      <c r="AH116" s="1294">
        <f t="shared" ref="AH116:AM116" si="912">AH115/AD115-1</f>
        <v>0.25</v>
      </c>
      <c r="AI116" s="1294">
        <f t="shared" si="912"/>
        <v>0.31428571428571428</v>
      </c>
      <c r="AJ116" s="1294">
        <f t="shared" si="912"/>
        <v>0.42045454545454541</v>
      </c>
      <c r="AK116" s="1557">
        <f t="shared" si="912"/>
        <v>0.42487046632124348</v>
      </c>
      <c r="AL116" s="1294">
        <f t="shared" si="912"/>
        <v>0.43333333333333335</v>
      </c>
      <c r="AM116" s="1294">
        <f t="shared" si="912"/>
        <v>0.36956521739130443</v>
      </c>
      <c r="AN116" s="1294">
        <f>AN115/AJ115-1</f>
        <v>0.3680000000000001</v>
      </c>
      <c r="AO116" s="1557">
        <f>AO115/AK115-1</f>
        <v>0.40363636363636357</v>
      </c>
      <c r="AP116" s="1294">
        <f t="shared" ref="AP116:AQ116" si="913">AP115/AL115-1</f>
        <v>0.35215946843853829</v>
      </c>
      <c r="AQ116" s="1294">
        <f t="shared" si="913"/>
        <v>0.36507936507936511</v>
      </c>
      <c r="AR116" s="1294">
        <f t="shared" ref="AR116" si="914">+(AR115/AN115)-1</f>
        <v>0.31578947368421062</v>
      </c>
      <c r="AS116" s="1557">
        <f t="shared" ref="AS116" si="915">+(AS115/AO115)-1</f>
        <v>0.23056994818652843</v>
      </c>
      <c r="AT116" s="1294">
        <f t="shared" ref="AT116" si="916">+(AT115/AP115)-1</f>
        <v>0.21867321867321876</v>
      </c>
      <c r="AU116" s="1294">
        <f t="shared" ref="AU116" si="917">+(AU115/AQ115)-1</f>
        <v>0.20697674418604661</v>
      </c>
      <c r="AV116" s="1294">
        <f t="shared" ref="AV116" si="918">+(AV115/AR115)-1</f>
        <v>0.19777777777777783</v>
      </c>
      <c r="AW116" s="1557">
        <f t="shared" ref="AW116" si="919">+(AW115/AS115)-1</f>
        <v>0.18736842105263163</v>
      </c>
      <c r="AX116" s="1294">
        <f t="shared" ref="AX116" si="920">+(AX115/AT115)-1</f>
        <v>0.18951612903225801</v>
      </c>
      <c r="AY116" s="1294">
        <f t="shared" ref="AY116" si="921">+(AY115/AU115)-1</f>
        <v>0.19075144508670516</v>
      </c>
      <c r="AZ116" s="1294">
        <f t="shared" ref="AZ116" si="922">+(AZ115/AV115)-1</f>
        <v>0.19294990723562155</v>
      </c>
      <c r="BA116" s="1557">
        <f t="shared" ref="BA116" si="923">+(BA115/AW115)-1</f>
        <v>0.19326241134751765</v>
      </c>
      <c r="BB116" s="398"/>
      <c r="BC116" s="1674"/>
      <c r="BD116" s="1674"/>
      <c r="BE116" s="1674"/>
      <c r="BF116" s="1674"/>
      <c r="BG116" s="1674"/>
      <c r="BH116" s="1674"/>
      <c r="BI116" s="1674"/>
      <c r="BJ116" s="1546"/>
      <c r="BK116" s="1674"/>
      <c r="BL116" s="1659">
        <f>BL115/BK115-1</f>
        <v>0.3553370786516854</v>
      </c>
      <c r="BM116" s="1659">
        <f>BM115/BL115-1</f>
        <v>0.39274611398963732</v>
      </c>
      <c r="BN116" s="1659">
        <f t="shared" ref="BN116:BP116" si="924">BN115/BM115-1</f>
        <v>0.31101190476190466</v>
      </c>
      <c r="BO116" s="1659">
        <f t="shared" si="924"/>
        <v>0.20204313280363229</v>
      </c>
      <c r="BP116" s="1659">
        <f t="shared" si="924"/>
        <v>0.19169027384324844</v>
      </c>
      <c r="BR116" s="1483"/>
      <c r="BS116" s="1483"/>
      <c r="BT116" s="1483"/>
      <c r="BU116" s="1675"/>
    </row>
    <row r="117" spans="1:73" s="304" customFormat="1" ht="12" hidden="1" outlineLevel="1">
      <c r="A117" s="1700" t="s">
        <v>508</v>
      </c>
      <c r="B117" s="836"/>
      <c r="C117" s="837"/>
      <c r="D117" s="837"/>
      <c r="E117" s="838"/>
      <c r="F117" s="837"/>
      <c r="G117" s="837"/>
      <c r="H117" s="837"/>
      <c r="I117" s="838"/>
      <c r="J117" s="837"/>
      <c r="K117" s="837"/>
      <c r="L117" s="837"/>
      <c r="M117" s="838"/>
      <c r="N117" s="836"/>
      <c r="O117" s="836"/>
      <c r="P117" s="836"/>
      <c r="Q117" s="1041"/>
      <c r="R117" s="1549"/>
      <c r="S117" s="1550"/>
      <c r="T117" s="1550"/>
      <c r="U117" s="1551"/>
      <c r="V117" s="1550"/>
      <c r="W117" s="1550"/>
      <c r="X117" s="1550"/>
      <c r="Y117" s="1551"/>
      <c r="Z117" s="1550"/>
      <c r="AA117" s="1550"/>
      <c r="AB117" s="1550"/>
      <c r="AC117" s="1551"/>
      <c r="AD117" s="1550"/>
      <c r="AE117" s="1550"/>
      <c r="AF117" s="1550"/>
      <c r="AG117" s="1551"/>
      <c r="AH117" s="1686">
        <f t="shared" ref="AH117:AJ117" si="925">AH120+AH121</f>
        <v>42</v>
      </c>
      <c r="AI117" s="1686">
        <f t="shared" si="925"/>
        <v>55</v>
      </c>
      <c r="AJ117" s="1686">
        <f t="shared" si="925"/>
        <v>74</v>
      </c>
      <c r="AK117" s="1687">
        <f>AK120+AK121</f>
        <v>82</v>
      </c>
      <c r="AL117" s="1575">
        <f>+AL120+AL121</f>
        <v>91</v>
      </c>
      <c r="AM117" s="1575">
        <f>+AM120+AM121</f>
        <v>85</v>
      </c>
      <c r="AN117" s="1575">
        <v>92</v>
      </c>
      <c r="AO117" s="1687">
        <f>AO120+AO121</f>
        <v>111</v>
      </c>
      <c r="AP117" s="1575">
        <f>+AP120+AP121</f>
        <v>106</v>
      </c>
      <c r="AQ117" s="1575">
        <f>+AQ120+AQ121</f>
        <v>115</v>
      </c>
      <c r="AR117" s="1550">
        <f t="shared" ref="AR117" si="926">+AR115-AN115</f>
        <v>108</v>
      </c>
      <c r="AS117" s="1551">
        <f t="shared" ref="AS117" si="927">+AS115-AO115</f>
        <v>89</v>
      </c>
      <c r="AT117" s="1550">
        <f t="shared" ref="AT117" si="928">+AT115-AP115</f>
        <v>89</v>
      </c>
      <c r="AU117" s="1550">
        <f t="shared" ref="AU117" si="929">+AU115-AQ115</f>
        <v>89</v>
      </c>
      <c r="AV117" s="1550">
        <f t="shared" ref="AV117" si="930">+AV115-AR115</f>
        <v>89</v>
      </c>
      <c r="AW117" s="1551">
        <f t="shared" ref="AW117" si="931">+AW115-AS115</f>
        <v>89</v>
      </c>
      <c r="AX117" s="1550">
        <f t="shared" ref="AX117" si="932">+AX115-AT115</f>
        <v>94</v>
      </c>
      <c r="AY117" s="1550">
        <f t="shared" ref="AY117" si="933">+AY115-AU115</f>
        <v>99</v>
      </c>
      <c r="AZ117" s="1550">
        <f t="shared" ref="AZ117" si="934">+AZ115-AV115</f>
        <v>104</v>
      </c>
      <c r="BA117" s="1551">
        <f t="shared" ref="BA117" si="935">+BA115-AW115</f>
        <v>109</v>
      </c>
      <c r="BB117" s="401"/>
      <c r="BC117" s="1676"/>
      <c r="BD117" s="1676"/>
      <c r="BE117" s="1676"/>
      <c r="BF117" s="1676"/>
      <c r="BG117" s="1676"/>
      <c r="BH117" s="1676"/>
      <c r="BI117" s="1676"/>
      <c r="BJ117" s="1546"/>
      <c r="BK117" s="1674"/>
      <c r="BL117" s="1683">
        <f>SUM(AH117:AK117)</f>
        <v>253</v>
      </c>
      <c r="BM117" s="1689">
        <f>SUM(AL117:AO117)</f>
        <v>379</v>
      </c>
      <c r="BN117" s="1674"/>
      <c r="BO117" s="1674"/>
      <c r="BP117" s="1674"/>
      <c r="BR117" s="1483"/>
      <c r="BS117" s="1483"/>
      <c r="BT117" s="1483"/>
      <c r="BU117" s="1675"/>
    </row>
    <row r="118" spans="1:73" s="304" customFormat="1" ht="12" hidden="1" outlineLevel="1">
      <c r="A118" s="1700" t="s">
        <v>509</v>
      </c>
      <c r="B118" s="836"/>
      <c r="C118" s="1003"/>
      <c r="D118" s="1003"/>
      <c r="E118" s="1004"/>
      <c r="F118" s="1673"/>
      <c r="G118" s="1673"/>
      <c r="H118" s="1673"/>
      <c r="I118" s="1543"/>
      <c r="J118" s="1673"/>
      <c r="K118" s="1673"/>
      <c r="L118" s="1673"/>
      <c r="M118" s="1543"/>
      <c r="N118" s="836"/>
      <c r="O118" s="1552"/>
      <c r="P118" s="1552"/>
      <c r="Q118" s="1553"/>
      <c r="R118" s="1552"/>
      <c r="S118" s="1552"/>
      <c r="T118" s="1552"/>
      <c r="U118" s="1553"/>
      <c r="V118" s="1552"/>
      <c r="W118" s="1552"/>
      <c r="X118" s="1552"/>
      <c r="Y118" s="1553"/>
      <c r="Z118" s="1552"/>
      <c r="AA118" s="1552"/>
      <c r="AB118" s="1552"/>
      <c r="AC118" s="1553"/>
      <c r="AD118" s="1552" t="e">
        <f t="shared" ref="AD118:AQ118" si="936">+(AD115/AC115)-1</f>
        <v>#DIV/0!</v>
      </c>
      <c r="AE118" s="1552">
        <f t="shared" si="936"/>
        <v>4.1666666666666741E-2</v>
      </c>
      <c r="AF118" s="1552">
        <f t="shared" si="936"/>
        <v>5.7142857142857828E-3</v>
      </c>
      <c r="AG118" s="1553">
        <f t="shared" si="936"/>
        <v>9.6590909090909172E-2</v>
      </c>
      <c r="AH118" s="1552">
        <f t="shared" si="936"/>
        <v>8.8082901554404236E-2</v>
      </c>
      <c r="AI118" s="1552">
        <f t="shared" si="936"/>
        <v>9.5238095238095344E-2</v>
      </c>
      <c r="AJ118" s="1552">
        <f t="shared" si="936"/>
        <v>8.6956521739130377E-2</v>
      </c>
      <c r="AK118" s="1553">
        <f t="shared" si="936"/>
        <v>0.10000000000000009</v>
      </c>
      <c r="AL118" s="1552">
        <f t="shared" si="936"/>
        <v>9.4545454545454488E-2</v>
      </c>
      <c r="AM118" s="1552">
        <f t="shared" si="936"/>
        <v>4.6511627906976827E-2</v>
      </c>
      <c r="AN118" s="1552">
        <f t="shared" si="936"/>
        <v>8.5714285714285632E-2</v>
      </c>
      <c r="AO118" s="1553">
        <f t="shared" ref="AO118" si="937">+(AO115/AN115)-1</f>
        <v>0.12865497076023402</v>
      </c>
      <c r="AP118" s="1552">
        <f t="shared" si="936"/>
        <v>5.4404145077720178E-2</v>
      </c>
      <c r="AQ118" s="1552">
        <f t="shared" si="936"/>
        <v>5.6511056511056479E-2</v>
      </c>
      <c r="AR118" s="1552">
        <f t="shared" ref="AR118" si="938">+(AR115/AQ115)-1</f>
        <v>4.6511627906976827E-2</v>
      </c>
      <c r="AS118" s="1553">
        <f t="shared" ref="AS118" si="939">+(AS115/AR115)-1</f>
        <v>5.555555555555558E-2</v>
      </c>
      <c r="AT118" s="1552">
        <f t="shared" ref="AT118" si="940">+(AT115/AS115)-1</f>
        <v>4.4210526315789478E-2</v>
      </c>
      <c r="AU118" s="1552">
        <f t="shared" ref="AU118" si="941">+(AU115/AT115)-1</f>
        <v>4.6370967741935498E-2</v>
      </c>
      <c r="AV118" s="1552">
        <f t="shared" ref="AV118" si="942">+(AV115/AU115)-1</f>
        <v>3.8535645472061564E-2</v>
      </c>
      <c r="AW118" s="1553">
        <f t="shared" ref="AW118" si="943">+(AW115/AV115)-1</f>
        <v>4.6382189239332128E-2</v>
      </c>
      <c r="AX118" s="1552">
        <f t="shared" ref="AX118" si="944">+(AX115/AW115)-1</f>
        <v>4.6099290780141855E-2</v>
      </c>
      <c r="AY118" s="1552">
        <f t="shared" ref="AY118" si="945">+(AY115/AX115)-1</f>
        <v>4.7457627118643986E-2</v>
      </c>
      <c r="AZ118" s="1552">
        <f t="shared" ref="AZ118" si="946">+(AZ115/AY115)-1</f>
        <v>4.0453074433656866E-2</v>
      </c>
      <c r="BA118" s="1553">
        <f t="shared" ref="BA118" si="947">+(BA115/AZ115)-1</f>
        <v>4.6656298600310953E-2</v>
      </c>
      <c r="BB118" s="401"/>
      <c r="BC118" s="1674"/>
      <c r="BD118" s="1674"/>
      <c r="BE118" s="1674"/>
      <c r="BF118" s="1674"/>
      <c r="BG118" s="1674"/>
      <c r="BH118" s="1674"/>
      <c r="BI118" s="1674"/>
      <c r="BJ118" s="1546"/>
      <c r="BK118" s="1674"/>
      <c r="BL118" s="1674"/>
      <c r="BM118" s="1674"/>
      <c r="BN118" s="1674"/>
      <c r="BO118" s="1674"/>
      <c r="BP118" s="1674"/>
      <c r="BR118" s="1483"/>
      <c r="BS118" s="1483"/>
      <c r="BT118" s="1483"/>
      <c r="BU118" s="1675"/>
    </row>
    <row r="119" spans="1:73" s="304" customFormat="1" ht="12" hidden="1" outlineLevel="1">
      <c r="A119" s="1700" t="s">
        <v>510</v>
      </c>
      <c r="B119" s="836"/>
      <c r="C119" s="837"/>
      <c r="D119" s="837"/>
      <c r="E119" s="838"/>
      <c r="F119" s="837"/>
      <c r="G119" s="837"/>
      <c r="H119" s="837"/>
      <c r="I119" s="838"/>
      <c r="J119" s="837"/>
      <c r="K119" s="837"/>
      <c r="L119" s="837"/>
      <c r="M119" s="838"/>
      <c r="N119" s="836"/>
      <c r="O119" s="1549"/>
      <c r="P119" s="1550"/>
      <c r="Q119" s="1551"/>
      <c r="R119" s="1550"/>
      <c r="S119" s="1550"/>
      <c r="T119" s="1550"/>
      <c r="U119" s="1551"/>
      <c r="V119" s="1550"/>
      <c r="W119" s="1550"/>
      <c r="X119" s="1550"/>
      <c r="Y119" s="1551"/>
      <c r="Z119" s="1550"/>
      <c r="AA119" s="1550"/>
      <c r="AB119" s="1550"/>
      <c r="AC119" s="1551"/>
      <c r="AD119" s="1550">
        <f t="shared" ref="AD119:AQ119" si="948">+AD115-AC115</f>
        <v>168</v>
      </c>
      <c r="AE119" s="1550">
        <f t="shared" si="948"/>
        <v>7</v>
      </c>
      <c r="AF119" s="1550">
        <f t="shared" si="948"/>
        <v>1</v>
      </c>
      <c r="AG119" s="1551">
        <f t="shared" si="948"/>
        <v>17</v>
      </c>
      <c r="AH119" s="1550">
        <f t="shared" si="948"/>
        <v>17</v>
      </c>
      <c r="AI119" s="1550">
        <f t="shared" si="948"/>
        <v>20</v>
      </c>
      <c r="AJ119" s="1550">
        <f t="shared" si="948"/>
        <v>20</v>
      </c>
      <c r="AK119" s="1551">
        <f t="shared" si="948"/>
        <v>25</v>
      </c>
      <c r="AL119" s="1550">
        <f t="shared" si="948"/>
        <v>26</v>
      </c>
      <c r="AM119" s="1550">
        <f t="shared" si="948"/>
        <v>14</v>
      </c>
      <c r="AN119" s="1550">
        <f t="shared" si="948"/>
        <v>27</v>
      </c>
      <c r="AO119" s="1551">
        <f t="shared" si="948"/>
        <v>44</v>
      </c>
      <c r="AP119" s="1550">
        <f t="shared" si="948"/>
        <v>21</v>
      </c>
      <c r="AQ119" s="1550">
        <f t="shared" si="948"/>
        <v>23</v>
      </c>
      <c r="AR119" s="1575">
        <v>20</v>
      </c>
      <c r="AS119" s="1685">
        <v>25</v>
      </c>
      <c r="AT119" s="1575">
        <f t="shared" ref="AT119:AW119" si="949">AP119</f>
        <v>21</v>
      </c>
      <c r="AU119" s="1575">
        <f t="shared" si="949"/>
        <v>23</v>
      </c>
      <c r="AV119" s="1575">
        <f t="shared" si="949"/>
        <v>20</v>
      </c>
      <c r="AW119" s="1685">
        <f t="shared" si="949"/>
        <v>25</v>
      </c>
      <c r="AX119" s="1575">
        <f>+AT119+5</f>
        <v>26</v>
      </c>
      <c r="AY119" s="1575">
        <f t="shared" ref="AY119:BA119" si="950">+AU119+5</f>
        <v>28</v>
      </c>
      <c r="AZ119" s="1575">
        <f t="shared" si="950"/>
        <v>25</v>
      </c>
      <c r="BA119" s="1685">
        <f t="shared" si="950"/>
        <v>30</v>
      </c>
      <c r="BB119" s="401"/>
      <c r="BC119" s="1674"/>
      <c r="BD119" s="1674"/>
      <c r="BE119" s="1674"/>
      <c r="BF119" s="1674"/>
      <c r="BG119" s="1674"/>
      <c r="BH119" s="1674"/>
      <c r="BI119" s="1674"/>
      <c r="BJ119" s="1546"/>
      <c r="BK119" s="1674"/>
      <c r="BL119" s="1674"/>
      <c r="BM119" s="1674"/>
      <c r="BN119" s="1674"/>
      <c r="BO119" s="1674"/>
      <c r="BP119" s="1674"/>
      <c r="BR119" s="1483"/>
      <c r="BS119" s="1483"/>
      <c r="BT119" s="1483"/>
      <c r="BU119" s="1675"/>
    </row>
    <row r="120" spans="1:73" s="304" customFormat="1" ht="12" hidden="1" outlineLevel="1">
      <c r="A120" s="1766" t="s">
        <v>513</v>
      </c>
      <c r="B120" s="836"/>
      <c r="C120" s="1003"/>
      <c r="D120" s="1003"/>
      <c r="E120" s="1004"/>
      <c r="F120" s="1673"/>
      <c r="G120" s="1673"/>
      <c r="H120" s="1673"/>
      <c r="I120" s="1543"/>
      <c r="J120" s="1673"/>
      <c r="K120" s="1673"/>
      <c r="L120" s="1673"/>
      <c r="M120" s="1543"/>
      <c r="N120" s="836"/>
      <c r="O120" s="836"/>
      <c r="P120" s="836"/>
      <c r="Q120" s="1041"/>
      <c r="R120" s="1549"/>
      <c r="S120" s="1550"/>
      <c r="T120" s="1550"/>
      <c r="U120" s="1551"/>
      <c r="V120" s="1550"/>
      <c r="W120" s="1550"/>
      <c r="X120" s="1550"/>
      <c r="Y120" s="1551"/>
      <c r="Z120" s="1550"/>
      <c r="AA120" s="1550"/>
      <c r="AB120" s="1550"/>
      <c r="AC120" s="1551"/>
      <c r="AD120" s="1550"/>
      <c r="AE120" s="1550"/>
      <c r="AF120" s="1550"/>
      <c r="AG120" s="1551"/>
      <c r="AH120" s="1686">
        <v>32</v>
      </c>
      <c r="AI120" s="1686">
        <v>45</v>
      </c>
      <c r="AJ120" s="1575">
        <v>59</v>
      </c>
      <c r="AK120" s="1551">
        <f>BL120-SUM(AH120:AJ120)</f>
        <v>67</v>
      </c>
      <c r="AL120" s="1575">
        <v>65</v>
      </c>
      <c r="AM120" s="1575">
        <v>53</v>
      </c>
      <c r="AN120" s="1575">
        <v>57</v>
      </c>
      <c r="AO120" s="1687">
        <f>BM120-SUM(AL120:AN120)</f>
        <v>67</v>
      </c>
      <c r="AP120" s="1575">
        <v>58</v>
      </c>
      <c r="AQ120" s="1575">
        <v>64</v>
      </c>
      <c r="AR120" s="398"/>
      <c r="AS120" s="401"/>
      <c r="AT120" s="398"/>
      <c r="AU120" s="398"/>
      <c r="AV120" s="398"/>
      <c r="AW120" s="401"/>
      <c r="AX120" s="398"/>
      <c r="AY120" s="398"/>
      <c r="AZ120" s="398"/>
      <c r="BA120" s="401"/>
      <c r="BB120" s="401"/>
      <c r="BC120" s="1676"/>
      <c r="BD120" s="1676"/>
      <c r="BE120" s="1676"/>
      <c r="BF120" s="1676"/>
      <c r="BG120" s="1676"/>
      <c r="BH120" s="1676"/>
      <c r="BI120" s="1676"/>
      <c r="BJ120" s="1546"/>
      <c r="BK120" s="1674"/>
      <c r="BL120" s="1676">
        <v>203</v>
      </c>
      <c r="BM120" s="1676">
        <v>242</v>
      </c>
      <c r="BN120" s="1674"/>
      <c r="BO120" s="1674"/>
      <c r="BP120" s="1674"/>
      <c r="BR120" s="1483"/>
      <c r="BS120" s="1483"/>
      <c r="BT120" s="1483"/>
      <c r="BU120" s="1675"/>
    </row>
    <row r="121" spans="1:73" s="304" customFormat="1" ht="12" hidden="1" customHeight="1" outlineLevel="1">
      <c r="A121" s="1766" t="s">
        <v>514</v>
      </c>
      <c r="B121" s="836"/>
      <c r="C121" s="837"/>
      <c r="D121" s="837"/>
      <c r="E121" s="838"/>
      <c r="F121" s="837"/>
      <c r="G121" s="837"/>
      <c r="H121" s="837"/>
      <c r="I121" s="838"/>
      <c r="J121" s="837"/>
      <c r="K121" s="837"/>
      <c r="L121" s="837"/>
      <c r="M121" s="838"/>
      <c r="N121" s="836"/>
      <c r="O121" s="836"/>
      <c r="P121" s="836"/>
      <c r="Q121" s="1041"/>
      <c r="R121" s="1549"/>
      <c r="S121" s="1550"/>
      <c r="T121" s="1550"/>
      <c r="U121" s="1551"/>
      <c r="V121" s="1550"/>
      <c r="W121" s="1550"/>
      <c r="X121" s="1550"/>
      <c r="Y121" s="1551"/>
      <c r="Z121" s="1550"/>
      <c r="AA121" s="1550"/>
      <c r="AB121" s="1550"/>
      <c r="AC121" s="1551"/>
      <c r="AD121" s="1550"/>
      <c r="AE121" s="1550"/>
      <c r="AF121" s="1550"/>
      <c r="AG121" s="1551"/>
      <c r="AH121" s="1686">
        <v>10</v>
      </c>
      <c r="AI121" s="1686">
        <v>10</v>
      </c>
      <c r="AJ121" s="1686">
        <v>15</v>
      </c>
      <c r="AK121" s="1687">
        <v>15</v>
      </c>
      <c r="AL121" s="1575">
        <v>26</v>
      </c>
      <c r="AM121" s="1575">
        <v>32</v>
      </c>
      <c r="AN121" s="1575">
        <v>35</v>
      </c>
      <c r="AO121" s="1687">
        <f>BM121-SUM(AL121:AN121)</f>
        <v>44</v>
      </c>
      <c r="AP121" s="1575">
        <v>48</v>
      </c>
      <c r="AQ121" s="1575">
        <v>51</v>
      </c>
      <c r="AR121" s="398"/>
      <c r="AS121" s="401"/>
      <c r="AT121" s="398"/>
      <c r="AU121" s="398"/>
      <c r="AV121" s="398"/>
      <c r="AW121" s="401"/>
      <c r="AX121" s="398"/>
      <c r="AY121" s="398"/>
      <c r="AZ121" s="398"/>
      <c r="BA121" s="401"/>
      <c r="BB121" s="401"/>
      <c r="BC121" s="1674"/>
      <c r="BD121" s="1674"/>
      <c r="BE121" s="1674"/>
      <c r="BF121" s="1674"/>
      <c r="BG121" s="1674"/>
      <c r="BH121" s="1674"/>
      <c r="BI121" s="1674"/>
      <c r="BJ121" s="1546"/>
      <c r="BK121" s="1674"/>
      <c r="BL121" s="1683">
        <f>SUM(AH121:AK121)</f>
        <v>50</v>
      </c>
      <c r="BM121" s="1676">
        <v>137</v>
      </c>
      <c r="BN121" s="1674"/>
      <c r="BO121" s="1674"/>
      <c r="BP121" s="1674"/>
      <c r="BR121" s="1483"/>
      <c r="BS121" s="1483"/>
      <c r="BT121" s="1483"/>
      <c r="BU121" s="1675"/>
    </row>
    <row r="122" spans="1:73" s="304" customFormat="1" ht="12" hidden="1" outlineLevel="1">
      <c r="A122" s="1694"/>
      <c r="B122" s="836"/>
      <c r="C122" s="837"/>
      <c r="D122" s="837"/>
      <c r="E122" s="838"/>
      <c r="F122" s="837"/>
      <c r="G122" s="837"/>
      <c r="H122" s="837"/>
      <c r="I122" s="838"/>
      <c r="J122" s="837"/>
      <c r="K122" s="837"/>
      <c r="L122" s="837"/>
      <c r="M122" s="838"/>
      <c r="N122" s="836"/>
      <c r="O122" s="836"/>
      <c r="P122" s="836"/>
      <c r="Q122" s="1041"/>
      <c r="R122" s="1549"/>
      <c r="S122" s="1550"/>
      <c r="T122" s="1550"/>
      <c r="U122" s="1551"/>
      <c r="V122" s="1550"/>
      <c r="W122" s="1550"/>
      <c r="X122" s="1550"/>
      <c r="Y122" s="1551"/>
      <c r="Z122" s="1550"/>
      <c r="AA122" s="1550"/>
      <c r="AB122" s="1550"/>
      <c r="AC122" s="1551"/>
      <c r="AD122" s="1550"/>
      <c r="AE122" s="1550"/>
      <c r="AF122" s="1550"/>
      <c r="AG122" s="1551"/>
      <c r="AH122" s="1550"/>
      <c r="AI122" s="1550"/>
      <c r="AJ122" s="1550"/>
      <c r="AK122" s="1551"/>
      <c r="AL122" s="1550"/>
      <c r="AM122" s="1550"/>
      <c r="AN122" s="1575"/>
      <c r="AO122" s="1685"/>
      <c r="AP122" s="1550"/>
      <c r="AQ122" s="1550"/>
      <c r="AR122" s="398"/>
      <c r="AS122" s="401"/>
      <c r="AT122" s="398"/>
      <c r="AU122" s="398"/>
      <c r="AV122" s="398"/>
      <c r="AW122" s="401"/>
      <c r="AX122" s="398"/>
      <c r="AY122" s="398"/>
      <c r="AZ122" s="398"/>
      <c r="BA122" s="401"/>
      <c r="BB122" s="401"/>
      <c r="BC122" s="1674"/>
      <c r="BD122" s="1674"/>
      <c r="BE122" s="1674"/>
      <c r="BF122" s="1674"/>
      <c r="BG122" s="1674"/>
      <c r="BH122" s="1674"/>
      <c r="BI122" s="1674"/>
      <c r="BJ122" s="1546"/>
      <c r="BK122" s="1674"/>
      <c r="BL122" s="1674"/>
      <c r="BM122" s="1674"/>
      <c r="BN122" s="1674"/>
      <c r="BO122" s="1674"/>
      <c r="BP122" s="1674"/>
      <c r="BR122" s="1483"/>
      <c r="BS122" s="1483"/>
      <c r="BT122" s="1483"/>
      <c r="BU122" s="1675"/>
    </row>
    <row r="123" spans="1:73" s="304" customFormat="1" ht="12" hidden="1" outlineLevel="1">
      <c r="A123" s="1699" t="s">
        <v>497</v>
      </c>
      <c r="B123" s="1110"/>
      <c r="C123" s="837"/>
      <c r="D123" s="837"/>
      <c r="E123" s="838"/>
      <c r="F123" s="837"/>
      <c r="G123" s="837"/>
      <c r="H123" s="837"/>
      <c r="I123" s="838"/>
      <c r="J123" s="837"/>
      <c r="K123" s="837"/>
      <c r="L123" s="837"/>
      <c r="M123" s="838"/>
      <c r="N123" s="1110"/>
      <c r="O123" s="1110"/>
      <c r="P123" s="1110"/>
      <c r="Q123" s="1111"/>
      <c r="R123" s="1110"/>
      <c r="S123" s="1569"/>
      <c r="T123" s="1569"/>
      <c r="U123" s="1570"/>
      <c r="V123" s="1569"/>
      <c r="W123" s="1569"/>
      <c r="X123" s="1569"/>
      <c r="Y123" s="1570"/>
      <c r="Z123" s="1569"/>
      <c r="AA123" s="1571">
        <f>+AA392</f>
        <v>0</v>
      </c>
      <c r="AB123" s="1572">
        <f>+AB392</f>
        <v>0</v>
      </c>
      <c r="AC123" s="1573">
        <f>+AC392</f>
        <v>0</v>
      </c>
      <c r="AD123" s="1572">
        <f t="shared" ref="AD123:AE123" si="951">AH123-AH125</f>
        <v>205</v>
      </c>
      <c r="AE123" s="1572">
        <f t="shared" si="951"/>
        <v>215</v>
      </c>
      <c r="AF123" s="1572">
        <f>AJ123-AJ125</f>
        <v>233</v>
      </c>
      <c r="AG123" s="1573">
        <f>AK123-AK125</f>
        <v>246</v>
      </c>
      <c r="AH123" s="1572">
        <v>255</v>
      </c>
      <c r="AI123" s="1572">
        <v>265</v>
      </c>
      <c r="AJ123" s="1572">
        <v>285</v>
      </c>
      <c r="AK123" s="1573">
        <v>305</v>
      </c>
      <c r="AL123" s="1572">
        <f t="shared" ref="AL123:AQ123" si="952">+AH123+AL125</f>
        <v>308</v>
      </c>
      <c r="AM123" s="1572">
        <f t="shared" si="952"/>
        <v>344</v>
      </c>
      <c r="AN123" s="1572">
        <f t="shared" si="952"/>
        <v>361</v>
      </c>
      <c r="AO123" s="1573">
        <f t="shared" si="952"/>
        <v>376</v>
      </c>
      <c r="AP123" s="1572">
        <f t="shared" si="952"/>
        <v>375</v>
      </c>
      <c r="AQ123" s="1572">
        <f t="shared" si="952"/>
        <v>426</v>
      </c>
      <c r="AR123" s="1572">
        <f t="shared" ref="AR123:AW123" si="953">AR127+AQ123</f>
        <v>441</v>
      </c>
      <c r="AS123" s="1573">
        <f t="shared" si="953"/>
        <v>456</v>
      </c>
      <c r="AT123" s="1572">
        <f t="shared" si="953"/>
        <v>466</v>
      </c>
      <c r="AU123" s="1572">
        <f t="shared" si="953"/>
        <v>511</v>
      </c>
      <c r="AV123" s="1572">
        <f t="shared" si="953"/>
        <v>531</v>
      </c>
      <c r="AW123" s="1573">
        <f t="shared" si="953"/>
        <v>551</v>
      </c>
      <c r="AX123" s="1572">
        <f t="shared" ref="AX123" si="954">AX127+AW123</f>
        <v>566</v>
      </c>
      <c r="AY123" s="1572">
        <f t="shared" ref="AY123" si="955">AY127+AX123</f>
        <v>616</v>
      </c>
      <c r="AZ123" s="1572">
        <f t="shared" ref="AZ123" si="956">AZ127+AY123</f>
        <v>641</v>
      </c>
      <c r="BA123" s="1573">
        <f t="shared" ref="BA123" si="957">BA127+AZ123</f>
        <v>666</v>
      </c>
      <c r="BB123" s="1013"/>
      <c r="BC123" s="1670"/>
      <c r="BD123" s="1670"/>
      <c r="BE123" s="1670"/>
      <c r="BF123" s="1670"/>
      <c r="BG123" s="1670"/>
      <c r="BH123" s="1670"/>
      <c r="BI123" s="1670"/>
      <c r="BJ123" s="1671">
        <f>SUM(AA123:AC123)</f>
        <v>0</v>
      </c>
      <c r="BK123" s="1670">
        <f>SUM(AD123:AG123)</f>
        <v>899</v>
      </c>
      <c r="BL123" s="1670">
        <f>SUM(AH123:AK123)</f>
        <v>1110</v>
      </c>
      <c r="BM123" s="1670">
        <f>SUM(AL123:AO123)</f>
        <v>1389</v>
      </c>
      <c r="BN123" s="1670">
        <f>SUM(AP123:AS123)</f>
        <v>1698</v>
      </c>
      <c r="BO123" s="1670">
        <f>SUM(AT123:AW123)</f>
        <v>2059</v>
      </c>
      <c r="BP123" s="1670">
        <f>SUM(AX123:BA123)</f>
        <v>2489</v>
      </c>
      <c r="BR123" s="1483"/>
      <c r="BS123" s="1483"/>
      <c r="BT123" s="1483"/>
      <c r="BU123" s="1672"/>
    </row>
    <row r="124" spans="1:73" s="304" customFormat="1" ht="12" hidden="1" outlineLevel="1">
      <c r="A124" s="1700" t="s">
        <v>507</v>
      </c>
      <c r="B124" s="836"/>
      <c r="C124" s="837"/>
      <c r="D124" s="837"/>
      <c r="E124" s="838"/>
      <c r="F124" s="837"/>
      <c r="G124" s="837"/>
      <c r="H124" s="837"/>
      <c r="I124" s="838"/>
      <c r="J124" s="837"/>
      <c r="K124" s="837"/>
      <c r="L124" s="837"/>
      <c r="M124" s="838"/>
      <c r="N124" s="836"/>
      <c r="O124" s="836"/>
      <c r="P124" s="836"/>
      <c r="Q124" s="1041"/>
      <c r="R124" s="836"/>
      <c r="S124" s="1294"/>
      <c r="T124" s="1294"/>
      <c r="U124" s="1557"/>
      <c r="V124" s="1294"/>
      <c r="W124" s="1294"/>
      <c r="X124" s="1294"/>
      <c r="Y124" s="1557"/>
      <c r="Z124" s="1294"/>
      <c r="AA124" s="1294"/>
      <c r="AB124" s="1294"/>
      <c r="AC124" s="1557"/>
      <c r="AD124" s="1294"/>
      <c r="AE124" s="1294"/>
      <c r="AF124" s="1294"/>
      <c r="AG124" s="1557"/>
      <c r="AH124" s="1294">
        <f t="shared" ref="AH124:AM124" si="958">+AH125/AD123</f>
        <v>0.24390243902439024</v>
      </c>
      <c r="AI124" s="1294">
        <f t="shared" si="958"/>
        <v>0.23255813953488372</v>
      </c>
      <c r="AJ124" s="1294">
        <f t="shared" si="958"/>
        <v>0.22317596566523606</v>
      </c>
      <c r="AK124" s="1557">
        <f t="shared" si="958"/>
        <v>0.23983739837398374</v>
      </c>
      <c r="AL124" s="1294">
        <f t="shared" si="958"/>
        <v>0.20784313725490197</v>
      </c>
      <c r="AM124" s="1294">
        <f t="shared" si="958"/>
        <v>0.2981132075471698</v>
      </c>
      <c r="AN124" s="1294">
        <f>+AN125/AJ123</f>
        <v>0.26666666666666666</v>
      </c>
      <c r="AO124" s="1557">
        <f>+AO125/AK123</f>
        <v>0.23278688524590163</v>
      </c>
      <c r="AP124" s="1294">
        <f t="shared" ref="AP124:AQ124" si="959">+AP125/AL123</f>
        <v>0.21753246753246752</v>
      </c>
      <c r="AQ124" s="1294">
        <f t="shared" si="959"/>
        <v>0.23837209302325582</v>
      </c>
      <c r="AR124" s="1294">
        <f t="shared" ref="AR124" si="960">+(AR123/AN123)-1</f>
        <v>0.22160664819944609</v>
      </c>
      <c r="AS124" s="1557">
        <f t="shared" ref="AS124" si="961">+(AS123/AO123)-1</f>
        <v>0.2127659574468086</v>
      </c>
      <c r="AT124" s="1294">
        <f t="shared" ref="AT124" si="962">+(AT123/AP123)-1</f>
        <v>0.24266666666666659</v>
      </c>
      <c r="AU124" s="1294">
        <f t="shared" ref="AU124" si="963">+(AU123/AQ123)-1</f>
        <v>0.19953051643192499</v>
      </c>
      <c r="AV124" s="1294">
        <f t="shared" ref="AV124" si="964">+(AV123/AR123)-1</f>
        <v>0.20408163265306123</v>
      </c>
      <c r="AW124" s="1557">
        <f t="shared" ref="AW124" si="965">+(AW123/AS123)-1</f>
        <v>0.20833333333333326</v>
      </c>
      <c r="AX124" s="1294">
        <f t="shared" ref="AX124" si="966">+(AX123/AT123)-1</f>
        <v>0.21459227467811148</v>
      </c>
      <c r="AY124" s="1294">
        <f t="shared" ref="AY124" si="967">+(AY123/AU123)-1</f>
        <v>0.20547945205479445</v>
      </c>
      <c r="AZ124" s="1294">
        <f t="shared" ref="AZ124" si="968">+(AZ123/AV123)-1</f>
        <v>0.20715630885122405</v>
      </c>
      <c r="BA124" s="1557">
        <f t="shared" ref="BA124" si="969">+(BA123/AW123)-1</f>
        <v>0.2087114337568059</v>
      </c>
      <c r="BB124" s="398"/>
      <c r="BC124" s="1674"/>
      <c r="BD124" s="1674"/>
      <c r="BE124" s="1674"/>
      <c r="BF124" s="1674"/>
      <c r="BG124" s="1674"/>
      <c r="BH124" s="1674"/>
      <c r="BI124" s="1674"/>
      <c r="BJ124" s="1546"/>
      <c r="BK124" s="1674"/>
      <c r="BL124" s="1659">
        <f>BL123/BK123-1</f>
        <v>0.23470522803114569</v>
      </c>
      <c r="BM124" s="1659">
        <f>BM123/BL123-1</f>
        <v>0.25135135135135145</v>
      </c>
      <c r="BN124" s="1659">
        <f t="shared" ref="BN124:BP124" si="970">BN123/BM123-1</f>
        <v>0.22246220302375819</v>
      </c>
      <c r="BO124" s="1659">
        <f t="shared" si="970"/>
        <v>0.21260306242638394</v>
      </c>
      <c r="BP124" s="1659">
        <f t="shared" si="970"/>
        <v>0.20883924235065576</v>
      </c>
      <c r="BR124" s="1483"/>
      <c r="BS124" s="1483"/>
      <c r="BT124" s="1483"/>
      <c r="BU124" s="1675"/>
    </row>
    <row r="125" spans="1:73" s="304" customFormat="1" ht="12" hidden="1" outlineLevel="1">
      <c r="A125" s="1700" t="s">
        <v>508</v>
      </c>
      <c r="B125" s="836"/>
      <c r="C125" s="1003"/>
      <c r="D125" s="1003"/>
      <c r="E125" s="1004"/>
      <c r="F125" s="1673"/>
      <c r="G125" s="1673"/>
      <c r="H125" s="1673"/>
      <c r="I125" s="1543"/>
      <c r="J125" s="1673"/>
      <c r="K125" s="1673"/>
      <c r="L125" s="1673"/>
      <c r="M125" s="1543"/>
      <c r="N125" s="836"/>
      <c r="O125" s="836"/>
      <c r="P125" s="836"/>
      <c r="Q125" s="1041"/>
      <c r="R125" s="1549"/>
      <c r="S125" s="1550"/>
      <c r="T125" s="1550"/>
      <c r="U125" s="1551"/>
      <c r="V125" s="1550"/>
      <c r="W125" s="1550"/>
      <c r="X125" s="1550"/>
      <c r="Y125" s="1551"/>
      <c r="Z125" s="1550"/>
      <c r="AA125" s="1550"/>
      <c r="AB125" s="1550"/>
      <c r="AC125" s="1551"/>
      <c r="AD125" s="1550"/>
      <c r="AE125" s="1550"/>
      <c r="AF125" s="1550"/>
      <c r="AG125" s="1551"/>
      <c r="AH125" s="1686">
        <v>50</v>
      </c>
      <c r="AI125" s="1686">
        <v>50</v>
      </c>
      <c r="AJ125" s="1575">
        <v>52</v>
      </c>
      <c r="AK125" s="1551">
        <f>BL125-SUM(AH125:AJ125)</f>
        <v>59</v>
      </c>
      <c r="AL125" s="1575">
        <v>53</v>
      </c>
      <c r="AM125" s="1575">
        <v>79</v>
      </c>
      <c r="AN125" s="1575">
        <v>76</v>
      </c>
      <c r="AO125" s="1687">
        <f>BM125-SUM(AL125:AN125)</f>
        <v>71</v>
      </c>
      <c r="AP125" s="1575">
        <v>67</v>
      </c>
      <c r="AQ125" s="1575">
        <v>82</v>
      </c>
      <c r="AR125" s="1550">
        <f t="shared" ref="AR125" si="971">+AR123-AN123</f>
        <v>80</v>
      </c>
      <c r="AS125" s="1551">
        <f t="shared" ref="AS125" si="972">+AS123-AO123</f>
        <v>80</v>
      </c>
      <c r="AT125" s="1550">
        <f t="shared" ref="AT125" si="973">+AT123-AP123</f>
        <v>91</v>
      </c>
      <c r="AU125" s="1550">
        <f t="shared" ref="AU125" si="974">+AU123-AQ123</f>
        <v>85</v>
      </c>
      <c r="AV125" s="1550">
        <f t="shared" ref="AV125" si="975">+AV123-AR123</f>
        <v>90</v>
      </c>
      <c r="AW125" s="1551">
        <f t="shared" ref="AW125" si="976">+AW123-AS123</f>
        <v>95</v>
      </c>
      <c r="AX125" s="1550">
        <f t="shared" ref="AX125" si="977">+AX123-AT123</f>
        <v>100</v>
      </c>
      <c r="AY125" s="1550">
        <f t="shared" ref="AY125" si="978">+AY123-AU123</f>
        <v>105</v>
      </c>
      <c r="AZ125" s="1550">
        <f t="shared" ref="AZ125" si="979">+AZ123-AV123</f>
        <v>110</v>
      </c>
      <c r="BA125" s="1551">
        <f t="shared" ref="BA125" si="980">+BA123-AW123</f>
        <v>115</v>
      </c>
      <c r="BB125" s="401"/>
      <c r="BC125" s="1676"/>
      <c r="BD125" s="1676"/>
      <c r="BE125" s="1676"/>
      <c r="BF125" s="1676"/>
      <c r="BG125" s="1676"/>
      <c r="BH125" s="1676"/>
      <c r="BI125" s="1676"/>
      <c r="BJ125" s="1546"/>
      <c r="BK125" s="1674"/>
      <c r="BL125" s="1676">
        <v>211</v>
      </c>
      <c r="BM125" s="1676">
        <v>279</v>
      </c>
      <c r="BN125" s="1674"/>
      <c r="BO125" s="1674"/>
      <c r="BP125" s="1674"/>
      <c r="BR125" s="1483"/>
      <c r="BS125" s="1483"/>
      <c r="BT125" s="1483"/>
      <c r="BU125" s="1675"/>
    </row>
    <row r="126" spans="1:73" s="304" customFormat="1" ht="12" hidden="1" outlineLevel="1">
      <c r="A126" s="1700" t="s">
        <v>509</v>
      </c>
      <c r="B126" s="836"/>
      <c r="C126" s="1003"/>
      <c r="D126" s="1003"/>
      <c r="E126" s="1004"/>
      <c r="F126" s="1673"/>
      <c r="G126" s="1673"/>
      <c r="H126" s="1673"/>
      <c r="I126" s="1543"/>
      <c r="J126" s="1673"/>
      <c r="K126" s="1673"/>
      <c r="L126" s="1673"/>
      <c r="M126" s="1543"/>
      <c r="N126" s="836"/>
      <c r="O126" s="1552"/>
      <c r="P126" s="1552"/>
      <c r="Q126" s="1553"/>
      <c r="R126" s="1552"/>
      <c r="S126" s="1552"/>
      <c r="T126" s="1552"/>
      <c r="U126" s="1553"/>
      <c r="V126" s="1552"/>
      <c r="W126" s="1552"/>
      <c r="X126" s="1552"/>
      <c r="Y126" s="1553"/>
      <c r="Z126" s="1552"/>
      <c r="AA126" s="1552"/>
      <c r="AB126" s="1552"/>
      <c r="AC126" s="1553"/>
      <c r="AD126" s="1552" t="e">
        <f t="shared" ref="AD126" si="981">+(AD123/AC123)-1</f>
        <v>#DIV/0!</v>
      </c>
      <c r="AE126" s="1552">
        <f t="shared" ref="AE126" si="982">+(AE123/AD123)-1</f>
        <v>4.8780487804878092E-2</v>
      </c>
      <c r="AF126" s="1552">
        <f t="shared" ref="AF126" si="983">+(AF123/AE123)-1</f>
        <v>8.3720930232558111E-2</v>
      </c>
      <c r="AG126" s="1553">
        <f t="shared" ref="AG126" si="984">+(AG123/AF123)-1</f>
        <v>5.579399141630903E-2</v>
      </c>
      <c r="AH126" s="1552">
        <f t="shared" ref="AH126" si="985">+(AH123/AG123)-1</f>
        <v>3.6585365853658569E-2</v>
      </c>
      <c r="AI126" s="1552">
        <f t="shared" ref="AI126" si="986">+(AI123/AH123)-1</f>
        <v>3.9215686274509887E-2</v>
      </c>
      <c r="AJ126" s="1552">
        <f t="shared" ref="AJ126" si="987">+(AJ123/AI123)-1</f>
        <v>7.547169811320753E-2</v>
      </c>
      <c r="AK126" s="1553">
        <f t="shared" ref="AK126" si="988">+(AK123/AJ123)-1</f>
        <v>7.0175438596491224E-2</v>
      </c>
      <c r="AL126" s="1552">
        <f t="shared" ref="AL126" si="989">+(AL123/AK123)-1</f>
        <v>9.8360655737705915E-3</v>
      </c>
      <c r="AM126" s="1552">
        <f t="shared" ref="AM126" si="990">+(AM123/AL123)-1</f>
        <v>0.11688311688311681</v>
      </c>
      <c r="AN126" s="1552">
        <f t="shared" ref="AN126" si="991">+(AN123/AM123)-1</f>
        <v>4.9418604651162878E-2</v>
      </c>
      <c r="AO126" s="1553">
        <f t="shared" ref="AO126:AQ126" si="992">+(AO123/AN123)-1</f>
        <v>4.1551246537396169E-2</v>
      </c>
      <c r="AP126" s="1552">
        <f t="shared" si="992"/>
        <v>-2.6595744680850686E-3</v>
      </c>
      <c r="AQ126" s="1552">
        <f t="shared" si="992"/>
        <v>0.1359999999999999</v>
      </c>
      <c r="AR126" s="1552">
        <f t="shared" ref="AR126" si="993">+(AR123/AQ123)-1</f>
        <v>3.5211267605633756E-2</v>
      </c>
      <c r="AS126" s="1553">
        <f t="shared" ref="AS126" si="994">+(AS123/AR123)-1</f>
        <v>3.4013605442176909E-2</v>
      </c>
      <c r="AT126" s="1552">
        <f t="shared" ref="AT126" si="995">+(AT123/AS123)-1</f>
        <v>2.1929824561403466E-2</v>
      </c>
      <c r="AU126" s="1552">
        <f t="shared" ref="AU126" si="996">+(AU123/AT123)-1</f>
        <v>9.6566523605150278E-2</v>
      </c>
      <c r="AV126" s="1552">
        <f t="shared" ref="AV126" si="997">+(AV123/AU123)-1</f>
        <v>3.9138943248532287E-2</v>
      </c>
      <c r="AW126" s="1553">
        <f t="shared" ref="AW126" si="998">+(AW123/AV123)-1</f>
        <v>3.7664783427495241E-2</v>
      </c>
      <c r="AX126" s="1552">
        <f t="shared" ref="AX126" si="999">+(AX123/AW123)-1</f>
        <v>2.722323049001818E-2</v>
      </c>
      <c r="AY126" s="1552">
        <f t="shared" ref="AY126" si="1000">+(AY123/AX123)-1</f>
        <v>8.8339222614840951E-2</v>
      </c>
      <c r="AZ126" s="1552">
        <f t="shared" ref="AZ126" si="1001">+(AZ123/AY123)-1</f>
        <v>4.0584415584415501E-2</v>
      </c>
      <c r="BA126" s="1553">
        <f t="shared" ref="BA126" si="1002">+(BA123/AZ123)-1</f>
        <v>3.9001560062402518E-2</v>
      </c>
      <c r="BB126" s="401"/>
      <c r="BC126" s="1674"/>
      <c r="BD126" s="1674"/>
      <c r="BE126" s="1674"/>
      <c r="BF126" s="1674"/>
      <c r="BG126" s="1674"/>
      <c r="BH126" s="1674"/>
      <c r="BI126" s="1674"/>
      <c r="BJ126" s="1546"/>
      <c r="BK126" s="1674"/>
      <c r="BL126" s="1674"/>
      <c r="BM126" s="1674"/>
      <c r="BN126" s="1674"/>
      <c r="BO126" s="1674"/>
      <c r="BP126" s="1674"/>
      <c r="BR126" s="1483"/>
      <c r="BS126" s="1483"/>
      <c r="BT126" s="1483"/>
      <c r="BU126" s="1675"/>
    </row>
    <row r="127" spans="1:73" s="304" customFormat="1" ht="12" hidden="1" outlineLevel="1">
      <c r="A127" s="1700" t="s">
        <v>510</v>
      </c>
      <c r="B127" s="836"/>
      <c r="C127" s="837"/>
      <c r="D127" s="837"/>
      <c r="E127" s="838"/>
      <c r="F127" s="837"/>
      <c r="G127" s="837"/>
      <c r="H127" s="837"/>
      <c r="I127" s="838"/>
      <c r="J127" s="837"/>
      <c r="K127" s="837"/>
      <c r="L127" s="837"/>
      <c r="M127" s="838"/>
      <c r="N127" s="836"/>
      <c r="O127" s="1549"/>
      <c r="P127" s="1550"/>
      <c r="Q127" s="1551"/>
      <c r="R127" s="1550"/>
      <c r="S127" s="1550"/>
      <c r="T127" s="1550"/>
      <c r="U127" s="1551"/>
      <c r="V127" s="1550"/>
      <c r="W127" s="1550"/>
      <c r="X127" s="1550"/>
      <c r="Y127" s="1551"/>
      <c r="Z127" s="1550"/>
      <c r="AA127" s="1550"/>
      <c r="AB127" s="1550"/>
      <c r="AC127" s="1551"/>
      <c r="AD127" s="1550">
        <f t="shared" ref="AD127" si="1003">+AD123-AC123</f>
        <v>205</v>
      </c>
      <c r="AE127" s="1550">
        <f t="shared" ref="AE127" si="1004">+AE123-AD123</f>
        <v>10</v>
      </c>
      <c r="AF127" s="1550">
        <f t="shared" ref="AF127" si="1005">+AF123-AE123</f>
        <v>18</v>
      </c>
      <c r="AG127" s="1551">
        <f t="shared" ref="AG127" si="1006">+AG123-AF123</f>
        <v>13</v>
      </c>
      <c r="AH127" s="1550">
        <f t="shared" ref="AH127" si="1007">+AH123-AG123</f>
        <v>9</v>
      </c>
      <c r="AI127" s="1550">
        <f t="shared" ref="AI127" si="1008">+AI123-AH123</f>
        <v>10</v>
      </c>
      <c r="AJ127" s="1550">
        <f t="shared" ref="AJ127" si="1009">+AJ123-AI123</f>
        <v>20</v>
      </c>
      <c r="AK127" s="1551">
        <f t="shared" ref="AK127" si="1010">+AK123-AJ123</f>
        <v>20</v>
      </c>
      <c r="AL127" s="1550">
        <f t="shared" ref="AL127" si="1011">+AL123-AK123</f>
        <v>3</v>
      </c>
      <c r="AM127" s="1550">
        <f t="shared" ref="AM127" si="1012">+AM123-AL123</f>
        <v>36</v>
      </c>
      <c r="AN127" s="1550">
        <f t="shared" ref="AN127" si="1013">+AN123-AM123</f>
        <v>17</v>
      </c>
      <c r="AO127" s="1551">
        <f t="shared" ref="AO127:AQ127" si="1014">+AO123-AN123</f>
        <v>15</v>
      </c>
      <c r="AP127" s="1550">
        <f t="shared" si="1014"/>
        <v>-1</v>
      </c>
      <c r="AQ127" s="1550">
        <f t="shared" si="1014"/>
        <v>51</v>
      </c>
      <c r="AR127" s="1575">
        <v>15</v>
      </c>
      <c r="AS127" s="1685">
        <v>15</v>
      </c>
      <c r="AT127" s="1575">
        <v>10</v>
      </c>
      <c r="AU127" s="1575">
        <v>45</v>
      </c>
      <c r="AV127" s="1575">
        <v>20</v>
      </c>
      <c r="AW127" s="1685">
        <v>20</v>
      </c>
      <c r="AX127" s="1575">
        <f>+AT127+5</f>
        <v>15</v>
      </c>
      <c r="AY127" s="1575">
        <f t="shared" ref="AY127" si="1015">+AU127+5</f>
        <v>50</v>
      </c>
      <c r="AZ127" s="1575">
        <f t="shared" ref="AZ127" si="1016">+AV127+5</f>
        <v>25</v>
      </c>
      <c r="BA127" s="1685">
        <f t="shared" ref="BA127" si="1017">+AW127+5</f>
        <v>25</v>
      </c>
      <c r="BB127" s="401"/>
      <c r="BC127" s="1674"/>
      <c r="BD127" s="1674"/>
      <c r="BE127" s="1674"/>
      <c r="BF127" s="1674"/>
      <c r="BG127" s="1674"/>
      <c r="BH127" s="1674"/>
      <c r="BI127" s="1674"/>
      <c r="BJ127" s="1546"/>
      <c r="BK127" s="1674"/>
      <c r="BL127" s="1674"/>
      <c r="BM127" s="1674"/>
      <c r="BN127" s="1674"/>
      <c r="BO127" s="1674"/>
      <c r="BP127" s="1674"/>
      <c r="BR127" s="1483"/>
      <c r="BS127" s="1483"/>
      <c r="BT127" s="1483"/>
      <c r="BU127" s="1675"/>
    </row>
    <row r="128" spans="1:73" s="304" customFormat="1" ht="12" hidden="1" outlineLevel="1">
      <c r="A128" s="1694"/>
      <c r="B128" s="836"/>
      <c r="C128" s="837"/>
      <c r="D128" s="837"/>
      <c r="E128" s="838"/>
      <c r="F128" s="837"/>
      <c r="G128" s="837"/>
      <c r="H128" s="837"/>
      <c r="I128" s="838"/>
      <c r="J128" s="837"/>
      <c r="K128" s="837"/>
      <c r="L128" s="837"/>
      <c r="M128" s="838"/>
      <c r="N128" s="836"/>
      <c r="O128" s="836"/>
      <c r="P128" s="836"/>
      <c r="Q128" s="1041"/>
      <c r="R128" s="1549"/>
      <c r="S128" s="1550"/>
      <c r="T128" s="1550"/>
      <c r="U128" s="1551"/>
      <c r="V128" s="1550"/>
      <c r="W128" s="1550"/>
      <c r="X128" s="1550"/>
      <c r="Y128" s="1551"/>
      <c r="Z128" s="1550"/>
      <c r="AA128" s="1550"/>
      <c r="AB128" s="1550"/>
      <c r="AC128" s="1551"/>
      <c r="AD128" s="1550"/>
      <c r="AE128" s="1550"/>
      <c r="AF128" s="1550"/>
      <c r="AG128" s="1551"/>
      <c r="AH128" s="1550"/>
      <c r="AI128" s="1550"/>
      <c r="AJ128" s="1550"/>
      <c r="AK128" s="1551"/>
      <c r="AL128" s="1550"/>
      <c r="AM128" s="1550"/>
      <c r="AN128" s="1575"/>
      <c r="AO128" s="401"/>
      <c r="AP128" s="1550"/>
      <c r="AQ128" s="1550"/>
      <c r="AR128" s="398"/>
      <c r="AS128" s="401"/>
      <c r="AT128" s="398"/>
      <c r="AU128" s="398"/>
      <c r="AV128" s="398"/>
      <c r="AW128" s="401"/>
      <c r="AX128" s="398"/>
      <c r="AY128" s="398"/>
      <c r="AZ128" s="398"/>
      <c r="BA128" s="401"/>
      <c r="BB128" s="401"/>
      <c r="BC128" s="1674"/>
      <c r="BD128" s="1674"/>
      <c r="BE128" s="1674"/>
      <c r="BF128" s="1674"/>
      <c r="BG128" s="1674"/>
      <c r="BH128" s="1674"/>
      <c r="BI128" s="1674"/>
      <c r="BJ128" s="1546"/>
      <c r="BK128" s="1674"/>
      <c r="BL128" s="1674"/>
      <c r="BM128" s="1674"/>
      <c r="BN128" s="1674"/>
      <c r="BO128" s="1674"/>
      <c r="BP128" s="1674"/>
      <c r="BR128" s="1483"/>
      <c r="BS128" s="1483"/>
      <c r="BT128" s="1483"/>
      <c r="BU128" s="1675"/>
    </row>
    <row r="129" spans="1:73" s="304" customFormat="1" ht="12" hidden="1" outlineLevel="1">
      <c r="A129" s="1699" t="s">
        <v>92</v>
      </c>
      <c r="B129" s="1110"/>
      <c r="C129" s="837"/>
      <c r="D129" s="837"/>
      <c r="E129" s="838"/>
      <c r="F129" s="837"/>
      <c r="G129" s="837"/>
      <c r="H129" s="837"/>
      <c r="I129" s="838"/>
      <c r="J129" s="837"/>
      <c r="K129" s="837"/>
      <c r="L129" s="837"/>
      <c r="M129" s="838"/>
      <c r="N129" s="1110"/>
      <c r="O129" s="1110"/>
      <c r="P129" s="1110"/>
      <c r="Q129" s="1111"/>
      <c r="R129" s="1110"/>
      <c r="S129" s="1569"/>
      <c r="T129" s="1569"/>
      <c r="U129" s="1570"/>
      <c r="V129" s="1569"/>
      <c r="W129" s="1569"/>
      <c r="X129" s="1569"/>
      <c r="Y129" s="1570"/>
      <c r="Z129" s="1569"/>
      <c r="AA129" s="1571">
        <f t="shared" ref="AA129:AO129" si="1018">+AA382-AA107-AA123-AA115</f>
        <v>334</v>
      </c>
      <c r="AB129" s="1572">
        <f t="shared" si="1018"/>
        <v>357</v>
      </c>
      <c r="AC129" s="1573">
        <f t="shared" si="1018"/>
        <v>392</v>
      </c>
      <c r="AD129" s="1572">
        <f t="shared" si="1018"/>
        <v>44</v>
      </c>
      <c r="AE129" s="1572">
        <f t="shared" si="1018"/>
        <v>15</v>
      </c>
      <c r="AF129" s="1572">
        <f t="shared" si="1018"/>
        <v>31</v>
      </c>
      <c r="AG129" s="1573">
        <f t="shared" si="1018"/>
        <v>44</v>
      </c>
      <c r="AH129" s="1572">
        <f t="shared" si="1018"/>
        <v>40</v>
      </c>
      <c r="AI129" s="1572">
        <f t="shared" si="1018"/>
        <v>47</v>
      </c>
      <c r="AJ129" s="1572">
        <f t="shared" si="1018"/>
        <v>34</v>
      </c>
      <c r="AK129" s="1573">
        <f t="shared" si="1018"/>
        <v>27</v>
      </c>
      <c r="AL129" s="1572">
        <f t="shared" si="1018"/>
        <v>37</v>
      </c>
      <c r="AM129" s="1572">
        <f t="shared" si="1018"/>
        <v>45</v>
      </c>
      <c r="AN129" s="1572">
        <f t="shared" si="1018"/>
        <v>32</v>
      </c>
      <c r="AO129" s="1573">
        <f t="shared" si="1018"/>
        <v>25</v>
      </c>
      <c r="AP129" s="1572">
        <f t="shared" ref="AP129:AQ129" si="1019">+AP382-AP107-AP123-AP115</f>
        <v>32</v>
      </c>
      <c r="AQ129" s="1572">
        <f t="shared" si="1019"/>
        <v>38</v>
      </c>
      <c r="AR129" s="1680">
        <v>30</v>
      </c>
      <c r="AS129" s="1681">
        <v>25</v>
      </c>
      <c r="AT129" s="1680">
        <v>40</v>
      </c>
      <c r="AU129" s="1680">
        <v>40</v>
      </c>
      <c r="AV129" s="1680">
        <v>40</v>
      </c>
      <c r="AW129" s="1681">
        <v>40</v>
      </c>
      <c r="AX129" s="1680">
        <v>40</v>
      </c>
      <c r="AY129" s="1680">
        <v>40</v>
      </c>
      <c r="AZ129" s="1680">
        <v>40</v>
      </c>
      <c r="BA129" s="1681">
        <v>40</v>
      </c>
      <c r="BB129" s="1013"/>
      <c r="BC129" s="1670"/>
      <c r="BD129" s="1670"/>
      <c r="BE129" s="1670"/>
      <c r="BF129" s="1670"/>
      <c r="BG129" s="1670"/>
      <c r="BH129" s="1670"/>
      <c r="BI129" s="1670"/>
      <c r="BJ129" s="1671">
        <f>SUM(AA129:AC129)</f>
        <v>1083</v>
      </c>
      <c r="BK129" s="1670">
        <f>SUM(AD129:AG129)</f>
        <v>134</v>
      </c>
      <c r="BL129" s="1670">
        <f>+BL382-BL107-BL123-BL115</f>
        <v>148</v>
      </c>
      <c r="BM129" s="1670">
        <f>SUM(AL129:AO129)</f>
        <v>139</v>
      </c>
      <c r="BN129" s="1670">
        <f>SUM(AP129:AS129)</f>
        <v>125</v>
      </c>
      <c r="BO129" s="1670">
        <f>SUM(AT129:AW129)</f>
        <v>160</v>
      </c>
      <c r="BP129" s="1670">
        <f>SUM(AX129:BA129)</f>
        <v>160</v>
      </c>
      <c r="BR129" s="1483"/>
      <c r="BS129" s="1483"/>
      <c r="BT129" s="1483"/>
      <c r="BU129" s="1672"/>
    </row>
    <row r="130" spans="1:73" s="304" customFormat="1" ht="12" hidden="1" outlineLevel="1">
      <c r="A130" s="1700" t="s">
        <v>507</v>
      </c>
      <c r="B130" s="836"/>
      <c r="C130" s="837"/>
      <c r="D130" s="837"/>
      <c r="E130" s="838"/>
      <c r="F130" s="837"/>
      <c r="G130" s="837"/>
      <c r="H130" s="837"/>
      <c r="I130" s="838"/>
      <c r="J130" s="837"/>
      <c r="K130" s="837"/>
      <c r="L130" s="837"/>
      <c r="M130" s="838"/>
      <c r="N130" s="836"/>
      <c r="O130" s="836"/>
      <c r="P130" s="836"/>
      <c r="Q130" s="1041"/>
      <c r="R130" s="836"/>
      <c r="S130" s="1294"/>
      <c r="T130" s="1294"/>
      <c r="U130" s="1557"/>
      <c r="V130" s="1294"/>
      <c r="W130" s="1294"/>
      <c r="X130" s="1294"/>
      <c r="Y130" s="1557"/>
      <c r="Z130" s="1294"/>
      <c r="AA130" s="1294"/>
      <c r="AB130" s="1294"/>
      <c r="AC130" s="1557"/>
      <c r="AD130" s="1294"/>
      <c r="AE130" s="1294"/>
      <c r="AF130" s="1294"/>
      <c r="AG130" s="1557"/>
      <c r="AH130" s="1294">
        <f t="shared" ref="AH130" si="1020">+AH131/AD129</f>
        <v>-9.0909090909090912E-2</v>
      </c>
      <c r="AI130" s="1294">
        <f t="shared" ref="AI130" si="1021">+AI131/AE129</f>
        <v>2.1333333333333333</v>
      </c>
      <c r="AJ130" s="1294">
        <f t="shared" ref="AJ130" si="1022">+AJ131/AF129</f>
        <v>9.6774193548387094E-2</v>
      </c>
      <c r="AK130" s="1557">
        <f t="shared" ref="AK130" si="1023">+AK131/AG129</f>
        <v>-0.38636363636363635</v>
      </c>
      <c r="AL130" s="1294">
        <f t="shared" ref="AL130" si="1024">+AL131/AH129</f>
        <v>-7.4999999999999997E-2</v>
      </c>
      <c r="AM130" s="1294">
        <f t="shared" ref="AM130" si="1025">+AM131/AI129</f>
        <v>-4.2553191489361701E-2</v>
      </c>
      <c r="AN130" s="1294">
        <f>+AN131/AJ129</f>
        <v>-5.8823529411764705E-2</v>
      </c>
      <c r="AO130" s="1557">
        <f t="shared" ref="AO130:AQ130" si="1026">+AO131/AK129</f>
        <v>-7.407407407407407E-2</v>
      </c>
      <c r="AP130" s="1294">
        <f t="shared" si="1026"/>
        <v>-0.13513513513513514</v>
      </c>
      <c r="AQ130" s="1294">
        <f t="shared" si="1026"/>
        <v>-0.15555555555555556</v>
      </c>
      <c r="AR130" s="1294">
        <f>+AR131/AN129</f>
        <v>-6.25E-2</v>
      </c>
      <c r="AS130" s="1557">
        <f>+AS131/AO129</f>
        <v>0</v>
      </c>
      <c r="AT130" s="1294">
        <f t="shared" ref="AT130" si="1027">+AT131/AP129</f>
        <v>0.25</v>
      </c>
      <c r="AU130" s="1294">
        <f t="shared" ref="AU130" si="1028">+AU131/AQ129</f>
        <v>5.2631578947368418E-2</v>
      </c>
      <c r="AV130" s="1294">
        <f>+AV131/AR129</f>
        <v>0.33333333333333331</v>
      </c>
      <c r="AW130" s="1557">
        <f>+AW131/AS129</f>
        <v>0.6</v>
      </c>
      <c r="AX130" s="1294">
        <f t="shared" ref="AX130" si="1029">+AX131/AT129</f>
        <v>0</v>
      </c>
      <c r="AY130" s="1294">
        <f t="shared" ref="AY130" si="1030">+AY131/AU129</f>
        <v>0</v>
      </c>
      <c r="AZ130" s="1294">
        <f>+AZ131/AV129</f>
        <v>0</v>
      </c>
      <c r="BA130" s="1557">
        <f>+BA131/AW129</f>
        <v>0</v>
      </c>
      <c r="BB130" s="398"/>
      <c r="BC130" s="1674"/>
      <c r="BD130" s="1674"/>
      <c r="BE130" s="1674"/>
      <c r="BF130" s="1674"/>
      <c r="BG130" s="1674"/>
      <c r="BH130" s="1674"/>
      <c r="BI130" s="1674"/>
      <c r="BJ130" s="1546"/>
      <c r="BK130" s="1674"/>
      <c r="BL130" s="1659">
        <f>BL129/BK129-1</f>
        <v>0.10447761194029859</v>
      </c>
      <c r="BM130" s="1659">
        <f>BM129/BL129-1</f>
        <v>-6.0810810810810856E-2</v>
      </c>
      <c r="BN130" s="1659">
        <f t="shared" ref="BN130:BP130" si="1031">BN129/BM129-1</f>
        <v>-0.10071942446043169</v>
      </c>
      <c r="BO130" s="1659">
        <f t="shared" si="1031"/>
        <v>0.28000000000000003</v>
      </c>
      <c r="BP130" s="1659">
        <f t="shared" si="1031"/>
        <v>0</v>
      </c>
      <c r="BR130" s="1483"/>
      <c r="BS130" s="1483"/>
      <c r="BT130" s="1483"/>
      <c r="BU130" s="1675"/>
    </row>
    <row r="131" spans="1:73" s="304" customFormat="1" ht="12" hidden="1" outlineLevel="1">
      <c r="A131" s="1700" t="s">
        <v>508</v>
      </c>
      <c r="B131" s="836"/>
      <c r="C131" s="837"/>
      <c r="D131" s="837"/>
      <c r="E131" s="838"/>
      <c r="F131" s="837"/>
      <c r="G131" s="837"/>
      <c r="H131" s="837"/>
      <c r="I131" s="838"/>
      <c r="J131" s="837"/>
      <c r="K131" s="837"/>
      <c r="L131" s="837"/>
      <c r="M131" s="838"/>
      <c r="N131" s="836"/>
      <c r="O131" s="836"/>
      <c r="P131" s="836"/>
      <c r="Q131" s="1041"/>
      <c r="R131" s="836"/>
      <c r="S131" s="1294"/>
      <c r="T131" s="1294"/>
      <c r="U131" s="1557"/>
      <c r="V131" s="1294"/>
      <c r="W131" s="1294"/>
      <c r="X131" s="1294"/>
      <c r="Y131" s="1557"/>
      <c r="Z131" s="1294"/>
      <c r="AA131" s="1563"/>
      <c r="AB131" s="1550"/>
      <c r="AC131" s="1551"/>
      <c r="AD131" s="1550"/>
      <c r="AE131" s="1550"/>
      <c r="AF131" s="1550"/>
      <c r="AG131" s="1551"/>
      <c r="AH131" s="1550">
        <f t="shared" ref="AH131:AO131" si="1032">+AH384-AH109-AH125-AH117</f>
        <v>-4</v>
      </c>
      <c r="AI131" s="1550">
        <f t="shared" si="1032"/>
        <v>32</v>
      </c>
      <c r="AJ131" s="1550">
        <f t="shared" si="1032"/>
        <v>3</v>
      </c>
      <c r="AK131" s="1574">
        <f t="shared" si="1032"/>
        <v>-17</v>
      </c>
      <c r="AL131" s="1550">
        <f t="shared" si="1032"/>
        <v>-3</v>
      </c>
      <c r="AM131" s="1550">
        <f t="shared" si="1032"/>
        <v>-2</v>
      </c>
      <c r="AN131" s="1550">
        <f t="shared" si="1032"/>
        <v>-2</v>
      </c>
      <c r="AO131" s="1574">
        <f t="shared" si="1032"/>
        <v>-2</v>
      </c>
      <c r="AP131" s="1550">
        <f t="shared" ref="AP131:AQ131" si="1033">+AP384-AP109-AP125-AP117</f>
        <v>-5</v>
      </c>
      <c r="AQ131" s="1550">
        <f t="shared" si="1033"/>
        <v>-7</v>
      </c>
      <c r="AR131" s="1550">
        <f t="shared" ref="AR131:AW131" si="1034">AR129-AN129</f>
        <v>-2</v>
      </c>
      <c r="AS131" s="1574">
        <f t="shared" si="1034"/>
        <v>0</v>
      </c>
      <c r="AT131" s="1550">
        <f t="shared" si="1034"/>
        <v>8</v>
      </c>
      <c r="AU131" s="1550">
        <f t="shared" si="1034"/>
        <v>2</v>
      </c>
      <c r="AV131" s="1550">
        <f t="shared" si="1034"/>
        <v>10</v>
      </c>
      <c r="AW131" s="1574">
        <f t="shared" si="1034"/>
        <v>15</v>
      </c>
      <c r="AX131" s="1550">
        <f t="shared" ref="AX131" si="1035">AX129-AT129</f>
        <v>0</v>
      </c>
      <c r="AY131" s="1550">
        <f t="shared" ref="AY131" si="1036">AY129-AU129</f>
        <v>0</v>
      </c>
      <c r="AZ131" s="1550">
        <f t="shared" ref="AZ131" si="1037">AZ129-AV129</f>
        <v>0</v>
      </c>
      <c r="BA131" s="1574">
        <f t="shared" ref="BA131" si="1038">BA129-AW129</f>
        <v>0</v>
      </c>
      <c r="BB131" s="398"/>
      <c r="BC131" s="1670"/>
      <c r="BD131" s="1676"/>
      <c r="BE131" s="1676"/>
      <c r="BF131" s="1676"/>
      <c r="BG131" s="1676"/>
      <c r="BH131" s="1676"/>
      <c r="BI131" s="1676"/>
      <c r="BJ131" s="1546"/>
      <c r="BK131" s="1674"/>
      <c r="BL131" s="1683">
        <f>SUM(AH131:AK131)</f>
        <v>14</v>
      </c>
      <c r="BM131" s="1689">
        <f>SUM(AL131:AO131)</f>
        <v>-9</v>
      </c>
      <c r="BN131" s="1674"/>
      <c r="BO131" s="1674"/>
      <c r="BP131" s="1674"/>
      <c r="BR131" s="1483"/>
      <c r="BS131" s="1483"/>
      <c r="BT131" s="1483"/>
      <c r="BU131" s="1675"/>
    </row>
    <row r="132" spans="1:73" s="304" customFormat="1" ht="12" hidden="1" outlineLevel="1">
      <c r="A132" s="1700" t="s">
        <v>509</v>
      </c>
      <c r="B132" s="836"/>
      <c r="C132" s="1003"/>
      <c r="D132" s="1003"/>
      <c r="E132" s="1004"/>
      <c r="F132" s="1673"/>
      <c r="G132" s="1673"/>
      <c r="H132" s="1673"/>
      <c r="I132" s="1543"/>
      <c r="J132" s="1673"/>
      <c r="K132" s="1673"/>
      <c r="L132" s="1673"/>
      <c r="M132" s="1543"/>
      <c r="N132" s="836"/>
      <c r="O132" s="1552"/>
      <c r="P132" s="1552"/>
      <c r="Q132" s="1553"/>
      <c r="R132" s="1552"/>
      <c r="S132" s="1552"/>
      <c r="T132" s="1552"/>
      <c r="U132" s="1553"/>
      <c r="V132" s="1552"/>
      <c r="W132" s="1552"/>
      <c r="X132" s="1552"/>
      <c r="Y132" s="1553"/>
      <c r="Z132" s="1552"/>
      <c r="AA132" s="1552"/>
      <c r="AB132" s="1552"/>
      <c r="AC132" s="1553"/>
      <c r="AD132" s="1552">
        <f t="shared" ref="AD132" si="1039">+(AD129/AC129)-1</f>
        <v>-0.88775510204081631</v>
      </c>
      <c r="AE132" s="1552">
        <f t="shared" ref="AE132" si="1040">+(AE129/AD129)-1</f>
        <v>-0.65909090909090917</v>
      </c>
      <c r="AF132" s="1552">
        <f t="shared" ref="AF132" si="1041">+(AF129/AE129)-1</f>
        <v>1.0666666666666669</v>
      </c>
      <c r="AG132" s="1553">
        <f t="shared" ref="AG132" si="1042">+(AG129/AF129)-1</f>
        <v>0.41935483870967749</v>
      </c>
      <c r="AH132" s="1552">
        <f t="shared" ref="AH132" si="1043">+(AH129/AG129)-1</f>
        <v>-9.0909090909090939E-2</v>
      </c>
      <c r="AI132" s="1552">
        <f t="shared" ref="AI132" si="1044">+(AI129/AH129)-1</f>
        <v>0.17500000000000004</v>
      </c>
      <c r="AJ132" s="1552">
        <f t="shared" ref="AJ132" si="1045">+(AJ129/AI129)-1</f>
        <v>-0.27659574468085102</v>
      </c>
      <c r="AK132" s="1553">
        <f t="shared" ref="AK132" si="1046">+(AK129/AJ129)-1</f>
        <v>-0.20588235294117652</v>
      </c>
      <c r="AL132" s="1552">
        <f t="shared" ref="AL132" si="1047">+(AL129/AK129)-1</f>
        <v>0.37037037037037046</v>
      </c>
      <c r="AM132" s="1552">
        <f t="shared" ref="AM132" si="1048">+(AM129/AL129)-1</f>
        <v>0.21621621621621623</v>
      </c>
      <c r="AN132" s="1552">
        <f t="shared" ref="AN132:AQ132" si="1049">+(AN129/AM129)-1</f>
        <v>-0.28888888888888886</v>
      </c>
      <c r="AO132" s="1553">
        <f t="shared" si="1049"/>
        <v>-0.21875</v>
      </c>
      <c r="AP132" s="1552">
        <f t="shared" si="1049"/>
        <v>0.28000000000000003</v>
      </c>
      <c r="AQ132" s="1552">
        <f t="shared" si="1049"/>
        <v>0.1875</v>
      </c>
      <c r="AR132" s="1552">
        <f t="shared" ref="AR132" si="1050">+(AR129/AQ129)-1</f>
        <v>-0.21052631578947367</v>
      </c>
      <c r="AS132" s="1553">
        <f t="shared" ref="AS132" si="1051">+(AS129/AR129)-1</f>
        <v>-0.16666666666666663</v>
      </c>
      <c r="AT132" s="1552">
        <f t="shared" ref="AT132" si="1052">+(AT129/AS129)-1</f>
        <v>0.60000000000000009</v>
      </c>
      <c r="AU132" s="1552">
        <f t="shared" ref="AU132" si="1053">+(AU129/AT129)-1</f>
        <v>0</v>
      </c>
      <c r="AV132" s="1552">
        <f t="shared" ref="AV132" si="1054">+(AV129/AU129)-1</f>
        <v>0</v>
      </c>
      <c r="AW132" s="1553">
        <f t="shared" ref="AW132" si="1055">+(AW129/AV129)-1</f>
        <v>0</v>
      </c>
      <c r="AX132" s="1552">
        <f t="shared" ref="AX132" si="1056">+(AX129/AW129)-1</f>
        <v>0</v>
      </c>
      <c r="AY132" s="1552">
        <f t="shared" ref="AY132" si="1057">+(AY129/AX129)-1</f>
        <v>0</v>
      </c>
      <c r="AZ132" s="1552">
        <f t="shared" ref="AZ132" si="1058">+(AZ129/AY129)-1</f>
        <v>0</v>
      </c>
      <c r="BA132" s="1553">
        <f t="shared" ref="BA132" si="1059">+(BA129/AZ129)-1</f>
        <v>0</v>
      </c>
      <c r="BB132" s="398"/>
      <c r="BC132" s="1674"/>
      <c r="BD132" s="1674"/>
      <c r="BE132" s="1674"/>
      <c r="BF132" s="1674"/>
      <c r="BG132" s="1674"/>
      <c r="BH132" s="1674"/>
      <c r="BI132" s="1674"/>
      <c r="BJ132" s="1546"/>
      <c r="BK132" s="1674"/>
      <c r="BL132" s="1674"/>
      <c r="BM132" s="1674"/>
      <c r="BN132" s="1674"/>
      <c r="BO132" s="1674"/>
      <c r="BP132" s="1674"/>
      <c r="BR132" s="1483"/>
      <c r="BS132" s="1483"/>
      <c r="BT132" s="1483"/>
      <c r="BU132" s="1675"/>
    </row>
    <row r="133" spans="1:73" s="304" customFormat="1" ht="12" hidden="1" outlineLevel="1">
      <c r="A133" s="1700" t="s">
        <v>510</v>
      </c>
      <c r="B133" s="836"/>
      <c r="C133" s="837"/>
      <c r="D133" s="837"/>
      <c r="E133" s="838"/>
      <c r="F133" s="837"/>
      <c r="G133" s="837"/>
      <c r="H133" s="837"/>
      <c r="I133" s="838"/>
      <c r="J133" s="837"/>
      <c r="K133" s="837"/>
      <c r="L133" s="837"/>
      <c r="M133" s="838"/>
      <c r="N133" s="836"/>
      <c r="O133" s="1549"/>
      <c r="P133" s="1550"/>
      <c r="Q133" s="1551"/>
      <c r="R133" s="1550"/>
      <c r="S133" s="1550"/>
      <c r="T133" s="1550"/>
      <c r="U133" s="1551"/>
      <c r="V133" s="1550"/>
      <c r="W133" s="1550"/>
      <c r="X133" s="1550"/>
      <c r="Y133" s="1551"/>
      <c r="Z133" s="1550"/>
      <c r="AA133" s="1550"/>
      <c r="AB133" s="1550"/>
      <c r="AC133" s="1551"/>
      <c r="AD133" s="1550">
        <f t="shared" ref="AD133" si="1060">+AD129-AC129</f>
        <v>-348</v>
      </c>
      <c r="AE133" s="1550">
        <f t="shared" ref="AE133" si="1061">+AE129-AD129</f>
        <v>-29</v>
      </c>
      <c r="AF133" s="1550">
        <f t="shared" ref="AF133" si="1062">+AF129-AE129</f>
        <v>16</v>
      </c>
      <c r="AG133" s="1551">
        <f t="shared" ref="AG133" si="1063">+AG129-AF129</f>
        <v>13</v>
      </c>
      <c r="AH133" s="1550">
        <f t="shared" ref="AH133" si="1064">+AH129-AG129</f>
        <v>-4</v>
      </c>
      <c r="AI133" s="1550">
        <f t="shared" ref="AI133" si="1065">+AI129-AH129</f>
        <v>7</v>
      </c>
      <c r="AJ133" s="1550">
        <f t="shared" ref="AJ133" si="1066">+AJ129-AI129</f>
        <v>-13</v>
      </c>
      <c r="AK133" s="1551">
        <f t="shared" ref="AK133" si="1067">+AK129-AJ129</f>
        <v>-7</v>
      </c>
      <c r="AL133" s="1550">
        <f t="shared" ref="AL133" si="1068">+AL129-AK129</f>
        <v>10</v>
      </c>
      <c r="AM133" s="1550">
        <f t="shared" ref="AM133" si="1069">+AM129-AL129</f>
        <v>8</v>
      </c>
      <c r="AN133" s="1550">
        <f t="shared" ref="AN133:AQ133" si="1070">+AN129-AM129</f>
        <v>-13</v>
      </c>
      <c r="AO133" s="1551">
        <f t="shared" si="1070"/>
        <v>-7</v>
      </c>
      <c r="AP133" s="1550">
        <f t="shared" si="1070"/>
        <v>7</v>
      </c>
      <c r="AQ133" s="1550">
        <f t="shared" si="1070"/>
        <v>6</v>
      </c>
      <c r="AR133" s="1550">
        <f t="shared" ref="AR133" si="1071">+AR129-AQ129</f>
        <v>-8</v>
      </c>
      <c r="AS133" s="1551">
        <f t="shared" ref="AS133" si="1072">+AS129-AR129</f>
        <v>-5</v>
      </c>
      <c r="AT133" s="1550">
        <f t="shared" ref="AT133" si="1073">+AT129-AS129</f>
        <v>15</v>
      </c>
      <c r="AU133" s="1550">
        <f t="shared" ref="AU133" si="1074">+AU129-AT129</f>
        <v>0</v>
      </c>
      <c r="AV133" s="1550">
        <f t="shared" ref="AV133" si="1075">+AV129-AU129</f>
        <v>0</v>
      </c>
      <c r="AW133" s="1551">
        <f t="shared" ref="AW133" si="1076">+AW129-AV129</f>
        <v>0</v>
      </c>
      <c r="AX133" s="1550">
        <f t="shared" ref="AX133" si="1077">+AX129-AW129</f>
        <v>0</v>
      </c>
      <c r="AY133" s="1550">
        <f t="shared" ref="AY133" si="1078">+AY129-AX129</f>
        <v>0</v>
      </c>
      <c r="AZ133" s="1550">
        <f t="shared" ref="AZ133" si="1079">+AZ129-AY129</f>
        <v>0</v>
      </c>
      <c r="BA133" s="1551">
        <f t="shared" ref="BA133" si="1080">+BA129-AZ129</f>
        <v>0</v>
      </c>
      <c r="BB133" s="398"/>
      <c r="BC133" s="1674"/>
      <c r="BD133" s="1674"/>
      <c r="BE133" s="1674"/>
      <c r="BF133" s="1674"/>
      <c r="BG133" s="1674"/>
      <c r="BH133" s="1674"/>
      <c r="BI133" s="1674"/>
      <c r="BJ133" s="1546"/>
      <c r="BK133" s="1674"/>
      <c r="BL133" s="1674"/>
      <c r="BM133" s="1674"/>
      <c r="BN133" s="1674"/>
      <c r="BO133" s="1674"/>
      <c r="BP133" s="1674"/>
      <c r="BR133" s="1483"/>
      <c r="BS133" s="1483"/>
      <c r="BT133" s="1483"/>
      <c r="BU133" s="1675"/>
    </row>
    <row r="134" spans="1:73" s="304" customFormat="1" ht="12" collapsed="1">
      <c r="A134" s="1684"/>
      <c r="B134" s="836"/>
      <c r="C134" s="837"/>
      <c r="D134" s="837"/>
      <c r="E134" s="838"/>
      <c r="F134" s="837"/>
      <c r="G134" s="837"/>
      <c r="H134" s="837"/>
      <c r="I134" s="838"/>
      <c r="J134" s="837"/>
      <c r="K134" s="837"/>
      <c r="L134" s="837"/>
      <c r="M134" s="838"/>
      <c r="N134" s="836"/>
      <c r="O134" s="836"/>
      <c r="P134" s="836"/>
      <c r="Q134" s="1041"/>
      <c r="R134" s="836"/>
      <c r="S134" s="1294"/>
      <c r="T134" s="1294"/>
      <c r="U134" s="1557"/>
      <c r="V134" s="1294"/>
      <c r="W134" s="1294"/>
      <c r="X134" s="1294"/>
      <c r="Y134" s="1557"/>
      <c r="Z134" s="1294"/>
      <c r="AA134" s="1563"/>
      <c r="AB134" s="1550"/>
      <c r="AC134" s="1551"/>
      <c r="AD134" s="1550"/>
      <c r="AE134" s="1550"/>
      <c r="AF134" s="1550"/>
      <c r="AG134" s="1551"/>
      <c r="AH134" s="1550"/>
      <c r="AI134" s="1550"/>
      <c r="AJ134" s="1550"/>
      <c r="AK134" s="1574"/>
      <c r="AL134" s="1550"/>
      <c r="AM134" s="1550"/>
      <c r="AN134" s="1550"/>
      <c r="AO134" s="1574"/>
      <c r="AP134" s="1550"/>
      <c r="AQ134" s="1550"/>
      <c r="AR134" s="398"/>
      <c r="AS134" s="401"/>
      <c r="AT134" s="398"/>
      <c r="AU134" s="398"/>
      <c r="AV134" s="398"/>
      <c r="AW134" s="401"/>
      <c r="AX134" s="398"/>
      <c r="AY134" s="398"/>
      <c r="AZ134" s="398"/>
      <c r="BA134" s="401"/>
      <c r="BB134" s="1925"/>
      <c r="BC134" s="1670"/>
      <c r="BD134" s="1692"/>
      <c r="BE134" s="1692"/>
      <c r="BF134" s="1692"/>
      <c r="BG134" s="1692"/>
      <c r="BH134" s="1692"/>
      <c r="BI134" s="1692"/>
      <c r="BJ134" s="1546"/>
      <c r="BK134" s="1674"/>
      <c r="BL134" s="1693"/>
      <c r="BM134" s="1322"/>
      <c r="BN134" s="1119"/>
      <c r="BO134" s="1119"/>
      <c r="BP134" s="1119"/>
      <c r="BR134" s="1483"/>
      <c r="BS134" s="1483"/>
      <c r="BT134" s="1483"/>
      <c r="BU134" s="1675"/>
    </row>
    <row r="135" spans="1:73" s="492" customFormat="1" ht="12" customHeight="1">
      <c r="A135" s="1910" t="s">
        <v>683</v>
      </c>
      <c r="B135" s="1911">
        <f t="shared" ref="B135:AF135" si="1081">+SUM(B142,B148)</f>
        <v>378</v>
      </c>
      <c r="C135" s="1911">
        <f t="shared" si="1081"/>
        <v>392</v>
      </c>
      <c r="D135" s="1911">
        <f t="shared" si="1081"/>
        <v>386</v>
      </c>
      <c r="E135" s="1912">
        <f t="shared" si="1081"/>
        <v>408</v>
      </c>
      <c r="F135" s="1913">
        <f t="shared" si="1081"/>
        <v>535</v>
      </c>
      <c r="G135" s="1913">
        <f t="shared" si="1081"/>
        <v>395</v>
      </c>
      <c r="H135" s="1913">
        <f t="shared" si="1081"/>
        <v>387</v>
      </c>
      <c r="I135" s="1914">
        <f t="shared" si="1081"/>
        <v>399</v>
      </c>
      <c r="J135" s="1913">
        <f t="shared" si="1081"/>
        <v>557</v>
      </c>
      <c r="K135" s="1913">
        <f t="shared" si="1081"/>
        <v>428</v>
      </c>
      <c r="L135" s="1913">
        <f t="shared" si="1081"/>
        <v>429</v>
      </c>
      <c r="M135" s="1914">
        <f t="shared" si="1081"/>
        <v>441</v>
      </c>
      <c r="N135" s="1913">
        <f t="shared" si="1081"/>
        <v>537</v>
      </c>
      <c r="O135" s="1913">
        <f t="shared" si="1081"/>
        <v>439</v>
      </c>
      <c r="P135" s="1913">
        <f t="shared" si="1081"/>
        <v>448</v>
      </c>
      <c r="Q135" s="1914">
        <f t="shared" si="1081"/>
        <v>446</v>
      </c>
      <c r="R135" s="1913">
        <f t="shared" si="1081"/>
        <v>545</v>
      </c>
      <c r="S135" s="1913">
        <f t="shared" si="1081"/>
        <v>443</v>
      </c>
      <c r="T135" s="1913">
        <f t="shared" si="1081"/>
        <v>422</v>
      </c>
      <c r="U135" s="1914">
        <f t="shared" si="1081"/>
        <v>458</v>
      </c>
      <c r="V135" s="1915">
        <f t="shared" si="1081"/>
        <v>560</v>
      </c>
      <c r="W135" s="1915">
        <f t="shared" si="1081"/>
        <v>434</v>
      </c>
      <c r="X135" s="1915">
        <f t="shared" si="1081"/>
        <v>462</v>
      </c>
      <c r="Y135" s="1916">
        <f t="shared" si="1081"/>
        <v>482</v>
      </c>
      <c r="Z135" s="1917">
        <f t="shared" si="1081"/>
        <v>598</v>
      </c>
      <c r="AA135" s="1915">
        <f t="shared" si="1081"/>
        <v>460</v>
      </c>
      <c r="AB135" s="1915">
        <f t="shared" si="1081"/>
        <v>475</v>
      </c>
      <c r="AC135" s="1916">
        <f t="shared" si="1081"/>
        <v>489</v>
      </c>
      <c r="AD135" s="1918">
        <f t="shared" si="1081"/>
        <v>639</v>
      </c>
      <c r="AE135" s="1915">
        <f t="shared" si="1081"/>
        <v>506</v>
      </c>
      <c r="AF135" s="1915">
        <f t="shared" si="1081"/>
        <v>553</v>
      </c>
      <c r="AG135" s="1919">
        <v>581</v>
      </c>
      <c r="AH135" s="1918">
        <f>+AH142+AH148</f>
        <v>726</v>
      </c>
      <c r="AI135" s="1918">
        <f>AI142+AI148</f>
        <v>557</v>
      </c>
      <c r="AJ135" s="1918">
        <f>AJ142+AJ148</f>
        <v>633</v>
      </c>
      <c r="AK135" s="1919">
        <f>AK142+AK148</f>
        <v>725</v>
      </c>
      <c r="AL135" s="1918">
        <f>AL142+AL148</f>
        <v>601</v>
      </c>
      <c r="AM135" s="1918">
        <f>AM142+AM148</f>
        <v>633</v>
      </c>
      <c r="AN135" s="1918">
        <f>+AN142+AN148</f>
        <v>746</v>
      </c>
      <c r="AO135" s="1919">
        <f>AO142+AO148</f>
        <v>795</v>
      </c>
      <c r="AP135" s="1918">
        <f>AP142+AP148</f>
        <v>640</v>
      </c>
      <c r="AQ135" s="1918">
        <f>AQ142+AQ148</f>
        <v>697</v>
      </c>
      <c r="AR135" s="1918">
        <f t="shared" ref="AR135" si="1082">+AN135*(1+AR136)</f>
        <v>749.7299999999999</v>
      </c>
      <c r="AS135" s="1919">
        <f t="shared" ref="AS135" si="1083">+AO135*(1+AS136)</f>
        <v>796.98749999999995</v>
      </c>
      <c r="AT135" s="1918">
        <f t="shared" ref="AT135" si="1084">+AP135*(1+AT136)</f>
        <v>646.4</v>
      </c>
      <c r="AU135" s="1918">
        <f t="shared" ref="AU135" si="1085">+AQ135*(1+AU136)</f>
        <v>752.7600000000001</v>
      </c>
      <c r="AV135" s="1918">
        <f t="shared" ref="AV135" si="1086">+AR135*(1+AV136)</f>
        <v>787.21649999999988</v>
      </c>
      <c r="AW135" s="1919">
        <f t="shared" ref="AW135" si="1087">+AS135*(1+AW136)</f>
        <v>796.98749999999995</v>
      </c>
      <c r="AX135" s="1918">
        <f t="shared" ref="AX135" si="1088">+AT135*(1+AX136)</f>
        <v>659.32799999999997</v>
      </c>
      <c r="AY135" s="1918">
        <f t="shared" ref="AY135" si="1089">+AU135*(1+AY136)</f>
        <v>767.81520000000012</v>
      </c>
      <c r="AZ135" s="1918">
        <f t="shared" ref="AZ135" si="1090">+AV135*(1+AZ136)</f>
        <v>818.70515999999986</v>
      </c>
      <c r="BA135" s="1919">
        <f t="shared" ref="BA135" si="1091">+AW135*(1+BA136)</f>
        <v>836.83687499999996</v>
      </c>
      <c r="BB135" s="398"/>
      <c r="BC135" s="1924"/>
      <c r="BD135" s="1922">
        <f>SUM(B135:E135)</f>
        <v>1564</v>
      </c>
      <c r="BE135" s="1922">
        <f>SUM(F135:I135)</f>
        <v>1716</v>
      </c>
      <c r="BF135" s="1922">
        <f>SUM(J135:M135)</f>
        <v>1855</v>
      </c>
      <c r="BG135" s="1922">
        <f>SUM(N135:Q135)</f>
        <v>1870</v>
      </c>
      <c r="BH135" s="1922">
        <f>SUM(R135:U135)</f>
        <v>1868</v>
      </c>
      <c r="BI135" s="1922">
        <f>SUM(V135:Y135)</f>
        <v>1938</v>
      </c>
      <c r="BJ135" s="1922">
        <f>SUM(Z135:AC135)</f>
        <v>2022</v>
      </c>
      <c r="BK135" s="1922">
        <f>SUM(AD135:AG135)</f>
        <v>2279</v>
      </c>
      <c r="BL135" s="1922">
        <f>SUM(AH135:AK135)</f>
        <v>2641</v>
      </c>
      <c r="BM135" s="1922">
        <f>SUM(AL135:AO135)</f>
        <v>2775</v>
      </c>
      <c r="BN135" s="1923">
        <f>SUM(AP135:AS135)</f>
        <v>2883.7174999999997</v>
      </c>
      <c r="BO135" s="1923">
        <f>SUM(AT135:AW135)</f>
        <v>2983.3639999999996</v>
      </c>
      <c r="BP135" s="1923">
        <f>SUM(AX135:BA135)</f>
        <v>3082.6852349999999</v>
      </c>
      <c r="BR135" s="1429"/>
      <c r="BS135" s="1429"/>
      <c r="BT135" s="1429"/>
      <c r="BU135" s="1263"/>
    </row>
    <row r="136" spans="1:73" s="1014" customFormat="1" ht="12" customHeight="1">
      <c r="A136" s="1695" t="s">
        <v>181</v>
      </c>
      <c r="B136" s="999" t="str">
        <f t="shared" ref="B136:D136" si="1092">IF(ISERROR(B135/#REF!-1),"NA",B135/#REF!-1)</f>
        <v>NA</v>
      </c>
      <c r="C136" s="987" t="str">
        <f t="shared" si="1092"/>
        <v>NA</v>
      </c>
      <c r="D136" s="987" t="str">
        <f t="shared" si="1092"/>
        <v>NA</v>
      </c>
      <c r="E136" s="998" t="str">
        <f t="shared" ref="E136" si="1093">IF(ISERROR(E135/A135-1),"NA",E135/A135-1)</f>
        <v>NA</v>
      </c>
      <c r="F136" s="999">
        <f t="shared" ref="F136" si="1094">IF(ISERROR(F135/B135-1),"NA",F135/B135-1)</f>
        <v>0.41534391534391535</v>
      </c>
      <c r="G136" s="987">
        <f t="shared" ref="G136" si="1095">IF(ISERROR(G135/C135-1),"NA",G135/C135-1)</f>
        <v>7.6530612244898322E-3</v>
      </c>
      <c r="H136" s="987">
        <f t="shared" ref="H136" si="1096">IF(ISERROR(H135/D135-1),"NA",H135/D135-1)</f>
        <v>2.5906735751295429E-3</v>
      </c>
      <c r="I136" s="998">
        <f t="shared" ref="I136" si="1097">IF(ISERROR(I135/E135-1),"NA",I135/E135-1)</f>
        <v>-2.2058823529411797E-2</v>
      </c>
      <c r="J136" s="999">
        <f t="shared" ref="J136" si="1098">IF(ISERROR(J135/F135-1),"NA",J135/F135-1)</f>
        <v>4.1121495327102853E-2</v>
      </c>
      <c r="K136" s="987">
        <f t="shared" ref="K136" si="1099">IF(ISERROR(K135/G135-1),"NA",K135/G135-1)</f>
        <v>8.3544303797468356E-2</v>
      </c>
      <c r="L136" s="987">
        <f t="shared" ref="L136" si="1100">IF(ISERROR(L135/H135-1),"NA",L135/H135-1)</f>
        <v>0.10852713178294571</v>
      </c>
      <c r="M136" s="998">
        <f t="shared" ref="M136" si="1101">IF(ISERROR(M135/I135-1),"NA",M135/I135-1)</f>
        <v>0.10526315789473695</v>
      </c>
      <c r="N136" s="999">
        <f t="shared" ref="N136" si="1102">IF(ISERROR(N135/J135-1),"NA",N135/J135-1)</f>
        <v>-3.590664272890487E-2</v>
      </c>
      <c r="O136" s="987">
        <f t="shared" ref="O136" si="1103">IF(ISERROR(O135/K135-1),"NA",O135/K135-1)</f>
        <v>2.5700934579439227E-2</v>
      </c>
      <c r="P136" s="987">
        <f t="shared" ref="P136" si="1104">IF(ISERROR(P135/L135-1),"NA",P135/L135-1)</f>
        <v>4.4289044289044233E-2</v>
      </c>
      <c r="Q136" s="998">
        <f t="shared" ref="Q136" si="1105">IF(ISERROR(Q135/M135-1),"NA",Q135/M135-1)</f>
        <v>1.133786848072571E-2</v>
      </c>
      <c r="R136" s="984">
        <f t="shared" ref="R136" si="1106">IF(ISERROR(R135/N135-1),"NA",R135/N135-1)</f>
        <v>1.4897579143389184E-2</v>
      </c>
      <c r="S136" s="984">
        <f t="shared" ref="S136" si="1107">IF(ISERROR(S135/O135-1),"NA",S135/O135-1)</f>
        <v>9.1116173120728838E-3</v>
      </c>
      <c r="T136" s="984">
        <f t="shared" ref="T136" si="1108">IF(ISERROR(T135/P135-1),"NA",T135/P135-1)</f>
        <v>-5.8035714285714302E-2</v>
      </c>
      <c r="U136" s="985">
        <f t="shared" ref="U136" si="1109">IF(ISERROR(U135/Q135-1),"NA",U135/Q135-1)</f>
        <v>2.6905829596412634E-2</v>
      </c>
      <c r="V136" s="984">
        <f t="shared" ref="V136:AQ136" si="1110">IF(ISERROR(V135/R135-1),"NA",V135/R135-1)</f>
        <v>2.7522935779816571E-2</v>
      </c>
      <c r="W136" s="984">
        <f t="shared" si="1110"/>
        <v>-2.0316027088036148E-2</v>
      </c>
      <c r="X136" s="984">
        <f t="shared" si="1110"/>
        <v>9.4786729857819996E-2</v>
      </c>
      <c r="Y136" s="985">
        <f t="shared" si="1110"/>
        <v>5.240174672489073E-2</v>
      </c>
      <c r="Z136" s="1270">
        <f t="shared" si="1110"/>
        <v>6.7857142857142838E-2</v>
      </c>
      <c r="AA136" s="984">
        <f t="shared" si="1110"/>
        <v>5.9907834101382562E-2</v>
      </c>
      <c r="AB136" s="984">
        <f t="shared" si="1110"/>
        <v>2.813852813852824E-2</v>
      </c>
      <c r="AC136" s="985">
        <f t="shared" si="1110"/>
        <v>1.4522821576763434E-2</v>
      </c>
      <c r="AD136" s="1270">
        <f t="shared" si="1110"/>
        <v>6.8561872909699062E-2</v>
      </c>
      <c r="AE136" s="984">
        <f t="shared" si="1110"/>
        <v>0.10000000000000009</v>
      </c>
      <c r="AF136" s="984">
        <f t="shared" si="1110"/>
        <v>0.16421052631578958</v>
      </c>
      <c r="AG136" s="985">
        <f t="shared" si="1110"/>
        <v>0.18813905930470343</v>
      </c>
      <c r="AH136" s="1270">
        <f t="shared" si="1110"/>
        <v>0.136150234741784</v>
      </c>
      <c r="AI136" s="984">
        <f t="shared" si="1110"/>
        <v>0.10079051383399218</v>
      </c>
      <c r="AJ136" s="984">
        <f t="shared" si="1110"/>
        <v>0.1446654611211573</v>
      </c>
      <c r="AK136" s="985">
        <f t="shared" si="1110"/>
        <v>0.24784853700516352</v>
      </c>
      <c r="AL136" s="1015">
        <f t="shared" si="1110"/>
        <v>-0.17217630853994492</v>
      </c>
      <c r="AM136" s="1015">
        <f t="shared" si="1110"/>
        <v>0.13644524236983835</v>
      </c>
      <c r="AN136" s="984">
        <f t="shared" si="1110"/>
        <v>0.17851500789889418</v>
      </c>
      <c r="AO136" s="985">
        <f t="shared" si="1110"/>
        <v>9.6551724137931005E-2</v>
      </c>
      <c r="AP136" s="1015">
        <f t="shared" si="1110"/>
        <v>6.4891846921796947E-2</v>
      </c>
      <c r="AQ136" s="1015">
        <f t="shared" si="1110"/>
        <v>0.10110584518167465</v>
      </c>
      <c r="AR136" s="1069">
        <v>5.0000000000000001E-3</v>
      </c>
      <c r="AS136" s="1070">
        <v>2.5000000000000001E-3</v>
      </c>
      <c r="AT136" s="1069">
        <v>0.01</v>
      </c>
      <c r="AU136" s="1069">
        <v>0.08</v>
      </c>
      <c r="AV136" s="1069">
        <v>0.05</v>
      </c>
      <c r="AW136" s="1070">
        <v>0</v>
      </c>
      <c r="AX136" s="1069">
        <v>0.02</v>
      </c>
      <c r="AY136" s="1069">
        <v>0.02</v>
      </c>
      <c r="AZ136" s="1069">
        <v>0.04</v>
      </c>
      <c r="BA136" s="1070">
        <v>0.05</v>
      </c>
      <c r="BB136" s="398"/>
      <c r="BC136" s="846"/>
      <c r="BD136" s="842" t="str">
        <f t="shared" ref="BD136" si="1111">IF(ISERROR(BD135/BB135-1),"NA",BD135/BB135-1)</f>
        <v>NA</v>
      </c>
      <c r="BE136" s="842">
        <f t="shared" ref="BE136" si="1112">IF(ISERROR(BE135/BD135-1),"NA",BE135/BD135-1)</f>
        <v>9.7186700767263323E-2</v>
      </c>
      <c r="BF136" s="842">
        <f t="shared" ref="BF136" si="1113">IF(ISERROR(BF135/BE135-1),"NA",BF135/BE135-1)</f>
        <v>8.1002331002330896E-2</v>
      </c>
      <c r="BG136" s="842">
        <f t="shared" ref="BG136" si="1114">IF(ISERROR(BG135/BF135-1),"NA",BG135/BF135-1)</f>
        <v>8.0862533692722671E-3</v>
      </c>
      <c r="BH136" s="842">
        <f t="shared" ref="BH136" si="1115">IF(ISERROR(BH135/BG135-1),"NA",BH135/BG135-1)</f>
        <v>-1.0695187165775666E-3</v>
      </c>
      <c r="BI136" s="842">
        <f t="shared" ref="BI136" si="1116">IF(ISERROR(BI135/BH135-1),"NA",BI135/BH135-1)</f>
        <v>3.7473233404710982E-2</v>
      </c>
      <c r="BJ136" s="842">
        <f t="shared" ref="BJ136" si="1117">IF(ISERROR(BJ135/BI135-1),"NA",BJ135/BI135-1)</f>
        <v>4.334365325077405E-2</v>
      </c>
      <c r="BK136" s="842">
        <f t="shared" ref="BK136" si="1118">IF(ISERROR(BK135/BJ135-1),"NA",BK135/BJ135-1)</f>
        <v>0.12710187932739858</v>
      </c>
      <c r="BL136" s="842">
        <f t="shared" ref="BL136:BP136" si="1119">IF(ISERROR(BL135/BK135-1),"NA",BL135/BK135-1)</f>
        <v>0.15884159719175073</v>
      </c>
      <c r="BM136" s="842">
        <f t="shared" si="1119"/>
        <v>5.0738356683074581E-2</v>
      </c>
      <c r="BN136" s="1187">
        <f t="shared" si="1119"/>
        <v>3.9177477477477352E-2</v>
      </c>
      <c r="BO136" s="1187">
        <f t="shared" si="1119"/>
        <v>3.4554875781001471E-2</v>
      </c>
      <c r="BP136" s="1187">
        <f t="shared" si="1119"/>
        <v>3.3291691861938588E-2</v>
      </c>
      <c r="BR136" s="1425"/>
      <c r="BS136" s="1425"/>
      <c r="BT136" s="1425"/>
      <c r="BU136" s="1263"/>
    </row>
    <row r="137" spans="1:73" s="1014" customFormat="1" ht="12" customHeight="1">
      <c r="A137" s="1695" t="s">
        <v>291</v>
      </c>
      <c r="B137" s="999" t="str">
        <f t="shared" ref="B137" si="1120">IF(ISERROR(B135/A135-1),"NA",B135/A135-1)</f>
        <v>NA</v>
      </c>
      <c r="C137" s="987">
        <f t="shared" ref="C137" si="1121">IF(ISERROR(C135/B135-1),"NA",C135/B135-1)</f>
        <v>3.7037037037036979E-2</v>
      </c>
      <c r="D137" s="987">
        <f t="shared" ref="D137" si="1122">IF(ISERROR(D135/C135-1),"NA",D135/C135-1)</f>
        <v>-1.5306122448979553E-2</v>
      </c>
      <c r="E137" s="998">
        <f t="shared" ref="E137" si="1123">IF(ISERROR(E135/D135-1),"NA",E135/D135-1)</f>
        <v>5.6994818652849721E-2</v>
      </c>
      <c r="F137" s="999">
        <f t="shared" ref="F137" si="1124">IF(ISERROR(F135/E135-1),"NA",F135/E135-1)</f>
        <v>0.31127450980392157</v>
      </c>
      <c r="G137" s="987">
        <f t="shared" ref="G137" si="1125">IF(ISERROR(G135/F135-1),"NA",G135/F135-1)</f>
        <v>-0.26168224299065423</v>
      </c>
      <c r="H137" s="987">
        <f t="shared" ref="H137" si="1126">IF(ISERROR(H135/G135-1),"NA",H135/G135-1)</f>
        <v>-2.0253164556962022E-2</v>
      </c>
      <c r="I137" s="998">
        <f t="shared" ref="I137" si="1127">IF(ISERROR(I135/H135-1),"NA",I135/H135-1)</f>
        <v>3.1007751937984551E-2</v>
      </c>
      <c r="J137" s="999">
        <f t="shared" ref="J137" si="1128">IF(ISERROR(J135/I135-1),"NA",J135/I135-1)</f>
        <v>0.39598997493734345</v>
      </c>
      <c r="K137" s="987">
        <f t="shared" ref="K137" si="1129">IF(ISERROR(K135/J135-1),"NA",K135/J135-1)</f>
        <v>-0.23159784560143626</v>
      </c>
      <c r="L137" s="987">
        <f t="shared" ref="L137" si="1130">IF(ISERROR(L135/K135-1),"NA",L135/K135-1)</f>
        <v>2.3364485981307581E-3</v>
      </c>
      <c r="M137" s="998">
        <f t="shared" ref="M137" si="1131">IF(ISERROR(M135/L135-1),"NA",M135/L135-1)</f>
        <v>2.7972027972027913E-2</v>
      </c>
      <c r="N137" s="999">
        <f t="shared" ref="N137" si="1132">IF(ISERROR(N135/M135-1),"NA",N135/M135-1)</f>
        <v>0.21768707482993199</v>
      </c>
      <c r="O137" s="987">
        <f t="shared" ref="O137" si="1133">IF(ISERROR(O135/N135-1),"NA",O135/N135-1)</f>
        <v>-0.18249534450651772</v>
      </c>
      <c r="P137" s="987">
        <f t="shared" ref="P137" si="1134">IF(ISERROR(P135/O135-1),"NA",P135/O135-1)</f>
        <v>2.05011389521641E-2</v>
      </c>
      <c r="Q137" s="998">
        <f t="shared" ref="Q137" si="1135">IF(ISERROR(Q135/P135-1),"NA",Q135/P135-1)</f>
        <v>-4.4642857142856984E-3</v>
      </c>
      <c r="R137" s="984">
        <f t="shared" ref="R137" si="1136">IF(ISERROR(R135/Q135-1),"NA",R135/Q135-1)</f>
        <v>0.22197309417040367</v>
      </c>
      <c r="S137" s="984">
        <f t="shared" ref="S137" si="1137">IF(ISERROR(S135/R135-1),"NA",S135/R135-1)</f>
        <v>-0.1871559633027523</v>
      </c>
      <c r="T137" s="984">
        <f t="shared" ref="T137" si="1138">IF(ISERROR(T135/S135-1),"NA",T135/S135-1)</f>
        <v>-4.7404063205417568E-2</v>
      </c>
      <c r="U137" s="985">
        <f t="shared" ref="U137" si="1139">IF(ISERROR(U135/T135-1),"NA",U135/T135-1)</f>
        <v>8.5308056872037907E-2</v>
      </c>
      <c r="V137" s="984">
        <f t="shared" ref="V137:X137" si="1140">IF(ISERROR(V135/U135-1),"NA",V135/U135-1)</f>
        <v>0.22270742358078599</v>
      </c>
      <c r="W137" s="984">
        <f t="shared" si="1140"/>
        <v>-0.22499999999999998</v>
      </c>
      <c r="X137" s="984">
        <f t="shared" si="1140"/>
        <v>6.4516129032258007E-2</v>
      </c>
      <c r="Y137" s="985">
        <f t="shared" ref="Y137:AL137" si="1141">IF(ISERROR(Y135/X135-1),"NA",Y135/X135-1)</f>
        <v>4.3290043290043378E-2</v>
      </c>
      <c r="Z137" s="1270">
        <f t="shared" si="1141"/>
        <v>0.24066390041493779</v>
      </c>
      <c r="AA137" s="984">
        <f t="shared" si="1141"/>
        <v>-0.23076923076923073</v>
      </c>
      <c r="AB137" s="984">
        <f t="shared" si="1141"/>
        <v>3.2608695652173836E-2</v>
      </c>
      <c r="AC137" s="985">
        <f t="shared" si="1141"/>
        <v>2.9473684210526319E-2</v>
      </c>
      <c r="AD137" s="1270">
        <f t="shared" si="1141"/>
        <v>0.30674846625766872</v>
      </c>
      <c r="AE137" s="984">
        <f t="shared" si="1141"/>
        <v>-0.20813771517996871</v>
      </c>
      <c r="AF137" s="984">
        <f t="shared" si="1141"/>
        <v>9.2885375494071054E-2</v>
      </c>
      <c r="AG137" s="985">
        <f t="shared" si="1141"/>
        <v>5.0632911392405111E-2</v>
      </c>
      <c r="AH137" s="1270">
        <f t="shared" si="1141"/>
        <v>0.24956970740103279</v>
      </c>
      <c r="AI137" s="984">
        <f t="shared" si="1141"/>
        <v>-0.23278236914600547</v>
      </c>
      <c r="AJ137" s="984">
        <f t="shared" si="1141"/>
        <v>0.13644524236983835</v>
      </c>
      <c r="AK137" s="985">
        <f t="shared" si="1141"/>
        <v>0.14533965244865721</v>
      </c>
      <c r="AL137" s="984">
        <f t="shared" si="1141"/>
        <v>-0.17103448275862065</v>
      </c>
      <c r="AM137" s="984">
        <f t="shared" ref="AM137:AQ137" si="1142">IF(ISERROR(AM135/AL135-1),"NA",AM135/AL135-1)</f>
        <v>5.3244592346089803E-2</v>
      </c>
      <c r="AN137" s="984">
        <f t="shared" si="1142"/>
        <v>0.17851500789889418</v>
      </c>
      <c r="AO137" s="985">
        <f t="shared" si="1142"/>
        <v>6.5683646112600469E-2</v>
      </c>
      <c r="AP137" s="984">
        <f t="shared" si="1142"/>
        <v>-0.19496855345911945</v>
      </c>
      <c r="AQ137" s="984">
        <f t="shared" si="1142"/>
        <v>8.9062500000000044E-2</v>
      </c>
      <c r="AR137" s="984">
        <f t="shared" ref="AR137" si="1143">IF(ISERROR(AR135/AQ135-1),"NA",AR135/AQ135-1)</f>
        <v>7.5652797704447439E-2</v>
      </c>
      <c r="AS137" s="985">
        <f t="shared" ref="AS137" si="1144">IF(ISERROR(AS135/AR135-1),"NA",AS135/AR135-1)</f>
        <v>6.3032691769036919E-2</v>
      </c>
      <c r="AT137" s="984">
        <f t="shared" ref="AT137" si="1145">IF(ISERROR(AT135/AS135-1),"NA",AT135/AS135-1)</f>
        <v>-0.18894587430794085</v>
      </c>
      <c r="AU137" s="984">
        <f t="shared" ref="AU137" si="1146">IF(ISERROR(AU135/AT135-1),"NA",AU135/AT135-1)</f>
        <v>0.16454207920792108</v>
      </c>
      <c r="AV137" s="984">
        <f t="shared" ref="AV137" si="1147">IF(ISERROR(AV135/AU135-1),"NA",AV135/AU135-1)</f>
        <v>4.5773553323768201E-2</v>
      </c>
      <c r="AW137" s="985">
        <f t="shared" ref="AW137" si="1148">IF(ISERROR(AW135/AV135-1),"NA",AW135/AV135-1)</f>
        <v>1.2412087399082727E-2</v>
      </c>
      <c r="AX137" s="984">
        <f t="shared" ref="AX137" si="1149">IF(ISERROR(AX135/AW135-1),"NA",AX135/AW135-1)</f>
        <v>-0.17272479179409961</v>
      </c>
      <c r="AY137" s="984">
        <f t="shared" ref="AY137" si="1150">IF(ISERROR(AY135/AX135-1),"NA",AY135/AX135-1)</f>
        <v>0.16454207920792108</v>
      </c>
      <c r="AZ137" s="984">
        <f t="shared" ref="AZ137" si="1151">IF(ISERROR(AZ135/AY135-1),"NA",AZ135/AY135-1)</f>
        <v>6.6278917114430236E-2</v>
      </c>
      <c r="BA137" s="985">
        <f t="shared" ref="BA137" si="1152">IF(ISERROR(BA135/AZ135-1),"NA",BA135/AZ135-1)</f>
        <v>2.2146819008689311E-2</v>
      </c>
      <c r="BB137" s="398"/>
      <c r="BC137" s="846"/>
      <c r="BD137" s="989" t="s">
        <v>366</v>
      </c>
      <c r="BE137" s="989" t="s">
        <v>366</v>
      </c>
      <c r="BF137" s="989" t="s">
        <v>366</v>
      </c>
      <c r="BG137" s="841" t="s">
        <v>366</v>
      </c>
      <c r="BH137" s="841" t="s">
        <v>366</v>
      </c>
      <c r="BI137" s="989" t="s">
        <v>366</v>
      </c>
      <c r="BJ137" s="989" t="s">
        <v>366</v>
      </c>
      <c r="BK137" s="989" t="s">
        <v>366</v>
      </c>
      <c r="BL137" s="989" t="s">
        <v>366</v>
      </c>
      <c r="BM137" s="1046" t="s">
        <v>366</v>
      </c>
      <c r="BN137" s="1188" t="s">
        <v>366</v>
      </c>
      <c r="BO137" s="1188" t="s">
        <v>366</v>
      </c>
      <c r="BP137" s="1188" t="s">
        <v>366</v>
      </c>
      <c r="BR137" s="1425"/>
      <c r="BS137" s="1425"/>
      <c r="BT137" s="1425"/>
      <c r="BU137" s="1263"/>
    </row>
    <row r="138" spans="1:73" s="1014" customFormat="1" ht="12" customHeight="1">
      <c r="A138" s="1695" t="s">
        <v>153</v>
      </c>
      <c r="B138" s="1008">
        <f>+B135/B$6</f>
        <v>0.53015427769985979</v>
      </c>
      <c r="C138" s="1008">
        <f t="shared" ref="C138:E138" si="1153">+C135/C$6</f>
        <v>0.42470205850487541</v>
      </c>
      <c r="D138" s="1008">
        <f t="shared" si="1153"/>
        <v>0.16753472222222221</v>
      </c>
      <c r="E138" s="1009">
        <f t="shared" si="1153"/>
        <v>0.54111405835543769</v>
      </c>
      <c r="F138" s="1008">
        <f>+F135/F$6</f>
        <v>0.68766066838046269</v>
      </c>
      <c r="G138" s="1008">
        <f t="shared" ref="G138:U138" si="1154">+G135/G$6</f>
        <v>0.38877952755905509</v>
      </c>
      <c r="H138" s="1008">
        <f t="shared" si="1154"/>
        <v>0.15230224321133412</v>
      </c>
      <c r="I138" s="1009">
        <f t="shared" si="1154"/>
        <v>0.47387173396674587</v>
      </c>
      <c r="J138" s="1010">
        <f t="shared" si="1154"/>
        <v>0.61208791208791213</v>
      </c>
      <c r="K138" s="1008">
        <f t="shared" si="1154"/>
        <v>0.31964152352501868</v>
      </c>
      <c r="L138" s="1010">
        <f t="shared" si="1154"/>
        <v>0.14732142857142858</v>
      </c>
      <c r="M138" s="1009">
        <f t="shared" si="1154"/>
        <v>0.51041666666666663</v>
      </c>
      <c r="N138" s="1008">
        <f t="shared" si="1154"/>
        <v>0.52854330708661412</v>
      </c>
      <c r="O138" s="1008">
        <f t="shared" si="1154"/>
        <v>0.29227696404793607</v>
      </c>
      <c r="P138" s="1008">
        <f t="shared" si="1154"/>
        <v>0.13691931540342298</v>
      </c>
      <c r="Q138" s="1009">
        <f t="shared" si="1154"/>
        <v>0.44869215291750503</v>
      </c>
      <c r="R138" s="984">
        <f t="shared" si="1154"/>
        <v>0.46781115879828328</v>
      </c>
      <c r="S138" s="984">
        <f t="shared" si="1154"/>
        <v>0.26120283018867924</v>
      </c>
      <c r="T138" s="984">
        <f t="shared" si="1154"/>
        <v>0.14057295136575615</v>
      </c>
      <c r="U138" s="985">
        <f t="shared" si="1154"/>
        <v>0.25220264317180618</v>
      </c>
      <c r="V138" s="984">
        <f t="shared" ref="V138:AM138" si="1155">+V135/V$6</f>
        <v>0.42328042328042326</v>
      </c>
      <c r="W138" s="984">
        <f t="shared" si="1155"/>
        <v>0.2753807106598985</v>
      </c>
      <c r="X138" s="984">
        <f t="shared" si="1155"/>
        <v>0.11071171818835371</v>
      </c>
      <c r="Y138" s="985">
        <f t="shared" si="1155"/>
        <v>0.18820773135493948</v>
      </c>
      <c r="Z138" s="1270">
        <f t="shared" ref="Z138:AC138" si="1156">+Z135/Z$6</f>
        <v>0.29795714997508721</v>
      </c>
      <c r="AA138" s="984">
        <f t="shared" si="1156"/>
        <v>0.17209128320239431</v>
      </c>
      <c r="AB138" s="984">
        <f t="shared" si="1156"/>
        <v>8.4339488636363646E-2</v>
      </c>
      <c r="AC138" s="985">
        <f t="shared" si="1156"/>
        <v>0.20256835128417564</v>
      </c>
      <c r="AD138" s="1270">
        <f t="shared" ref="AD138:AG138" si="1157">+AD135/AD$6</f>
        <v>0.24605313823642663</v>
      </c>
      <c r="AE138" s="984">
        <f t="shared" si="1157"/>
        <v>0.16639263400197304</v>
      </c>
      <c r="AF138" s="984">
        <f t="shared" si="1157"/>
        <v>9.1890993685609837E-2</v>
      </c>
      <c r="AG138" s="985">
        <f t="shared" si="1157"/>
        <v>0.21423303834808261</v>
      </c>
      <c r="AH138" s="1270">
        <f t="shared" ref="AH138:AK138" si="1158">+AH135/AH$6</f>
        <v>0.24378777703156482</v>
      </c>
      <c r="AI138" s="984">
        <f t="shared" si="1158"/>
        <v>0.16450088600118135</v>
      </c>
      <c r="AJ138" s="984">
        <f t="shared" si="1158"/>
        <v>9.3958735342140429E-2</v>
      </c>
      <c r="AK138" s="985">
        <f t="shared" si="1158"/>
        <v>0.22770100502512561</v>
      </c>
      <c r="AL138" s="984">
        <f t="shared" ref="AL138" si="1159">+AL135/AL$6</f>
        <v>0.18306427048431312</v>
      </c>
      <c r="AM138" s="984">
        <f t="shared" si="1155"/>
        <v>0.15972747918243754</v>
      </c>
      <c r="AN138" s="984">
        <f t="shared" ref="AN138:AQ138" si="1160">+AN135/AN$6</f>
        <v>9.6208408563322162E-2</v>
      </c>
      <c r="AO138" s="985">
        <f t="shared" si="1160"/>
        <v>0.20751761942051683</v>
      </c>
      <c r="AP138" s="984">
        <f t="shared" si="1160"/>
        <v>0.16473616473616473</v>
      </c>
      <c r="AQ138" s="984">
        <f t="shared" si="1160"/>
        <v>0.14986024510857879</v>
      </c>
      <c r="AR138" s="984">
        <f t="shared" ref="AR138:AS138" si="1161">+AR135/AR$6</f>
        <v>8.8322296923981303E-2</v>
      </c>
      <c r="AS138" s="985">
        <f t="shared" si="1161"/>
        <v>0.18741060673665869</v>
      </c>
      <c r="AT138" s="984">
        <f t="shared" ref="AT138:AW138" si="1162">+AT135/AT$6</f>
        <v>0.14633373327598306</v>
      </c>
      <c r="AU138" s="984">
        <f t="shared" si="1162"/>
        <v>0.14199549059417158</v>
      </c>
      <c r="AV138" s="984">
        <f t="shared" si="1162"/>
        <v>8.461720356268751E-2</v>
      </c>
      <c r="AW138" s="985">
        <f t="shared" si="1162"/>
        <v>0.16794686126781178</v>
      </c>
      <c r="AX138" s="984">
        <f t="shared" ref="AX138:BA138" si="1163">+AX135/AX$6</f>
        <v>0.13243689708205525</v>
      </c>
      <c r="AY138" s="984">
        <f t="shared" si="1163"/>
        <v>0.12747958687177471</v>
      </c>
      <c r="AZ138" s="984">
        <f t="shared" si="1163"/>
        <v>7.9972259836678508E-2</v>
      </c>
      <c r="BA138" s="985">
        <f t="shared" si="1163"/>
        <v>0.1569204773281625</v>
      </c>
      <c r="BB138" s="398"/>
      <c r="BC138" s="846"/>
      <c r="BD138" s="1011">
        <f t="shared" ref="BD138:BE138" si="1164">+BD135/BD$6</f>
        <v>0.33319130805283342</v>
      </c>
      <c r="BE138" s="1011">
        <f t="shared" si="1164"/>
        <v>0.33146610005794863</v>
      </c>
      <c r="BF138" s="1017">
        <f>+BF135/BF$6</f>
        <v>0.30788381742738591</v>
      </c>
      <c r="BG138" s="1017">
        <f>+BG135/BG$6</f>
        <v>0.27564858490566035</v>
      </c>
      <c r="BH138" s="1017">
        <f>+BH135/BH$6</f>
        <v>0.24326084125537178</v>
      </c>
      <c r="BI138" s="1017">
        <f t="shared" ref="BI138:BM138" si="1165">+BI135/BI$6</f>
        <v>0.20118343195266272</v>
      </c>
      <c r="BJ138" s="1017">
        <f t="shared" si="1165"/>
        <v>0.15888731730315889</v>
      </c>
      <c r="BK138" s="1017">
        <f t="shared" si="1165"/>
        <v>0.15861636971046772</v>
      </c>
      <c r="BL138" s="1017">
        <f t="shared" si="1165"/>
        <v>0.16217377955173473</v>
      </c>
      <c r="BM138" s="1062">
        <f t="shared" si="1165"/>
        <v>0.14736339015453243</v>
      </c>
      <c r="BN138" s="1368">
        <f t="shared" ref="BN138:BO138" si="1166">+BN135/BN$6</f>
        <v>0.13553088934762203</v>
      </c>
      <c r="BO138" s="1368">
        <f t="shared" si="1166"/>
        <v>0.12552369631206964</v>
      </c>
      <c r="BP138" s="1368">
        <f t="shared" ref="BP138" si="1167">+BP135/BP$6</f>
        <v>0.11601379678828938</v>
      </c>
      <c r="BR138" s="1425"/>
      <c r="BS138" s="1425"/>
      <c r="BT138" s="1425"/>
      <c r="BU138" s="1263"/>
    </row>
    <row r="139" spans="1:73" s="414" customFormat="1" ht="12.75" hidden="1" customHeight="1" outlineLevel="1">
      <c r="A139" s="1937" t="s">
        <v>410</v>
      </c>
      <c r="B139" s="1926"/>
      <c r="C139" s="1926"/>
      <c r="D139" s="1926"/>
      <c r="E139" s="1927"/>
      <c r="F139" s="1071"/>
      <c r="G139" s="1071"/>
      <c r="H139" s="1071"/>
      <c r="I139" s="1072"/>
      <c r="J139" s="1071"/>
      <c r="K139" s="1071"/>
      <c r="L139" s="1071"/>
      <c r="M139" s="1072"/>
      <c r="N139" s="1071"/>
      <c r="O139" s="1071"/>
      <c r="P139" s="1071"/>
      <c r="Q139" s="1072"/>
      <c r="R139" s="1071"/>
      <c r="S139" s="1071"/>
      <c r="T139" s="1071"/>
      <c r="U139" s="1072"/>
      <c r="V139" s="1071"/>
      <c r="W139" s="1928"/>
      <c r="X139" s="1073"/>
      <c r="Y139" s="1072"/>
      <c r="Z139" s="1929"/>
      <c r="AA139" s="1928"/>
      <c r="AB139" s="1073"/>
      <c r="AC139" s="1074"/>
      <c r="AD139" s="1073"/>
      <c r="AE139" s="1073"/>
      <c r="AF139" s="1073"/>
      <c r="AG139" s="1074"/>
      <c r="AH139" s="1935">
        <f>_xll.VAData("INTU",AH$22,"Revenue - Total desktop ecosystem","consensus.vaactuals","CD","IMPL","Current","","","USD")</f>
        <v>726</v>
      </c>
      <c r="AI139" s="1932">
        <f>_xll.VAData("INTU",AI$22,"Revenue - Total desktop ecosystem","consensus.vaactuals","CD","IMPL","Current","","","USD")</f>
        <v>557</v>
      </c>
      <c r="AJ139" s="1933">
        <f>_xll.VAData("INTU",AJ$22,"Revenue - Total desktop ecosystem","consensus.vaactuals","CD","IMPL","Current","","","USD")</f>
        <v>633</v>
      </c>
      <c r="AK139" s="1934">
        <f>_xll.VAData("INTU",AK$22,"Revenue - Total desktop ecosystem","consensus.vaactuals","CD","IMPL","Current","","","USD")</f>
        <v>725</v>
      </c>
      <c r="AL139" s="1933">
        <f>_xll.VAData("INTU",AL$22,"Revenue - Total desktop ecosystem","consensus.vaactuals","CD","IMPL","Current","","","USD")</f>
        <v>601</v>
      </c>
      <c r="AM139" s="1933">
        <f>_xll.VAData("INTU",AM$22,"Revenue - Total desktop ecosystem","consensus.vaactuals","CD","IMPL","Current","","","USD")</f>
        <v>633</v>
      </c>
      <c r="AN139" s="1933">
        <f>_xll.VAData("INTU",AN$22,"Revenue - Total desktop ecosystem","consensus.vaactuals","CD","IMPL","Current","","","USD")</f>
        <v>746</v>
      </c>
      <c r="AO139" s="1934">
        <f>_xll.VAData("INTU",AO$22,"Revenue - Total desktop ecosystem","consensus.vaactuals","CD","IMPL","Current","","","USD")</f>
        <v>795</v>
      </c>
      <c r="AP139" s="1933">
        <f>_xll.VAData("INTU",AP$22,"Revenue - Total desktop ecosystem","consensus.vaactuals","CD","IMPL","Current","","","USD")</f>
        <v>640</v>
      </c>
      <c r="AQ139" s="1933">
        <f>_xll.VAData("INTU",AQ$22,"Revenue - Total desktop ecosystem","consensus.vaactuals","CD","IMPL","Current","","","USD")</f>
        <v>633</v>
      </c>
      <c r="AR139" s="1933">
        <f>_xll.VAData("INTU",AR$22,"Revenue - Total desktop ecosystem","consensus.vaactuals","CD","IMPL","Current","","","USD")</f>
        <v>761.97790027497854</v>
      </c>
      <c r="AS139" s="1934">
        <f>_xll.VAData("INTU",AS$22,"Revenue - Total desktop ecosystem","consensus.vaactuals","CD","IMPL","Current","","","USD")</f>
        <v>772.96432453974285</v>
      </c>
      <c r="AT139" s="1933">
        <f>_xll.VAData("INTU",AT$22,"Revenue - Total desktop ecosystem","consensus.vaactuals","CD","IMPL","Current","","","USD")</f>
        <v>661.91818657145382</v>
      </c>
      <c r="AU139" s="1933">
        <f>_xll.VAData("INTU",AU$22,"Revenue - Total desktop ecosystem","consensus.vaactuals","CD","IMPL","Current","","","USD")</f>
        <v>712.91670342060536</v>
      </c>
      <c r="AV139" s="1933">
        <f>_xll.VAData("INTU",AV$22,"Revenue - Total desktop ecosystem","consensus.vaactuals","CD","IMPL","Current","","","USD")</f>
        <v>786.26622087981241</v>
      </c>
      <c r="AW139" s="1934">
        <f>_xll.VAData("INTU",AW$22,"Revenue - Total desktop ecosystem","consensus.vaactuals","CD","IMPL","Current","","","USD")</f>
        <v>802.99319330644903</v>
      </c>
      <c r="AX139" s="1933">
        <f>_xll.VAData("INTU",AX$22,"Revenue - Total desktop ecosystem","consensus.vaactuals","CD","IMPL","Current","","","USD")</f>
        <v>680.74105317521742</v>
      </c>
      <c r="AY139" s="1933">
        <f>_xll.VAData("INTU",AY$22,"Revenue - Total desktop ecosystem","consensus.vaactuals","CD","IMPL","Current","","","USD")</f>
        <v>736.51938874105792</v>
      </c>
      <c r="AZ139" s="1933">
        <f>_xll.VAData("INTU",AZ$22,"Revenue - Total desktop ecosystem","consensus.vaactuals","CD","IMPL","Current","","","USD")</f>
        <v>804.64139740700614</v>
      </c>
      <c r="BA139" s="1934">
        <f>_xll.VAData("INTU",BA$22,"Revenue - Total desktop ecosystem","consensus.vaactuals","CD","IMPL","Current","","","USD")</f>
        <v>817.69318513233895</v>
      </c>
      <c r="BB139" s="1949"/>
      <c r="BC139" s="1930"/>
      <c r="BD139" s="1130"/>
      <c r="BE139" s="1130"/>
      <c r="BF139" s="1130"/>
      <c r="BG139" s="1130"/>
      <c r="BH139" s="1130"/>
      <c r="BI139" s="1130"/>
      <c r="BJ139" s="1130"/>
      <c r="BK139" s="1130"/>
      <c r="BL139" s="1993">
        <f>SUM(AH139:AK139)</f>
        <v>2641</v>
      </c>
      <c r="BM139" s="1993">
        <f>SUM(AL139:AO139)</f>
        <v>2775</v>
      </c>
      <c r="BN139" s="1994">
        <f>SUM(AP139:AS139)</f>
        <v>2807.9422248147212</v>
      </c>
      <c r="BO139" s="1994">
        <f>SUM(AT139:AW139)</f>
        <v>2964.0943041783207</v>
      </c>
      <c r="BP139" s="1994">
        <f>SUM(AX139:BA139)</f>
        <v>3039.5950244556202</v>
      </c>
      <c r="BR139" s="1406"/>
      <c r="BS139" s="1431"/>
      <c r="BT139" s="1432"/>
      <c r="BU139" s="1263"/>
    </row>
    <row r="140" spans="1:73" s="1014" customFormat="1" ht="12.75" hidden="1" customHeight="1" outlineLevel="1">
      <c r="A140" s="1938" t="s">
        <v>507</v>
      </c>
      <c r="B140" s="1939" t="str">
        <f>IF(ISERROR(B139/#REF!-1),"NA",B139/#REF!-1)</f>
        <v>NA</v>
      </c>
      <c r="C140" s="1940" t="str">
        <f>IF(ISERROR(C139/#REF!-1),"NA",C139/#REF!-1)</f>
        <v>NA</v>
      </c>
      <c r="D140" s="1940" t="str">
        <f>IF(ISERROR(D139/#REF!-1),"NA",D139/#REF!-1)</f>
        <v>NA</v>
      </c>
      <c r="E140" s="1941" t="str">
        <f t="shared" ref="E140:AG140" si="1168">IF(ISERROR(E139/A139-1),"NA",E139/A139-1)</f>
        <v>NA</v>
      </c>
      <c r="F140" s="1939" t="str">
        <f t="shared" si="1168"/>
        <v>NA</v>
      </c>
      <c r="G140" s="1940" t="str">
        <f t="shared" si="1168"/>
        <v>NA</v>
      </c>
      <c r="H140" s="1940" t="str">
        <f t="shared" si="1168"/>
        <v>NA</v>
      </c>
      <c r="I140" s="1941" t="str">
        <f t="shared" si="1168"/>
        <v>NA</v>
      </c>
      <c r="J140" s="1939" t="str">
        <f t="shared" si="1168"/>
        <v>NA</v>
      </c>
      <c r="K140" s="1940" t="str">
        <f t="shared" si="1168"/>
        <v>NA</v>
      </c>
      <c r="L140" s="1940" t="str">
        <f t="shared" si="1168"/>
        <v>NA</v>
      </c>
      <c r="M140" s="1941" t="str">
        <f t="shared" si="1168"/>
        <v>NA</v>
      </c>
      <c r="N140" s="1939" t="str">
        <f t="shared" si="1168"/>
        <v>NA</v>
      </c>
      <c r="O140" s="1940" t="str">
        <f t="shared" si="1168"/>
        <v>NA</v>
      </c>
      <c r="P140" s="1940" t="str">
        <f t="shared" si="1168"/>
        <v>NA</v>
      </c>
      <c r="Q140" s="1941" t="str">
        <f t="shared" si="1168"/>
        <v>NA</v>
      </c>
      <c r="R140" s="1942" t="str">
        <f t="shared" si="1168"/>
        <v>NA</v>
      </c>
      <c r="S140" s="1942" t="str">
        <f t="shared" si="1168"/>
        <v>NA</v>
      </c>
      <c r="T140" s="1942" t="str">
        <f t="shared" si="1168"/>
        <v>NA</v>
      </c>
      <c r="U140" s="1943" t="str">
        <f t="shared" si="1168"/>
        <v>NA</v>
      </c>
      <c r="V140" s="1942" t="str">
        <f t="shared" si="1168"/>
        <v>NA</v>
      </c>
      <c r="W140" s="1942" t="str">
        <f t="shared" si="1168"/>
        <v>NA</v>
      </c>
      <c r="X140" s="1942" t="str">
        <f t="shared" si="1168"/>
        <v>NA</v>
      </c>
      <c r="Y140" s="1943" t="str">
        <f t="shared" si="1168"/>
        <v>NA</v>
      </c>
      <c r="Z140" s="1944" t="str">
        <f t="shared" si="1168"/>
        <v>NA</v>
      </c>
      <c r="AA140" s="1942" t="str">
        <f t="shared" si="1168"/>
        <v>NA</v>
      </c>
      <c r="AB140" s="1942" t="str">
        <f t="shared" si="1168"/>
        <v>NA</v>
      </c>
      <c r="AC140" s="1943" t="str">
        <f t="shared" si="1168"/>
        <v>NA</v>
      </c>
      <c r="AD140" s="1944" t="str">
        <f t="shared" si="1168"/>
        <v>NA</v>
      </c>
      <c r="AE140" s="1942" t="str">
        <f t="shared" si="1168"/>
        <v>NA</v>
      </c>
      <c r="AF140" s="1942" t="str">
        <f t="shared" si="1168"/>
        <v>NA</v>
      </c>
      <c r="AG140" s="1943" t="str">
        <f t="shared" si="1168"/>
        <v>NA</v>
      </c>
      <c r="AH140" s="1942"/>
      <c r="AI140" s="1942"/>
      <c r="AJ140" s="1942"/>
      <c r="AK140" s="1943"/>
      <c r="AL140" s="1942">
        <f>IF(ISERROR(AL139/AH139-1),"NA",AL139/AH139-1)</f>
        <v>-0.17217630853994492</v>
      </c>
      <c r="AM140" s="1942">
        <f t="shared" ref="AM140" si="1169">IF(ISERROR(AM139/AI139-1),"NA",AM139/AI139-1)</f>
        <v>0.13644524236983835</v>
      </c>
      <c r="AN140" s="1942">
        <f t="shared" ref="AN140" si="1170">IF(ISERROR(AN139/AJ139-1),"NA",AN139/AJ139-1)</f>
        <v>0.17851500789889418</v>
      </c>
      <c r="AO140" s="1943">
        <f t="shared" ref="AO140" si="1171">IF(ISERROR(AO139/AK139-1),"NA",AO139/AK139-1)</f>
        <v>9.6551724137931005E-2</v>
      </c>
      <c r="AP140" s="1942">
        <f>IF(ISERROR(AP139/AL139-1),"NA",AP139/AL139-1)</f>
        <v>6.4891846921796947E-2</v>
      </c>
      <c r="AQ140" s="1942">
        <f t="shared" ref="AQ140" si="1172">IF(ISERROR(AQ139/AM139-1),"NA",AQ139/AM139-1)</f>
        <v>0</v>
      </c>
      <c r="AR140" s="1942">
        <f t="shared" ref="AR140" si="1173">IF(ISERROR(AR139/AN139-1),"NA",AR139/AN139-1)</f>
        <v>2.141809688334928E-2</v>
      </c>
      <c r="AS140" s="1943">
        <f t="shared" ref="AS140" si="1174">IF(ISERROR(AS139/AO139-1),"NA",AS139/AO139-1)</f>
        <v>-2.7717830767619023E-2</v>
      </c>
      <c r="AT140" s="1942">
        <f t="shared" ref="AT140" si="1175">IF(ISERROR(AT139/AP139-1),"NA",AT139/AP139-1)</f>
        <v>3.4247166517896499E-2</v>
      </c>
      <c r="AU140" s="1942">
        <f t="shared" ref="AU140" si="1176">IF(ISERROR(AU139/AQ139-1),"NA",AU139/AQ139-1)</f>
        <v>0.12625071630427387</v>
      </c>
      <c r="AV140" s="1942">
        <f t="shared" ref="AV140" si="1177">IF(ISERROR(AV139/AR139-1),"NA",AV139/AR139-1)</f>
        <v>3.1875360946910458E-2</v>
      </c>
      <c r="AW140" s="1943">
        <f t="shared" ref="AW140" si="1178">IF(ISERROR(AW139/AS139-1),"NA",AW139/AS139-1)</f>
        <v>3.8848971179344716E-2</v>
      </c>
      <c r="AX140" s="1942">
        <f t="shared" ref="AX140" si="1179">IF(ISERROR(AX139/AT139-1),"NA",AX139/AT139-1)</f>
        <v>2.8436847612936411E-2</v>
      </c>
      <c r="AY140" s="1942">
        <f t="shared" ref="AY140" si="1180">IF(ISERROR(AY139/AU139-1),"NA",AY139/AU139-1)</f>
        <v>3.3107213237122624E-2</v>
      </c>
      <c r="AZ140" s="1942">
        <f t="shared" ref="AZ140" si="1181">IF(ISERROR(AZ139/AV139-1),"NA",AZ139/AV139-1)</f>
        <v>2.3370171627915548E-2</v>
      </c>
      <c r="BA140" s="1943">
        <f t="shared" ref="BA140" si="1182">IF(ISERROR(BA139/AW139-1),"NA",BA139/AW139-1)</f>
        <v>1.8306496180074072E-2</v>
      </c>
      <c r="BB140" s="1945"/>
      <c r="BC140" s="1946"/>
      <c r="BD140" s="1947" t="str">
        <f>IF(ISERROR(BD139/BB139-1),"NA",BD139/BB139-1)</f>
        <v>NA</v>
      </c>
      <c r="BE140" s="1947" t="str">
        <f t="shared" ref="BE140:BJ140" si="1183">IF(ISERROR(BE139/BD139-1),"NA",BE139/BD139-1)</f>
        <v>NA</v>
      </c>
      <c r="BF140" s="1947" t="str">
        <f t="shared" si="1183"/>
        <v>NA</v>
      </c>
      <c r="BG140" s="1947" t="str">
        <f t="shared" si="1183"/>
        <v>NA</v>
      </c>
      <c r="BH140" s="1947" t="str">
        <f t="shared" si="1183"/>
        <v>NA</v>
      </c>
      <c r="BI140" s="1947" t="str">
        <f t="shared" si="1183"/>
        <v>NA</v>
      </c>
      <c r="BJ140" s="1947" t="str">
        <f t="shared" si="1183"/>
        <v>NA</v>
      </c>
      <c r="BK140" s="1947"/>
      <c r="BL140" s="1947"/>
      <c r="BM140" s="1947">
        <f>IF(ISERROR(BM139/BL139-1),"NA",BM139/BL139-1)</f>
        <v>5.0738356683074581E-2</v>
      </c>
      <c r="BN140" s="1948">
        <f>IF(ISERROR(BN139/BM139-1),"NA",BN139/BM139-1)</f>
        <v>1.1871072005305017E-2</v>
      </c>
      <c r="BO140" s="1948">
        <f>IF(ISERROR(BO139/BN139-1),"NA",BO139/BN139-1)</f>
        <v>5.5610859078093489E-2</v>
      </c>
      <c r="BP140" s="1948">
        <f>IF(ISERROR(BP139/BO139-1),"NA",BP139/BO139-1)</f>
        <v>2.5471767268291812E-2</v>
      </c>
      <c r="BR140" s="1425"/>
      <c r="BS140" s="1425"/>
      <c r="BT140" s="1425"/>
      <c r="BU140" s="1263"/>
    </row>
    <row r="141" spans="1:73" s="1014" customFormat="1" ht="12" customHeight="1" collapsed="1">
      <c r="A141" s="1695"/>
      <c r="B141" s="1008"/>
      <c r="C141" s="1008"/>
      <c r="D141" s="1008"/>
      <c r="E141" s="1009"/>
      <c r="F141" s="1008"/>
      <c r="G141" s="1008"/>
      <c r="H141" s="1008"/>
      <c r="I141" s="1009"/>
      <c r="J141" s="1010"/>
      <c r="K141" s="1008"/>
      <c r="L141" s="1010"/>
      <c r="M141" s="1009"/>
      <c r="N141" s="1008"/>
      <c r="O141" s="1008"/>
      <c r="P141" s="1008"/>
      <c r="Q141" s="1009"/>
      <c r="R141" s="984"/>
      <c r="S141" s="984"/>
      <c r="T141" s="984"/>
      <c r="U141" s="985"/>
      <c r="V141" s="984"/>
      <c r="W141" s="984"/>
      <c r="X141" s="984"/>
      <c r="Y141" s="985"/>
      <c r="Z141" s="1270"/>
      <c r="AA141" s="1015"/>
      <c r="AB141" s="1015"/>
      <c r="AC141" s="1016"/>
      <c r="AD141" s="1015"/>
      <c r="AE141" s="1015"/>
      <c r="AF141" s="1015"/>
      <c r="AG141" s="1016"/>
      <c r="AH141" s="1015"/>
      <c r="AI141" s="1015"/>
      <c r="AJ141" s="1015"/>
      <c r="AK141" s="1016"/>
      <c r="AL141" s="1015"/>
      <c r="AM141" s="1015"/>
      <c r="AN141" s="1015"/>
      <c r="AO141" s="1016"/>
      <c r="AP141" s="1015"/>
      <c r="AQ141" s="1015"/>
      <c r="AR141" s="1015"/>
      <c r="AS141" s="1016"/>
      <c r="AT141" s="1015"/>
      <c r="AU141" s="1015"/>
      <c r="AV141" s="1015"/>
      <c r="AW141" s="1016"/>
      <c r="AX141" s="1015"/>
      <c r="AY141" s="1015"/>
      <c r="AZ141" s="1015"/>
      <c r="BA141" s="1016"/>
      <c r="BB141" s="398"/>
      <c r="BC141" s="846"/>
      <c r="BD141" s="1011"/>
      <c r="BE141" s="1011"/>
      <c r="BF141" s="1017"/>
      <c r="BG141" s="1017"/>
      <c r="BH141" s="1017"/>
      <c r="BI141" s="1017"/>
      <c r="BJ141" s="1017"/>
      <c r="BK141" s="1017"/>
      <c r="BL141" s="1062"/>
      <c r="BM141" s="1062"/>
      <c r="BN141" s="1368"/>
      <c r="BO141" s="1368"/>
      <c r="BP141" s="1368"/>
      <c r="BR141" s="1425"/>
      <c r="BS141" s="1425"/>
      <c r="BT141" s="1425"/>
      <c r="BU141" s="1263"/>
    </row>
    <row r="142" spans="1:73" s="492" customFormat="1" ht="12" customHeight="1">
      <c r="A142" s="1896" t="s">
        <v>64</v>
      </c>
      <c r="B142" s="1897">
        <v>97</v>
      </c>
      <c r="C142" s="1897">
        <v>102</v>
      </c>
      <c r="D142" s="1897">
        <v>107</v>
      </c>
      <c r="E142" s="1898">
        <v>118</v>
      </c>
      <c r="F142" s="1899">
        <v>233</v>
      </c>
      <c r="G142" s="1899">
        <v>114</v>
      </c>
      <c r="H142" s="1899">
        <v>125</v>
      </c>
      <c r="I142" s="1900">
        <v>127</v>
      </c>
      <c r="J142" s="1899">
        <v>249</v>
      </c>
      <c r="K142" s="1899">
        <v>147</v>
      </c>
      <c r="L142" s="1899">
        <v>163</v>
      </c>
      <c r="M142" s="1900">
        <v>157</v>
      </c>
      <c r="N142" s="1899">
        <v>228</v>
      </c>
      <c r="O142" s="1899">
        <v>154</v>
      </c>
      <c r="P142" s="1899">
        <v>181</v>
      </c>
      <c r="Q142" s="1900">
        <v>169</v>
      </c>
      <c r="R142" s="1899">
        <v>239</v>
      </c>
      <c r="S142" s="1899">
        <v>165</v>
      </c>
      <c r="T142" s="1899">
        <v>173</v>
      </c>
      <c r="U142" s="1900">
        <v>178</v>
      </c>
      <c r="V142" s="1952">
        <v>241</v>
      </c>
      <c r="W142" s="1952">
        <v>160</v>
      </c>
      <c r="X142" s="1952">
        <v>193</v>
      </c>
      <c r="Y142" s="1953">
        <v>195</v>
      </c>
      <c r="Z142" s="1952">
        <v>267</v>
      </c>
      <c r="AA142" s="1952">
        <v>169</v>
      </c>
      <c r="AB142" s="1952">
        <v>201</v>
      </c>
      <c r="AC142" s="1953">
        <v>214</v>
      </c>
      <c r="AD142" s="1952">
        <v>375</v>
      </c>
      <c r="AE142" s="1952">
        <v>228</v>
      </c>
      <c r="AF142" s="1952">
        <v>292</v>
      </c>
      <c r="AG142" s="1953">
        <v>316</v>
      </c>
      <c r="AH142" s="1952">
        <v>467</v>
      </c>
      <c r="AI142" s="1952">
        <v>291</v>
      </c>
      <c r="AJ142" s="1952">
        <v>363</v>
      </c>
      <c r="AK142" s="1953">
        <v>454</v>
      </c>
      <c r="AL142" s="1958">
        <v>329</v>
      </c>
      <c r="AM142" s="1958">
        <v>355</v>
      </c>
      <c r="AN142" s="1952">
        <v>476</v>
      </c>
      <c r="AO142" s="1953">
        <v>512</v>
      </c>
      <c r="AP142" s="1958">
        <v>356</v>
      </c>
      <c r="AQ142" s="1958">
        <v>408</v>
      </c>
      <c r="AR142" s="1905">
        <f t="shared" ref="AR142:BA142" si="1184">+AR146*AR135</f>
        <v>447.32999999999987</v>
      </c>
      <c r="AS142" s="1906">
        <f t="shared" si="1184"/>
        <v>482.85749999999985</v>
      </c>
      <c r="AT142" s="1905">
        <f t="shared" si="1184"/>
        <v>362.4</v>
      </c>
      <c r="AU142" s="1905">
        <f t="shared" si="1184"/>
        <v>440.6400000000001</v>
      </c>
      <c r="AV142" s="1905">
        <f t="shared" si="1184"/>
        <v>448.52849999999984</v>
      </c>
      <c r="AW142" s="1906">
        <f t="shared" si="1184"/>
        <v>448.30319999999995</v>
      </c>
      <c r="AX142" s="1905">
        <f t="shared" si="1184"/>
        <v>375.32800000000003</v>
      </c>
      <c r="AY142" s="1905">
        <f t="shared" si="1184"/>
        <v>430.7256000000001</v>
      </c>
      <c r="AZ142" s="1905">
        <f t="shared" si="1184"/>
        <v>439.37459999999976</v>
      </c>
      <c r="BA142" s="1906">
        <f t="shared" si="1184"/>
        <v>449.79730199999977</v>
      </c>
      <c r="BB142" s="398"/>
      <c r="BC142" s="1909"/>
      <c r="BD142" s="1903">
        <f>SUM(B142:E142)</f>
        <v>424</v>
      </c>
      <c r="BE142" s="1903">
        <f>SUM(F142:I142)</f>
        <v>599</v>
      </c>
      <c r="BF142" s="1903">
        <f>SUM(J142:M142)</f>
        <v>716</v>
      </c>
      <c r="BG142" s="1903">
        <f>SUM(N142:Q142)</f>
        <v>732</v>
      </c>
      <c r="BH142" s="1903">
        <f>SUM(R142:U142)</f>
        <v>755</v>
      </c>
      <c r="BI142" s="1903">
        <f>SUM(V142:Y142)</f>
        <v>789</v>
      </c>
      <c r="BJ142" s="1903">
        <f>SUM(Z142:AC142)</f>
        <v>851</v>
      </c>
      <c r="BK142" s="1903">
        <f>SUM(AD142:AG142)</f>
        <v>1211</v>
      </c>
      <c r="BL142" s="1903">
        <f>SUM(AH142:AK142)</f>
        <v>1575</v>
      </c>
      <c r="BM142" s="1903">
        <f>SUM(AL142:AO142)</f>
        <v>1672</v>
      </c>
      <c r="BN142" s="1904">
        <f>SUM(AP142:AS142)</f>
        <v>1694.1874999999998</v>
      </c>
      <c r="BO142" s="1904">
        <f>SUM(AT142:AW142)</f>
        <v>1699.8716999999997</v>
      </c>
      <c r="BP142" s="1904">
        <f>SUM(AX142:BA142)</f>
        <v>1695.2255019999996</v>
      </c>
      <c r="BR142" s="1429"/>
      <c r="BS142" s="1429"/>
      <c r="BT142" s="1429"/>
      <c r="BU142" s="1696"/>
    </row>
    <row r="143" spans="1:73" s="1014" customFormat="1" ht="12" customHeight="1">
      <c r="A143" s="1064" t="s">
        <v>181</v>
      </c>
      <c r="B143" s="999" t="str">
        <f t="shared" ref="B143:D143" si="1185">IF(ISERROR(B142/#REF!-1),"NA",B142/#REF!-1)</f>
        <v>NA</v>
      </c>
      <c r="C143" s="987" t="str">
        <f t="shared" si="1185"/>
        <v>NA</v>
      </c>
      <c r="D143" s="987" t="str">
        <f t="shared" si="1185"/>
        <v>NA</v>
      </c>
      <c r="E143" s="998" t="str">
        <f t="shared" ref="E143" si="1186">IF(ISERROR(E142/A142-1),"NA",E142/A142-1)</f>
        <v>NA</v>
      </c>
      <c r="F143" s="999">
        <f t="shared" ref="F143" si="1187">IF(ISERROR(F142/B142-1),"NA",F142/B142-1)</f>
        <v>1.402061855670103</v>
      </c>
      <c r="G143" s="987">
        <f t="shared" ref="G143" si="1188">IF(ISERROR(G142/C142-1),"NA",G142/C142-1)</f>
        <v>0.11764705882352944</v>
      </c>
      <c r="H143" s="987">
        <f t="shared" ref="H143" si="1189">IF(ISERROR(H142/D142-1),"NA",H142/D142-1)</f>
        <v>0.16822429906542058</v>
      </c>
      <c r="I143" s="998">
        <f t="shared" ref="I143" si="1190">IF(ISERROR(I142/E142-1),"NA",I142/E142-1)</f>
        <v>7.6271186440677985E-2</v>
      </c>
      <c r="J143" s="999">
        <f t="shared" ref="J143" si="1191">IF(ISERROR(J142/F142-1),"NA",J142/F142-1)</f>
        <v>6.8669527896995763E-2</v>
      </c>
      <c r="K143" s="987">
        <f t="shared" ref="K143" si="1192">IF(ISERROR(K142/G142-1),"NA",K142/G142-1)</f>
        <v>0.28947368421052633</v>
      </c>
      <c r="L143" s="987">
        <f t="shared" ref="L143" si="1193">IF(ISERROR(L142/H142-1),"NA",L142/H142-1)</f>
        <v>0.30400000000000005</v>
      </c>
      <c r="M143" s="998">
        <f t="shared" ref="M143" si="1194">IF(ISERROR(M142/I142-1),"NA",M142/I142-1)</f>
        <v>0.23622047244094491</v>
      </c>
      <c r="N143" s="999">
        <f t="shared" ref="N143" si="1195">IF(ISERROR(N142/J142-1),"NA",N142/J142-1)</f>
        <v>-8.4337349397590411E-2</v>
      </c>
      <c r="O143" s="987">
        <f t="shared" ref="O143" si="1196">IF(ISERROR(O142/K142-1),"NA",O142/K142-1)</f>
        <v>4.7619047619047672E-2</v>
      </c>
      <c r="P143" s="987">
        <f t="shared" ref="P143" si="1197">IF(ISERROR(P142/L142-1),"NA",P142/L142-1)</f>
        <v>0.11042944785276076</v>
      </c>
      <c r="Q143" s="998">
        <f t="shared" ref="Q143" si="1198">IF(ISERROR(Q142/M142-1),"NA",Q142/M142-1)</f>
        <v>7.6433121019108263E-2</v>
      </c>
      <c r="R143" s="984">
        <f t="shared" ref="R143" si="1199">IF(ISERROR(R142/N142-1),"NA",R142/N142-1)</f>
        <v>4.8245614035087758E-2</v>
      </c>
      <c r="S143" s="984">
        <f t="shared" ref="S143" si="1200">IF(ISERROR(S142/O142-1),"NA",S142/O142-1)</f>
        <v>7.1428571428571397E-2</v>
      </c>
      <c r="T143" s="984">
        <f t="shared" ref="T143" si="1201">IF(ISERROR(T142/P142-1),"NA",T142/P142-1)</f>
        <v>-4.4198895027624308E-2</v>
      </c>
      <c r="U143" s="985">
        <f t="shared" ref="U143" si="1202">IF(ISERROR(U142/Q142-1),"NA",U142/Q142-1)</f>
        <v>5.3254437869822535E-2</v>
      </c>
      <c r="V143" s="984">
        <f t="shared" ref="V143:W143" si="1203">IF(ISERROR(V142/R142-1),"NA",V142/R142-1)</f>
        <v>8.3682008368199945E-3</v>
      </c>
      <c r="W143" s="987">
        <f t="shared" si="1203"/>
        <v>-3.0303030303030276E-2</v>
      </c>
      <c r="X143" s="984">
        <f t="shared" ref="X143" si="1204">IF(ISERROR(X142/T142-1),"NA",X142/T142-1)</f>
        <v>0.11560693641618491</v>
      </c>
      <c r="Y143" s="985">
        <f t="shared" ref="Y143:AE143" si="1205">IF(ISERROR(Y142/U142-1),"NA",Y142/U142-1)</f>
        <v>9.550561797752799E-2</v>
      </c>
      <c r="Z143" s="1270">
        <f t="shared" si="1205"/>
        <v>0.10788381742738595</v>
      </c>
      <c r="AA143" s="987">
        <f t="shared" si="1205"/>
        <v>5.6249999999999911E-2</v>
      </c>
      <c r="AB143" s="984">
        <f t="shared" ref="AB143" si="1206">IF(ISERROR(AB142/X142-1),"NA",AB142/X142-1)</f>
        <v>4.1450777202072464E-2</v>
      </c>
      <c r="AC143" s="985">
        <f t="shared" si="1205"/>
        <v>9.7435897435897534E-2</v>
      </c>
      <c r="AD143" s="984">
        <f t="shared" ref="AD143" si="1207">IF(ISERROR(AD142/Z142-1),"NA",AD142/Z142-1)</f>
        <v>0.40449438202247201</v>
      </c>
      <c r="AE143" s="987">
        <f t="shared" si="1205"/>
        <v>0.34911242603550297</v>
      </c>
      <c r="AF143" s="984">
        <f t="shared" ref="AF143" si="1208">IF(ISERROR(AF142/AB142-1),"NA",AF142/AB142-1)</f>
        <v>0.45273631840796025</v>
      </c>
      <c r="AG143" s="985">
        <f t="shared" ref="AG143:AH143" si="1209">IF(ISERROR(AG142/AC142-1),"NA",AG142/AC142-1)</f>
        <v>0.47663551401869153</v>
      </c>
      <c r="AH143" s="984">
        <f t="shared" si="1209"/>
        <v>0.2453333333333334</v>
      </c>
      <c r="AI143" s="984">
        <f t="shared" ref="AI143" si="1210">IF(ISERROR(AI142/AE142-1),"NA",AI142/AE142-1)</f>
        <v>0.27631578947368429</v>
      </c>
      <c r="AJ143" s="984">
        <f t="shared" ref="AJ143" si="1211">IF(ISERROR(AJ142/AF142-1),"NA",AJ142/AF142-1)</f>
        <v>0.24315068493150682</v>
      </c>
      <c r="AK143" s="985">
        <f t="shared" ref="AK143:AQ143" si="1212">IF(ISERROR(AK142/AG142-1),"NA",AK142/AG142-1)</f>
        <v>0.43670886075949378</v>
      </c>
      <c r="AL143" s="984">
        <f t="shared" si="1212"/>
        <v>-0.2955032119914347</v>
      </c>
      <c r="AM143" s="984">
        <f t="shared" si="1212"/>
        <v>0.21993127147766334</v>
      </c>
      <c r="AN143" s="984">
        <f t="shared" ref="AN143" si="1213">IF(ISERROR(AN142/AJ142-1),"NA",AN142/AJ142-1)</f>
        <v>0.31129476584022031</v>
      </c>
      <c r="AO143" s="985">
        <f t="shared" si="1212"/>
        <v>0.12775330396475781</v>
      </c>
      <c r="AP143" s="984">
        <f t="shared" si="1212"/>
        <v>8.2066869300911893E-2</v>
      </c>
      <c r="AQ143" s="984">
        <f t="shared" si="1212"/>
        <v>0.14929577464788735</v>
      </c>
      <c r="AR143" s="984">
        <f t="shared" ref="AR143" si="1214">IF(ISERROR(AR142/AN142-1),"NA",AR142/AN142-1)</f>
        <v>-6.0231092436975109E-2</v>
      </c>
      <c r="AS143" s="985">
        <f t="shared" ref="AS143" si="1215">IF(ISERROR(AS142/AO142-1),"NA",AS142/AO142-1)</f>
        <v>-5.6918945312500302E-2</v>
      </c>
      <c r="AT143" s="984">
        <f t="shared" ref="AT143" si="1216">IF(ISERROR(AT142/AP142-1),"NA",AT142/AP142-1)</f>
        <v>1.7977528089887507E-2</v>
      </c>
      <c r="AU143" s="984">
        <f t="shared" ref="AU143" si="1217">IF(ISERROR(AU142/AQ142-1),"NA",AU142/AQ142-1)</f>
        <v>8.0000000000000293E-2</v>
      </c>
      <c r="AV143" s="984">
        <f t="shared" ref="AV143" si="1218">IF(ISERROR(AV142/AR142-1),"NA",AV142/AR142-1)</f>
        <v>2.6792300985849504E-3</v>
      </c>
      <c r="AW143" s="985">
        <f t="shared" ref="AW143" si="1219">IF(ISERROR(AW142/AS142-1),"NA",AW142/AS142-1)</f>
        <v>-7.1562106832760985E-2</v>
      </c>
      <c r="AX143" s="984">
        <f t="shared" ref="AX143" si="1220">IF(ISERROR(AX142/AT142-1),"NA",AX142/AT142-1)</f>
        <v>3.5673289183223211E-2</v>
      </c>
      <c r="AY143" s="984">
        <f t="shared" ref="AY143" si="1221">IF(ISERROR(AY142/AU142-1),"NA",AY142/AU142-1)</f>
        <v>-2.2499999999999964E-2</v>
      </c>
      <c r="AZ143" s="984">
        <f t="shared" ref="AZ143" si="1222">IF(ISERROR(AZ142/AV142-1),"NA",AZ142/AV142-1)</f>
        <v>-2.0408736568579444E-2</v>
      </c>
      <c r="BA143" s="985">
        <f t="shared" ref="BA143" si="1223">IF(ISERROR(BA142/AW142-1),"NA",BA142/AW142-1)</f>
        <v>3.3327935200992975E-3</v>
      </c>
      <c r="BB143" s="398"/>
      <c r="BC143" s="846"/>
      <c r="BD143" s="842" t="str">
        <f t="shared" ref="BD143" si="1224">IF(ISERROR(BD142/BB142-1),"NA",BD142/BB142-1)</f>
        <v>NA</v>
      </c>
      <c r="BE143" s="842">
        <f t="shared" ref="BE143" si="1225">IF(ISERROR(BE142/BD142-1),"NA",BE142/BD142-1)</f>
        <v>0.41273584905660377</v>
      </c>
      <c r="BF143" s="842">
        <f t="shared" ref="BF143" si="1226">IF(ISERROR(BF142/BE142-1),"NA",BF142/BE142-1)</f>
        <v>0.19532554257095169</v>
      </c>
      <c r="BG143" s="842">
        <f t="shared" ref="BG143" si="1227">IF(ISERROR(BG142/BF142-1),"NA",BG142/BF142-1)</f>
        <v>2.2346368715083775E-2</v>
      </c>
      <c r="BH143" s="842">
        <f t="shared" ref="BH143" si="1228">IF(ISERROR(BH142/BG142-1),"NA",BH142/BG142-1)</f>
        <v>3.1420765027322384E-2</v>
      </c>
      <c r="BI143" s="842">
        <f t="shared" ref="BI143" si="1229">IF(ISERROR(BI142/BH142-1),"NA",BI142/BH142-1)</f>
        <v>4.503311258278142E-2</v>
      </c>
      <c r="BJ143" s="842">
        <f t="shared" ref="BJ143" si="1230">IF(ISERROR(BJ142/BI142-1),"NA",BJ142/BI142-1)</f>
        <v>7.8580481622306797E-2</v>
      </c>
      <c r="BK143" s="842">
        <f t="shared" ref="BK143" si="1231">IF(ISERROR(BK142/BJ142-1),"NA",BK142/BJ142-1)</f>
        <v>0.42303172737955341</v>
      </c>
      <c r="BL143" s="842">
        <f t="shared" ref="BL143:BP143" si="1232">IF(ISERROR(BL142/BK142-1),"NA",BL142/BK142-1)</f>
        <v>0.300578034682081</v>
      </c>
      <c r="BM143" s="842">
        <f t="shared" si="1232"/>
        <v>6.1587301587301635E-2</v>
      </c>
      <c r="BN143" s="1187">
        <f t="shared" si="1232"/>
        <v>1.3270035885167397E-2</v>
      </c>
      <c r="BO143" s="1187">
        <f t="shared" si="1232"/>
        <v>3.3551186040505776E-3</v>
      </c>
      <c r="BP143" s="1187">
        <f t="shared" si="1232"/>
        <v>-2.7332639280953641E-3</v>
      </c>
      <c r="BR143" s="1425"/>
      <c r="BS143" s="1425"/>
      <c r="BT143" s="1425"/>
      <c r="BU143" s="1263"/>
    </row>
    <row r="144" spans="1:73" s="1014" customFormat="1" ht="12" customHeight="1">
      <c r="A144" s="1064" t="s">
        <v>291</v>
      </c>
      <c r="B144" s="999" t="str">
        <f t="shared" ref="B144" si="1233">IF(ISERROR(B142/A142-1),"NA",B142/A142-1)</f>
        <v>NA</v>
      </c>
      <c r="C144" s="987">
        <f t="shared" ref="C144" si="1234">IF(ISERROR(C142/B142-1),"NA",C142/B142-1)</f>
        <v>5.1546391752577359E-2</v>
      </c>
      <c r="D144" s="987">
        <f t="shared" ref="D144" si="1235">IF(ISERROR(D142/C142-1),"NA",D142/C142-1)</f>
        <v>4.9019607843137303E-2</v>
      </c>
      <c r="E144" s="998">
        <f t="shared" ref="E144" si="1236">IF(ISERROR(E142/D142-1),"NA",E142/D142-1)</f>
        <v>0.10280373831775691</v>
      </c>
      <c r="F144" s="999">
        <f t="shared" ref="F144" si="1237">IF(ISERROR(F142/E142-1),"NA",F142/E142-1)</f>
        <v>0.97457627118644075</v>
      </c>
      <c r="G144" s="987">
        <f t="shared" ref="G144" si="1238">IF(ISERROR(G142/F142-1),"NA",G142/F142-1)</f>
        <v>-0.51072961373390557</v>
      </c>
      <c r="H144" s="987">
        <f t="shared" ref="H144" si="1239">IF(ISERROR(H142/G142-1),"NA",H142/G142-1)</f>
        <v>9.6491228070175517E-2</v>
      </c>
      <c r="I144" s="998">
        <f t="shared" ref="I144" si="1240">IF(ISERROR(I142/H142-1),"NA",I142/H142-1)</f>
        <v>1.6000000000000014E-2</v>
      </c>
      <c r="J144" s="999">
        <f t="shared" ref="J144" si="1241">IF(ISERROR(J142/I142-1),"NA",J142/I142-1)</f>
        <v>0.96062992125984259</v>
      </c>
      <c r="K144" s="987">
        <f t="shared" ref="K144" si="1242">IF(ISERROR(K142/J142-1),"NA",K142/J142-1)</f>
        <v>-0.40963855421686746</v>
      </c>
      <c r="L144" s="987">
        <f t="shared" ref="L144" si="1243">IF(ISERROR(L142/K142-1),"NA",L142/K142-1)</f>
        <v>0.10884353741496589</v>
      </c>
      <c r="M144" s="998">
        <f t="shared" ref="M144" si="1244">IF(ISERROR(M142/L142-1),"NA",M142/L142-1)</f>
        <v>-3.6809815950920255E-2</v>
      </c>
      <c r="N144" s="999">
        <f t="shared" ref="N144" si="1245">IF(ISERROR(N142/M142-1),"NA",N142/M142-1)</f>
        <v>0.45222929936305722</v>
      </c>
      <c r="O144" s="987">
        <f t="shared" ref="O144" si="1246">IF(ISERROR(O142/N142-1),"NA",O142/N142-1)</f>
        <v>-0.32456140350877194</v>
      </c>
      <c r="P144" s="987">
        <f t="shared" ref="P144" si="1247">IF(ISERROR(P142/O142-1),"NA",P142/O142-1)</f>
        <v>0.17532467532467533</v>
      </c>
      <c r="Q144" s="998">
        <f t="shared" ref="Q144" si="1248">IF(ISERROR(Q142/P142-1),"NA",Q142/P142-1)</f>
        <v>-6.6298342541436517E-2</v>
      </c>
      <c r="R144" s="984">
        <f t="shared" ref="R144" si="1249">IF(ISERROR(R142/Q142-1),"NA",R142/Q142-1)</f>
        <v>0.41420118343195256</v>
      </c>
      <c r="S144" s="984">
        <f t="shared" ref="S144" si="1250">IF(ISERROR(S142/R142-1),"NA",S142/R142-1)</f>
        <v>-0.30962343096234313</v>
      </c>
      <c r="T144" s="984">
        <f t="shared" ref="T144" si="1251">IF(ISERROR(T142/S142-1),"NA",T142/S142-1)</f>
        <v>4.8484848484848575E-2</v>
      </c>
      <c r="U144" s="985">
        <f t="shared" ref="U144" si="1252">IF(ISERROR(U142/T142-1),"NA",U142/T142-1)</f>
        <v>2.8901734104046284E-2</v>
      </c>
      <c r="V144" s="984">
        <f t="shared" ref="V144:W144" si="1253">IF(ISERROR(V142/U142-1),"NA",V142/U142-1)</f>
        <v>0.35393258426966301</v>
      </c>
      <c r="W144" s="987">
        <f t="shared" si="1253"/>
        <v>-0.33609958506224069</v>
      </c>
      <c r="X144" s="984">
        <f t="shared" ref="X144" si="1254">IF(ISERROR(X142/W142-1),"NA",X142/W142-1)</f>
        <v>0.20625000000000004</v>
      </c>
      <c r="Y144" s="985">
        <f t="shared" ref="Y144:AE144" si="1255">IF(ISERROR(Y142/X142-1),"NA",Y142/X142-1)</f>
        <v>1.0362694300518172E-2</v>
      </c>
      <c r="Z144" s="1270">
        <f t="shared" si="1255"/>
        <v>0.36923076923076925</v>
      </c>
      <c r="AA144" s="987">
        <f t="shared" si="1255"/>
        <v>-0.36704119850187267</v>
      </c>
      <c r="AB144" s="984">
        <f t="shared" ref="AB144" si="1256">IF(ISERROR(AB142/AA142-1),"NA",AB142/AA142-1)</f>
        <v>0.18934911242603558</v>
      </c>
      <c r="AC144" s="985">
        <f t="shared" si="1255"/>
        <v>6.4676616915422924E-2</v>
      </c>
      <c r="AD144" s="984">
        <f t="shared" ref="AD144" si="1257">IF(ISERROR(AD142/AC142-1),"NA",AD142/AC142-1)</f>
        <v>0.75233644859813076</v>
      </c>
      <c r="AE144" s="987">
        <f t="shared" si="1255"/>
        <v>-0.39200000000000002</v>
      </c>
      <c r="AF144" s="984">
        <f t="shared" ref="AF144" si="1258">IF(ISERROR(AF142/AE142-1),"NA",AF142/AE142-1)</f>
        <v>0.2807017543859649</v>
      </c>
      <c r="AG144" s="985">
        <f t="shared" ref="AG144:AH144" si="1259">IF(ISERROR(AG142/AF142-1),"NA",AG142/AF142-1)</f>
        <v>8.2191780821917915E-2</v>
      </c>
      <c r="AH144" s="984">
        <f t="shared" si="1259"/>
        <v>0.47784810126582289</v>
      </c>
      <c r="AI144" s="984">
        <f t="shared" ref="AI144" si="1260">IF(ISERROR(AI142/AH142-1),"NA",AI142/AH142-1)</f>
        <v>-0.3768736616702355</v>
      </c>
      <c r="AJ144" s="984">
        <f t="shared" ref="AJ144" si="1261">IF(ISERROR(AJ142/AI142-1),"NA",AJ142/AI142-1)</f>
        <v>0.24742268041237114</v>
      </c>
      <c r="AK144" s="985">
        <f t="shared" ref="AK144:AQ144" si="1262">IF(ISERROR(AK142/AJ142-1),"NA",AK142/AJ142-1)</f>
        <v>0.25068870523415976</v>
      </c>
      <c r="AL144" s="984">
        <f t="shared" si="1262"/>
        <v>-0.27533039647577096</v>
      </c>
      <c r="AM144" s="984">
        <f t="shared" si="1262"/>
        <v>7.9027355623100259E-2</v>
      </c>
      <c r="AN144" s="984">
        <f t="shared" ref="AN144" si="1263">IF(ISERROR(AN142/AM142-1),"NA",AN142/AM142-1)</f>
        <v>0.3408450704225352</v>
      </c>
      <c r="AO144" s="985">
        <f t="shared" si="1262"/>
        <v>7.5630252100840289E-2</v>
      </c>
      <c r="AP144" s="984">
        <f t="shared" si="1262"/>
        <v>-0.3046875</v>
      </c>
      <c r="AQ144" s="984">
        <f t="shared" si="1262"/>
        <v>0.14606741573033699</v>
      </c>
      <c r="AR144" s="984">
        <f t="shared" ref="AR144" si="1264">IF(ISERROR(AR142/AQ142-1),"NA",AR142/AQ142-1)</f>
        <v>9.6397058823529003E-2</v>
      </c>
      <c r="AS144" s="985">
        <f t="shared" ref="AS144" si="1265">IF(ISERROR(AS142/AR142-1),"NA",AS142/AR142-1)</f>
        <v>7.9421232647039153E-2</v>
      </c>
      <c r="AT144" s="984">
        <f t="shared" ref="AT144" si="1266">IF(ISERROR(AT142/AS142-1),"NA",AT142/AS142-1)</f>
        <v>-0.24946801074851255</v>
      </c>
      <c r="AU144" s="984">
        <f t="shared" ref="AU144" si="1267">IF(ISERROR(AU142/AT142-1),"NA",AU142/AT142-1)</f>
        <v>0.21589403973509969</v>
      </c>
      <c r="AV144" s="984">
        <f t="shared" ref="AV144" si="1268">IF(ISERROR(AV142/AU142-1),"NA",AV142/AU142-1)</f>
        <v>1.7902369281045161E-2</v>
      </c>
      <c r="AW144" s="985">
        <f t="shared" ref="AW144" si="1269">IF(ISERROR(AW142/AV142-1),"NA",AW142/AV142-1)</f>
        <v>-5.0230921780869409E-4</v>
      </c>
      <c r="AX144" s="984">
        <f t="shared" ref="AX144" si="1270">IF(ISERROR(AX142/AW142-1),"NA",AX142/AW142-1)</f>
        <v>-0.16278090363843023</v>
      </c>
      <c r="AY144" s="984">
        <f t="shared" ref="AY144" si="1271">IF(ISERROR(AY142/AX142-1),"NA",AY142/AX142-1)</f>
        <v>0.14759783442748753</v>
      </c>
      <c r="AZ144" s="984">
        <f t="shared" ref="AZ144" si="1272">IF(ISERROR(AZ142/AY142-1),"NA",AZ142/AY142-1)</f>
        <v>2.0080069538471079E-2</v>
      </c>
      <c r="BA144" s="985">
        <f t="shared" ref="BA144" si="1273">IF(ISERROR(BA142/AZ142-1),"NA",BA142/AZ142-1)</f>
        <v>2.3721676218880328E-2</v>
      </c>
      <c r="BB144" s="398"/>
      <c r="BC144" s="846"/>
      <c r="BD144" s="989" t="s">
        <v>366</v>
      </c>
      <c r="BE144" s="989" t="s">
        <v>366</v>
      </c>
      <c r="BF144" s="989" t="s">
        <v>366</v>
      </c>
      <c r="BG144" s="841" t="s">
        <v>366</v>
      </c>
      <c r="BH144" s="841" t="s">
        <v>366</v>
      </c>
      <c r="BI144" s="989" t="s">
        <v>366</v>
      </c>
      <c r="BJ144" s="989" t="s">
        <v>366</v>
      </c>
      <c r="BK144" s="989" t="s">
        <v>366</v>
      </c>
      <c r="BL144" s="989" t="s">
        <v>366</v>
      </c>
      <c r="BM144" s="1046" t="s">
        <v>366</v>
      </c>
      <c r="BN144" s="1188" t="s">
        <v>366</v>
      </c>
      <c r="BO144" s="1188" t="s">
        <v>366</v>
      </c>
      <c r="BP144" s="1188" t="s">
        <v>366</v>
      </c>
      <c r="BR144" s="1425"/>
      <c r="BS144" s="1425"/>
      <c r="BT144" s="1425"/>
      <c r="BU144" s="1263"/>
    </row>
    <row r="145" spans="1:73" s="1014" customFormat="1" ht="12" customHeight="1">
      <c r="A145" s="1064" t="s">
        <v>153</v>
      </c>
      <c r="B145" s="1008">
        <f>+B142/B$6</f>
        <v>0.13604488078541374</v>
      </c>
      <c r="C145" s="1008">
        <f t="shared" ref="C145:E145" si="1274">+C142/C$6</f>
        <v>0.1105092091007584</v>
      </c>
      <c r="D145" s="1008">
        <f t="shared" si="1274"/>
        <v>4.6440972222222224E-2</v>
      </c>
      <c r="E145" s="1009">
        <f t="shared" si="1274"/>
        <v>0.15649867374005305</v>
      </c>
      <c r="F145" s="1008">
        <f>+F142/F$6</f>
        <v>0.2994858611825193</v>
      </c>
      <c r="G145" s="1008">
        <f t="shared" ref="G145:U145" si="1275">+G142/G$6</f>
        <v>0.11220472440944881</v>
      </c>
      <c r="H145" s="1008">
        <f t="shared" si="1275"/>
        <v>4.9193231011412833E-2</v>
      </c>
      <c r="I145" s="1009">
        <f t="shared" si="1275"/>
        <v>0.15083135391923991</v>
      </c>
      <c r="J145" s="1010">
        <f t="shared" si="1275"/>
        <v>0.27362637362637365</v>
      </c>
      <c r="K145" s="1008">
        <f t="shared" si="1275"/>
        <v>0.10978342046303212</v>
      </c>
      <c r="L145" s="1010">
        <f t="shared" si="1275"/>
        <v>5.5975274725274728E-2</v>
      </c>
      <c r="M145" s="1009">
        <f t="shared" si="1275"/>
        <v>0.18171296296296297</v>
      </c>
      <c r="N145" s="1008">
        <f t="shared" si="1275"/>
        <v>0.22440944881889763</v>
      </c>
      <c r="O145" s="1008">
        <f t="shared" si="1275"/>
        <v>0.10252996005326231</v>
      </c>
      <c r="P145" s="1008">
        <f t="shared" si="1275"/>
        <v>5.5317848410757944E-2</v>
      </c>
      <c r="Q145" s="1009">
        <f t="shared" si="1275"/>
        <v>0.17002012072434608</v>
      </c>
      <c r="R145" s="984">
        <f t="shared" si="1275"/>
        <v>0.20515021459227467</v>
      </c>
      <c r="S145" s="984">
        <f t="shared" si="1275"/>
        <v>9.7287735849056603E-2</v>
      </c>
      <c r="T145" s="984">
        <f t="shared" si="1275"/>
        <v>5.7628247834776818E-2</v>
      </c>
      <c r="U145" s="985">
        <f t="shared" si="1275"/>
        <v>9.8017621145374448E-2</v>
      </c>
      <c r="V145" s="984">
        <f t="shared" ref="V145:AN145" si="1276">+V142/V$6</f>
        <v>0.18216175359032502</v>
      </c>
      <c r="W145" s="987">
        <f t="shared" si="1276"/>
        <v>0.10152284263959391</v>
      </c>
      <c r="X145" s="984">
        <f t="shared" si="1276"/>
        <v>4.6249700455307935E-2</v>
      </c>
      <c r="Y145" s="985">
        <f t="shared" si="1276"/>
        <v>7.6142131979695438E-2</v>
      </c>
      <c r="Z145" s="1270">
        <f t="shared" ref="Z145:AA145" si="1277">+Z142/Z$6</f>
        <v>0.13303437967115098</v>
      </c>
      <c r="AA145" s="987">
        <f t="shared" si="1277"/>
        <v>6.3224841002618784E-2</v>
      </c>
      <c r="AB145" s="984">
        <f t="shared" si="1276"/>
        <v>3.5688920454545463E-2</v>
      </c>
      <c r="AC145" s="985">
        <f t="shared" ref="AC145" si="1278">+AC142/AC$6</f>
        <v>8.8649544324772164E-2</v>
      </c>
      <c r="AD145" s="984">
        <f t="shared" si="1276"/>
        <v>0.14439738159414708</v>
      </c>
      <c r="AE145" s="987">
        <f t="shared" si="1276"/>
        <v>7.4975337060177574E-2</v>
      </c>
      <c r="AF145" s="984">
        <f t="shared" si="1276"/>
        <v>4.8521103356596873E-2</v>
      </c>
      <c r="AG145" s="985">
        <f t="shared" si="1276"/>
        <v>0.11651917404129794</v>
      </c>
      <c r="AH145" s="984">
        <f t="shared" ref="AH145" si="1279">+AH142/AH$6</f>
        <v>0.15681665547347212</v>
      </c>
      <c r="AI145" s="984">
        <f t="shared" si="1276"/>
        <v>8.5942114589486113E-2</v>
      </c>
      <c r="AJ145" s="984">
        <f t="shared" si="1276"/>
        <v>5.3881549651180055E-2</v>
      </c>
      <c r="AK145" s="985">
        <f t="shared" si="1276"/>
        <v>0.14258793969849246</v>
      </c>
      <c r="AL145" s="984">
        <f t="shared" si="1276"/>
        <v>0.10021321961620469</v>
      </c>
      <c r="AM145" s="984">
        <f t="shared" ref="AM145" si="1280">+AM142/AM$6</f>
        <v>8.9578602069139535E-2</v>
      </c>
      <c r="AN145" s="984">
        <f t="shared" si="1276"/>
        <v>6.1387670879546039E-2</v>
      </c>
      <c r="AO145" s="985">
        <f t="shared" ref="AO145:AQ145" si="1281">+AO142/AO$6</f>
        <v>0.13364656747585488</v>
      </c>
      <c r="AP145" s="984">
        <f t="shared" si="1281"/>
        <v>9.1634491634491638E-2</v>
      </c>
      <c r="AQ145" s="984">
        <f t="shared" si="1281"/>
        <v>8.7723070307460765E-2</v>
      </c>
      <c r="AR145" s="984">
        <f t="shared" ref="AR145:AS145" si="1282">+AR142/AR$6</f>
        <v>5.2697922029269935E-2</v>
      </c>
      <c r="AS145" s="985">
        <f t="shared" si="1282"/>
        <v>0.11354333291594429</v>
      </c>
      <c r="AT145" s="984">
        <f t="shared" ref="AT145:AW145" si="1283">+AT142/AT$6</f>
        <v>8.2041065809431088E-2</v>
      </c>
      <c r="AU145" s="984">
        <f t="shared" si="1283"/>
        <v>8.3119311567319942E-2</v>
      </c>
      <c r="AV145" s="984">
        <f t="shared" si="1283"/>
        <v>4.8211930756236539E-2</v>
      </c>
      <c r="AW145" s="985">
        <f t="shared" si="1283"/>
        <v>9.4469631376045513E-2</v>
      </c>
      <c r="AX145" s="984">
        <f t="shared" ref="AX145:BA145" si="1284">+AX142/AX$6</f>
        <v>7.5390815660814695E-2</v>
      </c>
      <c r="AY145" s="984">
        <f t="shared" si="1284"/>
        <v>7.1512938976849239E-2</v>
      </c>
      <c r="AZ145" s="984">
        <f t="shared" si="1284"/>
        <v>4.2918722628835844E-2</v>
      </c>
      <c r="BA145" s="985">
        <f t="shared" si="1284"/>
        <v>8.4344284339477313E-2</v>
      </c>
      <c r="BB145" s="398"/>
      <c r="BC145" s="846"/>
      <c r="BD145" s="1011">
        <f t="shared" ref="BD145:BE145" si="1285">+BD142/BD$6</f>
        <v>9.0328078397954842E-2</v>
      </c>
      <c r="BE145" s="1011">
        <f t="shared" si="1285"/>
        <v>0.11570407571952869</v>
      </c>
      <c r="BF145" s="1017">
        <f>+BF142/BF$6</f>
        <v>0.11883817427385893</v>
      </c>
      <c r="BG145" s="1017">
        <f>+BG142/BG$6</f>
        <v>0.10790094339622641</v>
      </c>
      <c r="BH145" s="1017">
        <f>+BH142/BH$6</f>
        <v>9.8320093762208627E-2</v>
      </c>
      <c r="BI145" s="1017">
        <f t="shared" ref="BI145:BM145" si="1286">+BI142/BI$6</f>
        <v>8.1905948302709433E-2</v>
      </c>
      <c r="BJ145" s="1017">
        <f t="shared" si="1286"/>
        <v>6.687097281156687E-2</v>
      </c>
      <c r="BK145" s="1017">
        <f t="shared" si="1286"/>
        <v>8.4284521158129178E-2</v>
      </c>
      <c r="BL145" s="1017">
        <f t="shared" si="1286"/>
        <v>9.671476819158735E-2</v>
      </c>
      <c r="BM145" s="1062">
        <f t="shared" si="1286"/>
        <v>8.8789761563379532E-2</v>
      </c>
      <c r="BN145" s="1368">
        <f t="shared" ref="BN145:BO145" si="1287">+BN142/BN$6</f>
        <v>7.9624560518367138E-2</v>
      </c>
      <c r="BO145" s="1368">
        <f t="shared" si="1287"/>
        <v>7.1521335995299778E-2</v>
      </c>
      <c r="BP145" s="1368">
        <f t="shared" ref="BP145" si="1288">+BP142/BP$6</f>
        <v>6.3798127900448393E-2</v>
      </c>
      <c r="BR145" s="1425"/>
      <c r="BS145" s="1425"/>
      <c r="BT145" s="1425"/>
      <c r="BU145" s="1263"/>
    </row>
    <row r="146" spans="1:73" s="1014" customFormat="1" ht="12" customHeight="1">
      <c r="A146" s="1064" t="s">
        <v>370</v>
      </c>
      <c r="B146" s="1008">
        <f t="shared" ref="B146:W146" si="1289">+B142/B135</f>
        <v>0.25661375661375663</v>
      </c>
      <c r="C146" s="1008">
        <f t="shared" si="1289"/>
        <v>0.26020408163265307</v>
      </c>
      <c r="D146" s="1008">
        <f t="shared" si="1289"/>
        <v>0.27720207253886009</v>
      </c>
      <c r="E146" s="1009">
        <f t="shared" si="1289"/>
        <v>0.28921568627450983</v>
      </c>
      <c r="F146" s="1008">
        <f t="shared" si="1289"/>
        <v>0.43551401869158879</v>
      </c>
      <c r="G146" s="1008">
        <f t="shared" si="1289"/>
        <v>0.28860759493670884</v>
      </c>
      <c r="H146" s="1008">
        <f t="shared" si="1289"/>
        <v>0.32299741602067183</v>
      </c>
      <c r="I146" s="1009">
        <f t="shared" si="1289"/>
        <v>0.31829573934837091</v>
      </c>
      <c r="J146" s="1010">
        <f t="shared" si="1289"/>
        <v>0.44703770197486536</v>
      </c>
      <c r="K146" s="1008">
        <f t="shared" si="1289"/>
        <v>0.34345794392523366</v>
      </c>
      <c r="L146" s="1010">
        <f t="shared" si="1289"/>
        <v>0.37995337995337997</v>
      </c>
      <c r="M146" s="1009">
        <f t="shared" si="1289"/>
        <v>0.35600907029478457</v>
      </c>
      <c r="N146" s="1008">
        <f t="shared" si="1289"/>
        <v>0.42458100558659218</v>
      </c>
      <c r="O146" s="1008">
        <f t="shared" si="1289"/>
        <v>0.35079726651480636</v>
      </c>
      <c r="P146" s="1008">
        <f t="shared" si="1289"/>
        <v>0.40401785714285715</v>
      </c>
      <c r="Q146" s="1009">
        <f t="shared" si="1289"/>
        <v>0.37892376681614348</v>
      </c>
      <c r="R146" s="984">
        <f t="shared" si="1289"/>
        <v>0.43853211009174314</v>
      </c>
      <c r="S146" s="984">
        <f t="shared" si="1289"/>
        <v>0.3724604966139955</v>
      </c>
      <c r="T146" s="984">
        <f t="shared" si="1289"/>
        <v>0.4099526066350711</v>
      </c>
      <c r="U146" s="985">
        <f t="shared" si="1289"/>
        <v>0.388646288209607</v>
      </c>
      <c r="V146" s="984">
        <f t="shared" si="1289"/>
        <v>0.43035714285714288</v>
      </c>
      <c r="W146" s="987">
        <f t="shared" si="1289"/>
        <v>0.3686635944700461</v>
      </c>
      <c r="X146" s="984">
        <f t="shared" ref="X146:AN146" si="1290">1-X152</f>
        <v>0.41774891774891776</v>
      </c>
      <c r="Y146" s="985">
        <f t="shared" si="1290"/>
        <v>0.4045643153526971</v>
      </c>
      <c r="Z146" s="1270">
        <f t="shared" ref="Z146" si="1291">1-Z152</f>
        <v>0.44648829431438131</v>
      </c>
      <c r="AA146" s="987">
        <f>+AA142/AA135</f>
        <v>0.36739130434782608</v>
      </c>
      <c r="AB146" s="1015">
        <f t="shared" si="1290"/>
        <v>0.42315789473684207</v>
      </c>
      <c r="AC146" s="985">
        <f t="shared" ref="AC146" si="1292">1-AC152</f>
        <v>0.43762781186094069</v>
      </c>
      <c r="AD146" s="1015">
        <f t="shared" si="1290"/>
        <v>0.58685446009389675</v>
      </c>
      <c r="AE146" s="987">
        <f>+AE142/AE135</f>
        <v>0.45059288537549408</v>
      </c>
      <c r="AF146" s="1015">
        <f t="shared" si="1290"/>
        <v>0.52802893309222421</v>
      </c>
      <c r="AG146" s="1016">
        <f t="shared" si="1290"/>
        <v>0.54388984509466431</v>
      </c>
      <c r="AH146" s="1015">
        <f t="shared" ref="AH146" si="1293">1-AH152</f>
        <v>0.64325068870523416</v>
      </c>
      <c r="AI146" s="1015">
        <f t="shared" si="1290"/>
        <v>0.52244165170556556</v>
      </c>
      <c r="AJ146" s="1015">
        <f t="shared" si="1290"/>
        <v>0.57345971563981046</v>
      </c>
      <c r="AK146" s="1016">
        <f t="shared" si="1290"/>
        <v>0.62620689655172412</v>
      </c>
      <c r="AL146" s="1015">
        <f t="shared" si="1290"/>
        <v>0.54742096505823623</v>
      </c>
      <c r="AM146" s="1015">
        <f t="shared" ref="AM146" si="1294">1-AM152</f>
        <v>0.56082148499210116</v>
      </c>
      <c r="AN146" s="1015">
        <f t="shared" si="1290"/>
        <v>0.63806970509383376</v>
      </c>
      <c r="AO146" s="1016">
        <f t="shared" ref="AO146:AQ146" si="1295">1-AO152</f>
        <v>0.64402515723270448</v>
      </c>
      <c r="AP146" s="1015">
        <f t="shared" si="1295"/>
        <v>0.55625000000000002</v>
      </c>
      <c r="AQ146" s="1015">
        <f t="shared" si="1295"/>
        <v>0.58536585365853666</v>
      </c>
      <c r="AR146" s="1015">
        <f t="shared" ref="AR146:AS146" si="1296">1-AR152</f>
        <v>0.59665479572646141</v>
      </c>
      <c r="AS146" s="1016">
        <f t="shared" si="1296"/>
        <v>0.60585329130005161</v>
      </c>
      <c r="AT146" s="1015">
        <f t="shared" ref="AT146:AW146" si="1297">1-AT152</f>
        <v>0.56064356435643559</v>
      </c>
      <c r="AU146" s="1015">
        <f t="shared" si="1297"/>
        <v>0.58536585365853666</v>
      </c>
      <c r="AV146" s="1015">
        <f t="shared" si="1297"/>
        <v>0.56976511544155883</v>
      </c>
      <c r="AW146" s="1016">
        <f t="shared" si="1297"/>
        <v>0.56249715334305739</v>
      </c>
      <c r="AX146" s="1015">
        <f t="shared" ref="AX146:BA146" si="1298">1-AX152</f>
        <v>0.56925839642787812</v>
      </c>
      <c r="AY146" s="1015">
        <f t="shared" si="1298"/>
        <v>0.56097560975609762</v>
      </c>
      <c r="AZ146" s="1015">
        <f t="shared" si="1298"/>
        <v>0.53667012432167871</v>
      </c>
      <c r="BA146" s="1016">
        <f t="shared" si="1298"/>
        <v>0.53749699067694623</v>
      </c>
      <c r="BB146" s="398"/>
      <c r="BC146" s="846"/>
      <c r="BD146" s="1011">
        <f t="shared" ref="BD146:BP146" si="1299">+BD142/BD135</f>
        <v>0.2710997442455243</v>
      </c>
      <c r="BE146" s="1011">
        <f t="shared" si="1299"/>
        <v>0.34906759906759904</v>
      </c>
      <c r="BF146" s="1017">
        <f t="shared" si="1299"/>
        <v>0.38598382749326143</v>
      </c>
      <c r="BG146" s="1017">
        <f t="shared" si="1299"/>
        <v>0.39144385026737966</v>
      </c>
      <c r="BH146" s="1017">
        <f t="shared" si="1299"/>
        <v>0.40417558886509636</v>
      </c>
      <c r="BI146" s="1017">
        <f t="shared" si="1299"/>
        <v>0.40712074303405571</v>
      </c>
      <c r="BJ146" s="1017">
        <f t="shared" si="1299"/>
        <v>0.4208704253214639</v>
      </c>
      <c r="BK146" s="1017">
        <f t="shared" si="1299"/>
        <v>0.53137340939008337</v>
      </c>
      <c r="BL146" s="1062">
        <f t="shared" si="1299"/>
        <v>0.59636501325255586</v>
      </c>
      <c r="BM146" s="1062">
        <f t="shared" si="1299"/>
        <v>0.60252252252252247</v>
      </c>
      <c r="BN146" s="1368">
        <f t="shared" si="1299"/>
        <v>0.58750120287441465</v>
      </c>
      <c r="BO146" s="1368">
        <f t="shared" si="1299"/>
        <v>0.56978353965523476</v>
      </c>
      <c r="BP146" s="1368">
        <f t="shared" si="1299"/>
        <v>0.54991845510299064</v>
      </c>
      <c r="BR146" s="1425"/>
      <c r="BS146" s="1425"/>
      <c r="BT146" s="1425"/>
      <c r="BU146" s="1263"/>
    </row>
    <row r="147" spans="1:73" s="1014" customFormat="1" ht="12" customHeight="1">
      <c r="A147" s="1098"/>
      <c r="B147" s="1008"/>
      <c r="C147" s="1008"/>
      <c r="D147" s="1008"/>
      <c r="E147" s="1009"/>
      <c r="F147" s="1008"/>
      <c r="G147" s="1008"/>
      <c r="H147" s="1008"/>
      <c r="I147" s="1009"/>
      <c r="J147" s="1010"/>
      <c r="K147" s="1008"/>
      <c r="L147" s="1010"/>
      <c r="M147" s="1009"/>
      <c r="N147" s="1008"/>
      <c r="O147" s="1008"/>
      <c r="P147" s="1008"/>
      <c r="Q147" s="1009"/>
      <c r="R147" s="984"/>
      <c r="S147" s="984"/>
      <c r="T147" s="984"/>
      <c r="U147" s="985"/>
      <c r="V147" s="984"/>
      <c r="W147" s="987"/>
      <c r="X147" s="984"/>
      <c r="Y147" s="985"/>
      <c r="Z147" s="1270"/>
      <c r="AA147" s="1015"/>
      <c r="AB147" s="1015"/>
      <c r="AC147" s="1016"/>
      <c r="AD147" s="1015"/>
      <c r="AE147" s="1015"/>
      <c r="AF147" s="1015"/>
      <c r="AG147" s="1016"/>
      <c r="AH147" s="1015"/>
      <c r="AI147" s="1015"/>
      <c r="AJ147" s="1015"/>
      <c r="AK147" s="1016"/>
      <c r="AL147" s="1015"/>
      <c r="AM147" s="1015"/>
      <c r="AN147" s="1015"/>
      <c r="AO147" s="1016"/>
      <c r="AP147" s="1015"/>
      <c r="AQ147" s="1015"/>
      <c r="AR147" s="1015"/>
      <c r="AS147" s="1016"/>
      <c r="AT147" s="1015"/>
      <c r="AU147" s="1015"/>
      <c r="AV147" s="1015"/>
      <c r="AW147" s="1016"/>
      <c r="AX147" s="1015"/>
      <c r="AY147" s="1015"/>
      <c r="AZ147" s="1015"/>
      <c r="BA147" s="1016"/>
      <c r="BB147" s="398"/>
      <c r="BC147" s="846"/>
      <c r="BD147" s="1011"/>
      <c r="BE147" s="1011"/>
      <c r="BF147" s="1017"/>
      <c r="BG147" s="1017"/>
      <c r="BH147" s="1017"/>
      <c r="BI147" s="1017"/>
      <c r="BJ147" s="1017"/>
      <c r="BK147" s="1017"/>
      <c r="BL147" s="1062"/>
      <c r="BM147" s="1062"/>
      <c r="BN147" s="1368"/>
      <c r="BO147" s="1368"/>
      <c r="BP147" s="1368"/>
      <c r="BR147" s="1425"/>
      <c r="BS147" s="1425"/>
      <c r="BT147" s="1425"/>
      <c r="BU147" s="1263"/>
    </row>
    <row r="148" spans="1:73" s="492" customFormat="1" ht="12" customHeight="1">
      <c r="A148" s="1896" t="s">
        <v>65</v>
      </c>
      <c r="B148" s="1897">
        <v>281</v>
      </c>
      <c r="C148" s="1897">
        <v>290</v>
      </c>
      <c r="D148" s="1897">
        <v>279</v>
      </c>
      <c r="E148" s="1898">
        <v>290</v>
      </c>
      <c r="F148" s="1899">
        <v>302</v>
      </c>
      <c r="G148" s="1899">
        <v>281</v>
      </c>
      <c r="H148" s="1899">
        <v>262</v>
      </c>
      <c r="I148" s="1900">
        <v>272</v>
      </c>
      <c r="J148" s="1899">
        <v>308</v>
      </c>
      <c r="K148" s="1899">
        <v>281</v>
      </c>
      <c r="L148" s="1899">
        <v>266</v>
      </c>
      <c r="M148" s="1900">
        <v>284</v>
      </c>
      <c r="N148" s="1899">
        <v>309</v>
      </c>
      <c r="O148" s="1899">
        <v>285</v>
      </c>
      <c r="P148" s="1899">
        <v>267</v>
      </c>
      <c r="Q148" s="1900">
        <v>277</v>
      </c>
      <c r="R148" s="1899">
        <v>306</v>
      </c>
      <c r="S148" s="1899">
        <v>278</v>
      </c>
      <c r="T148" s="1899">
        <v>249</v>
      </c>
      <c r="U148" s="1900">
        <v>280</v>
      </c>
      <c r="V148" s="1952">
        <v>319</v>
      </c>
      <c r="W148" s="1952">
        <v>274</v>
      </c>
      <c r="X148" s="1952">
        <v>269</v>
      </c>
      <c r="Y148" s="1953">
        <v>287</v>
      </c>
      <c r="Z148" s="1952">
        <v>331</v>
      </c>
      <c r="AA148" s="1952">
        <v>291</v>
      </c>
      <c r="AB148" s="1952">
        <v>274</v>
      </c>
      <c r="AC148" s="1953">
        <v>275</v>
      </c>
      <c r="AD148" s="1952">
        <v>264</v>
      </c>
      <c r="AE148" s="1952">
        <v>278</v>
      </c>
      <c r="AF148" s="1952">
        <v>261</v>
      </c>
      <c r="AG148" s="1953">
        <v>265</v>
      </c>
      <c r="AH148" s="1952">
        <v>259</v>
      </c>
      <c r="AI148" s="1952">
        <v>266</v>
      </c>
      <c r="AJ148" s="1952">
        <v>270</v>
      </c>
      <c r="AK148" s="1953">
        <v>271</v>
      </c>
      <c r="AL148" s="1958">
        <v>272</v>
      </c>
      <c r="AM148" s="1958">
        <v>278</v>
      </c>
      <c r="AN148" s="1952">
        <v>270</v>
      </c>
      <c r="AO148" s="1953">
        <v>283</v>
      </c>
      <c r="AP148" s="1958">
        <v>284</v>
      </c>
      <c r="AQ148" s="1958">
        <v>289</v>
      </c>
      <c r="AR148" s="1905">
        <f t="shared" ref="AR148" si="1300">AN148*(1+AR149)</f>
        <v>302.40000000000003</v>
      </c>
      <c r="AS148" s="1906">
        <f t="shared" ref="AS148" si="1301">AO148*(1+AS149)</f>
        <v>314.13000000000005</v>
      </c>
      <c r="AT148" s="1905">
        <f t="shared" ref="AT148" si="1302">AP148*(1+AT149)</f>
        <v>284</v>
      </c>
      <c r="AU148" s="1905">
        <f t="shared" ref="AU148" si="1303">AQ148*(1+AU149)</f>
        <v>312.12</v>
      </c>
      <c r="AV148" s="1905">
        <f t="shared" ref="AV148" si="1304">AR148*(1+AV149)</f>
        <v>338.68800000000005</v>
      </c>
      <c r="AW148" s="1906">
        <f t="shared" ref="AW148" si="1305">AS148*(1+AW149)</f>
        <v>348.68430000000006</v>
      </c>
      <c r="AX148" s="1905">
        <f t="shared" ref="AX148" si="1306">AT148*(1+AX149)</f>
        <v>284</v>
      </c>
      <c r="AY148" s="1905">
        <f t="shared" ref="AY148" si="1307">AU148*(1+AY149)</f>
        <v>337.08960000000002</v>
      </c>
      <c r="AZ148" s="1905">
        <f t="shared" ref="AZ148" si="1308">AV148*(1+AZ149)</f>
        <v>379.3305600000001</v>
      </c>
      <c r="BA148" s="1906">
        <f t="shared" ref="BA148" si="1309">AW148*(1+BA149)</f>
        <v>387.03957300000013</v>
      </c>
      <c r="BB148" s="398"/>
      <c r="BC148" s="1909"/>
      <c r="BD148" s="1903">
        <f>SUM(B148:E148)</f>
        <v>1140</v>
      </c>
      <c r="BE148" s="1903">
        <f>SUM(F148:I148)</f>
        <v>1117</v>
      </c>
      <c r="BF148" s="1903">
        <f>SUM(J148:M148)</f>
        <v>1139</v>
      </c>
      <c r="BG148" s="1903">
        <f>SUM(N148:Q148)</f>
        <v>1138</v>
      </c>
      <c r="BH148" s="1903">
        <f>SUM(R148:U148)</f>
        <v>1113</v>
      </c>
      <c r="BI148" s="1903">
        <f>SUM(V148:Y148)</f>
        <v>1149</v>
      </c>
      <c r="BJ148" s="1903">
        <f>SUM(Z148:AC148)</f>
        <v>1171</v>
      </c>
      <c r="BK148" s="1903">
        <f>SUM(AD148:AG148)</f>
        <v>1068</v>
      </c>
      <c r="BL148" s="1903">
        <f>SUM(AH148:AK148)</f>
        <v>1066</v>
      </c>
      <c r="BM148" s="1903">
        <f>SUM(AL148:AO148)</f>
        <v>1103</v>
      </c>
      <c r="BN148" s="1904">
        <f>SUM(AP148:AS148)</f>
        <v>1189.5300000000002</v>
      </c>
      <c r="BO148" s="1904">
        <f>SUM(AT148:AW148)</f>
        <v>1283.4923000000001</v>
      </c>
      <c r="BP148" s="1904">
        <f>SUM(AX148:BA148)</f>
        <v>1387.4597330000001</v>
      </c>
      <c r="BR148" s="1429"/>
      <c r="BS148" s="1429"/>
      <c r="BT148" s="1429"/>
      <c r="BU148" s="1696"/>
    </row>
    <row r="149" spans="1:73" s="1014" customFormat="1" ht="12" customHeight="1">
      <c r="A149" s="1064" t="s">
        <v>181</v>
      </c>
      <c r="B149" s="999" t="str">
        <f t="shared" ref="B149:D149" si="1310">IF(ISERROR(B148/#REF!-1),"NA",B148/#REF!-1)</f>
        <v>NA</v>
      </c>
      <c r="C149" s="987" t="str">
        <f t="shared" si="1310"/>
        <v>NA</v>
      </c>
      <c r="D149" s="987" t="str">
        <f t="shared" si="1310"/>
        <v>NA</v>
      </c>
      <c r="E149" s="998" t="str">
        <f t="shared" ref="E149" si="1311">IF(ISERROR(E148/A148-1),"NA",E148/A148-1)</f>
        <v>NA</v>
      </c>
      <c r="F149" s="999">
        <f t="shared" ref="F149" si="1312">IF(ISERROR(F148/B148-1),"NA",F148/B148-1)</f>
        <v>7.4733096085409345E-2</v>
      </c>
      <c r="G149" s="987">
        <f t="shared" ref="G149" si="1313">IF(ISERROR(G148/C148-1),"NA",G148/C148-1)</f>
        <v>-3.1034482758620641E-2</v>
      </c>
      <c r="H149" s="987">
        <f t="shared" ref="H149" si="1314">IF(ISERROR(H148/D148-1),"NA",H148/D148-1)</f>
        <v>-6.0931899641577081E-2</v>
      </c>
      <c r="I149" s="998">
        <f t="shared" ref="I149" si="1315">IF(ISERROR(I148/E148-1),"NA",I148/E148-1)</f>
        <v>-6.2068965517241392E-2</v>
      </c>
      <c r="J149" s="999">
        <f t="shared" ref="J149" si="1316">IF(ISERROR(J148/F148-1),"NA",J148/F148-1)</f>
        <v>1.9867549668874274E-2</v>
      </c>
      <c r="K149" s="987">
        <f t="shared" ref="K149" si="1317">IF(ISERROR(K148/G148-1),"NA",K148/G148-1)</f>
        <v>0</v>
      </c>
      <c r="L149" s="987">
        <f t="shared" ref="L149" si="1318">IF(ISERROR(L148/H148-1),"NA",L148/H148-1)</f>
        <v>1.5267175572519109E-2</v>
      </c>
      <c r="M149" s="998">
        <f t="shared" ref="M149" si="1319">IF(ISERROR(M148/I148-1),"NA",M148/I148-1)</f>
        <v>4.4117647058823595E-2</v>
      </c>
      <c r="N149" s="999">
        <f t="shared" ref="N149" si="1320">IF(ISERROR(N148/J148-1),"NA",N148/J148-1)</f>
        <v>3.2467532467532756E-3</v>
      </c>
      <c r="O149" s="987">
        <f t="shared" ref="O149" si="1321">IF(ISERROR(O148/K148-1),"NA",O148/K148-1)</f>
        <v>1.4234875444839812E-2</v>
      </c>
      <c r="P149" s="987">
        <f t="shared" ref="P149" si="1322">IF(ISERROR(P148/L148-1),"NA",P148/L148-1)</f>
        <v>3.759398496240518E-3</v>
      </c>
      <c r="Q149" s="998">
        <f t="shared" ref="Q149" si="1323">IF(ISERROR(Q148/M148-1),"NA",Q148/M148-1)</f>
        <v>-2.4647887323943629E-2</v>
      </c>
      <c r="R149" s="984">
        <f t="shared" ref="R149" si="1324">IF(ISERROR(R148/N148-1),"NA",R148/N148-1)</f>
        <v>-9.7087378640776656E-3</v>
      </c>
      <c r="S149" s="984">
        <f t="shared" ref="S149" si="1325">IF(ISERROR(S148/O148-1),"NA",S148/O148-1)</f>
        <v>-2.4561403508771895E-2</v>
      </c>
      <c r="T149" s="984">
        <f t="shared" ref="T149" si="1326">IF(ISERROR(T148/P148-1),"NA",T148/P148-1)</f>
        <v>-6.7415730337078705E-2</v>
      </c>
      <c r="U149" s="985">
        <f t="shared" ref="U149" si="1327">IF(ISERROR(U148/Q148-1),"NA",U148/Q148-1)</f>
        <v>1.0830324909747224E-2</v>
      </c>
      <c r="V149" s="984">
        <f t="shared" ref="V149:X149" si="1328">IF(ISERROR(V148/R148-1),"NA",V148/R148-1)</f>
        <v>4.2483660130719025E-2</v>
      </c>
      <c r="W149" s="984">
        <f t="shared" si="1328"/>
        <v>-1.4388489208633115E-2</v>
      </c>
      <c r="X149" s="984">
        <f t="shared" si="1328"/>
        <v>8.032128514056236E-2</v>
      </c>
      <c r="Y149" s="985">
        <f t="shared" ref="Y149:AI149" si="1329">IF(ISERROR(Y148/U148-1),"NA",Y148/U148-1)</f>
        <v>2.4999999999999911E-2</v>
      </c>
      <c r="Z149" s="1270">
        <f t="shared" si="1329"/>
        <v>3.7617554858934144E-2</v>
      </c>
      <c r="AA149" s="984">
        <f t="shared" si="1329"/>
        <v>6.2043795620438047E-2</v>
      </c>
      <c r="AB149" s="984">
        <f t="shared" si="1329"/>
        <v>1.8587360594795488E-2</v>
      </c>
      <c r="AC149" s="985">
        <f t="shared" si="1329"/>
        <v>-4.181184668989546E-2</v>
      </c>
      <c r="AD149" s="1270">
        <f t="shared" si="1329"/>
        <v>-0.202416918429003</v>
      </c>
      <c r="AE149" s="984">
        <f t="shared" si="1329"/>
        <v>-4.4673539518900296E-2</v>
      </c>
      <c r="AF149" s="984">
        <f t="shared" si="1329"/>
        <v>-4.7445255474452552E-2</v>
      </c>
      <c r="AG149" s="985">
        <f t="shared" si="1329"/>
        <v>-3.6363636363636376E-2</v>
      </c>
      <c r="AH149" s="1270">
        <f t="shared" si="1329"/>
        <v>-1.8939393939393923E-2</v>
      </c>
      <c r="AI149" s="984">
        <f t="shared" si="1329"/>
        <v>-4.3165467625899234E-2</v>
      </c>
      <c r="AJ149" s="984">
        <f t="shared" ref="AJ149" si="1330">IF(ISERROR(AJ148/AF148-1),"NA",AJ148/AF148-1)</f>
        <v>3.4482758620689724E-2</v>
      </c>
      <c r="AK149" s="985">
        <f t="shared" ref="AK149:AQ149" si="1331">IF(ISERROR(AK148/AG148-1),"NA",AK148/AG148-1)</f>
        <v>2.2641509433962259E-2</v>
      </c>
      <c r="AL149" s="1270">
        <f t="shared" si="1331"/>
        <v>5.0193050193050093E-2</v>
      </c>
      <c r="AM149" s="984">
        <f t="shared" si="1331"/>
        <v>4.5112781954887327E-2</v>
      </c>
      <c r="AN149" s="984">
        <f t="shared" si="1331"/>
        <v>0</v>
      </c>
      <c r="AO149" s="985">
        <f t="shared" si="1331"/>
        <v>4.4280442804428111E-2</v>
      </c>
      <c r="AP149" s="1270">
        <f t="shared" si="1331"/>
        <v>4.4117647058823595E-2</v>
      </c>
      <c r="AQ149" s="984">
        <f t="shared" si="1331"/>
        <v>3.9568345323740983E-2</v>
      </c>
      <c r="AR149" s="1506">
        <v>0.12</v>
      </c>
      <c r="AS149" s="1507">
        <v>0.11</v>
      </c>
      <c r="AT149" s="1506">
        <v>0</v>
      </c>
      <c r="AU149" s="1506">
        <v>0.08</v>
      </c>
      <c r="AV149" s="1506">
        <v>0.12</v>
      </c>
      <c r="AW149" s="1507">
        <v>0.11</v>
      </c>
      <c r="AX149" s="1506">
        <v>0</v>
      </c>
      <c r="AY149" s="1506">
        <v>0.08</v>
      </c>
      <c r="AZ149" s="1506">
        <v>0.12</v>
      </c>
      <c r="BA149" s="1507">
        <v>0.11</v>
      </c>
      <c r="BB149" s="398"/>
      <c r="BC149" s="846"/>
      <c r="BD149" s="842" t="str">
        <f t="shared" ref="BD149" si="1332">IF(ISERROR(BD148/BB148-1),"NA",BD148/BB148-1)</f>
        <v>NA</v>
      </c>
      <c r="BE149" s="842">
        <f t="shared" ref="BE149" si="1333">IF(ISERROR(BE148/BD148-1),"NA",BE148/BD148-1)</f>
        <v>-2.017543859649118E-2</v>
      </c>
      <c r="BF149" s="842">
        <f t="shared" ref="BF149" si="1334">IF(ISERROR(BF148/BE148-1),"NA",BF148/BE148-1)</f>
        <v>1.9695613249776089E-2</v>
      </c>
      <c r="BG149" s="842">
        <f t="shared" ref="BG149" si="1335">IF(ISERROR(BG148/BF148-1),"NA",BG148/BF148-1)</f>
        <v>-8.779631255487752E-4</v>
      </c>
      <c r="BH149" s="842">
        <f t="shared" ref="BH149" si="1336">IF(ISERROR(BH148/BG148-1),"NA",BH148/BG148-1)</f>
        <v>-2.196836555360282E-2</v>
      </c>
      <c r="BI149" s="842">
        <f t="shared" ref="BI149" si="1337">IF(ISERROR(BI148/BH148-1),"NA",BI148/BH148-1)</f>
        <v>3.2345013477088846E-2</v>
      </c>
      <c r="BJ149" s="842">
        <f t="shared" ref="BJ149" si="1338">IF(ISERROR(BJ148/BI148-1),"NA",BJ148/BI148-1)</f>
        <v>1.9147084421235805E-2</v>
      </c>
      <c r="BK149" s="842">
        <f t="shared" ref="BK149" si="1339">IF(ISERROR(BK148/BJ148-1),"NA",BK148/BJ148-1)</f>
        <v>-8.7959009393680621E-2</v>
      </c>
      <c r="BL149" s="842">
        <f t="shared" ref="BL149:BP149" si="1340">IF(ISERROR(BL148/BK148-1),"NA",BL148/BK148-1)</f>
        <v>-1.8726591760299671E-3</v>
      </c>
      <c r="BM149" s="842">
        <f t="shared" si="1340"/>
        <v>3.4709193245778591E-2</v>
      </c>
      <c r="BN149" s="1187">
        <f t="shared" si="1340"/>
        <v>7.8449682683590316E-2</v>
      </c>
      <c r="BO149" s="1187">
        <f t="shared" si="1340"/>
        <v>7.8991114137516361E-2</v>
      </c>
      <c r="BP149" s="1187">
        <f t="shared" si="1340"/>
        <v>8.1003550235556609E-2</v>
      </c>
      <c r="BR149" s="1425"/>
      <c r="BS149" s="1425"/>
      <c r="BT149" s="1425"/>
      <c r="BU149" s="1263"/>
    </row>
    <row r="150" spans="1:73" s="1014" customFormat="1" ht="12" customHeight="1">
      <c r="A150" s="1064" t="s">
        <v>291</v>
      </c>
      <c r="B150" s="999" t="str">
        <f t="shared" ref="B150" si="1341">IF(ISERROR(B148/A148-1),"NA",B148/A148-1)</f>
        <v>NA</v>
      </c>
      <c r="C150" s="987">
        <f t="shared" ref="C150" si="1342">IF(ISERROR(C148/B148-1),"NA",C148/B148-1)</f>
        <v>3.2028469750889688E-2</v>
      </c>
      <c r="D150" s="987">
        <f t="shared" ref="D150" si="1343">IF(ISERROR(D148/C148-1),"NA",D148/C148-1)</f>
        <v>-3.7931034482758585E-2</v>
      </c>
      <c r="E150" s="998">
        <f t="shared" ref="E150" si="1344">IF(ISERROR(E148/D148-1),"NA",E148/D148-1)</f>
        <v>3.9426523297491078E-2</v>
      </c>
      <c r="F150" s="999">
        <f t="shared" ref="F150" si="1345">IF(ISERROR(F148/E148-1),"NA",F148/E148-1)</f>
        <v>4.1379310344827669E-2</v>
      </c>
      <c r="G150" s="987">
        <f t="shared" ref="G150" si="1346">IF(ISERROR(G148/F148-1),"NA",G148/F148-1)</f>
        <v>-6.9536423841059625E-2</v>
      </c>
      <c r="H150" s="987">
        <f t="shared" ref="H150" si="1347">IF(ISERROR(H148/G148-1),"NA",H148/G148-1)</f>
        <v>-6.7615658362989328E-2</v>
      </c>
      <c r="I150" s="998">
        <f t="shared" ref="I150" si="1348">IF(ISERROR(I148/H148-1),"NA",I148/H148-1)</f>
        <v>3.8167938931297662E-2</v>
      </c>
      <c r="J150" s="999">
        <f t="shared" ref="J150" si="1349">IF(ISERROR(J148/I148-1),"NA",J148/I148-1)</f>
        <v>0.13235294117647056</v>
      </c>
      <c r="K150" s="987">
        <f t="shared" ref="K150" si="1350">IF(ISERROR(K148/J148-1),"NA",K148/J148-1)</f>
        <v>-8.7662337662337664E-2</v>
      </c>
      <c r="L150" s="987">
        <f t="shared" ref="L150" si="1351">IF(ISERROR(L148/K148-1),"NA",L148/K148-1)</f>
        <v>-5.3380782918149516E-2</v>
      </c>
      <c r="M150" s="998">
        <f t="shared" ref="M150" si="1352">IF(ISERROR(M148/L148-1),"NA",M148/L148-1)</f>
        <v>6.7669172932330879E-2</v>
      </c>
      <c r="N150" s="999">
        <f t="shared" ref="N150" si="1353">IF(ISERROR(N148/M148-1),"NA",N148/M148-1)</f>
        <v>8.8028169014084501E-2</v>
      </c>
      <c r="O150" s="987">
        <f t="shared" ref="O150" si="1354">IF(ISERROR(O148/N148-1),"NA",O148/N148-1)</f>
        <v>-7.7669902912621325E-2</v>
      </c>
      <c r="P150" s="987">
        <f t="shared" ref="P150" si="1355">IF(ISERROR(P148/O148-1),"NA",P148/O148-1)</f>
        <v>-6.315789473684208E-2</v>
      </c>
      <c r="Q150" s="998">
        <f t="shared" ref="Q150" si="1356">IF(ISERROR(Q148/P148-1),"NA",Q148/P148-1)</f>
        <v>3.7453183520599342E-2</v>
      </c>
      <c r="R150" s="984">
        <f t="shared" ref="R150" si="1357">IF(ISERROR(R148/Q148-1),"NA",R148/Q148-1)</f>
        <v>0.10469314079422376</v>
      </c>
      <c r="S150" s="984">
        <f t="shared" ref="S150" si="1358">IF(ISERROR(S148/R148-1),"NA",S148/R148-1)</f>
        <v>-9.1503267973856217E-2</v>
      </c>
      <c r="T150" s="984">
        <f t="shared" ref="T150" si="1359">IF(ISERROR(T148/S148-1),"NA",T148/S148-1)</f>
        <v>-0.10431654676258995</v>
      </c>
      <c r="U150" s="985">
        <f t="shared" ref="U150" si="1360">IF(ISERROR(U148/T148-1),"NA",U148/T148-1)</f>
        <v>0.12449799196787148</v>
      </c>
      <c r="V150" s="984">
        <f t="shared" ref="V150:X150" si="1361">IF(ISERROR(V148/U148-1),"NA",V148/U148-1)</f>
        <v>0.13928571428571423</v>
      </c>
      <c r="W150" s="984">
        <f t="shared" si="1361"/>
        <v>-0.14106583072100309</v>
      </c>
      <c r="X150" s="984">
        <f t="shared" si="1361"/>
        <v>-1.8248175182481785E-2</v>
      </c>
      <c r="Y150" s="985">
        <f t="shared" ref="Y150:AI150" si="1362">IF(ISERROR(Y148/X148-1),"NA",Y148/X148-1)</f>
        <v>6.6914498141263934E-2</v>
      </c>
      <c r="Z150" s="1270">
        <f t="shared" si="1362"/>
        <v>0.1533101045296168</v>
      </c>
      <c r="AA150" s="984">
        <f t="shared" si="1362"/>
        <v>-0.12084592145015105</v>
      </c>
      <c r="AB150" s="984">
        <f t="shared" si="1362"/>
        <v>-5.841924398625431E-2</v>
      </c>
      <c r="AC150" s="985">
        <f t="shared" si="1362"/>
        <v>3.6496350364962904E-3</v>
      </c>
      <c r="AD150" s="1270">
        <f t="shared" si="1362"/>
        <v>-4.0000000000000036E-2</v>
      </c>
      <c r="AE150" s="984">
        <f t="shared" si="1362"/>
        <v>5.3030303030302983E-2</v>
      </c>
      <c r="AF150" s="984">
        <f t="shared" si="1362"/>
        <v>-6.11510791366906E-2</v>
      </c>
      <c r="AG150" s="985">
        <f t="shared" si="1362"/>
        <v>1.5325670498084198E-2</v>
      </c>
      <c r="AH150" s="1270">
        <f t="shared" si="1362"/>
        <v>-2.2641509433962259E-2</v>
      </c>
      <c r="AI150" s="984">
        <f t="shared" si="1362"/>
        <v>2.7027027027026973E-2</v>
      </c>
      <c r="AJ150" s="984">
        <f t="shared" ref="AJ150" si="1363">IF(ISERROR(AJ148/AI148-1),"NA",AJ148/AI148-1)</f>
        <v>1.5037593984962516E-2</v>
      </c>
      <c r="AK150" s="985">
        <f t="shared" ref="AK150:AQ150" si="1364">IF(ISERROR(AK148/AJ148-1),"NA",AK148/AJ148-1)</f>
        <v>3.7037037037037646E-3</v>
      </c>
      <c r="AL150" s="1270">
        <f t="shared" si="1364"/>
        <v>3.6900369003689537E-3</v>
      </c>
      <c r="AM150" s="984">
        <f t="shared" si="1364"/>
        <v>2.2058823529411686E-2</v>
      </c>
      <c r="AN150" s="984">
        <f t="shared" ref="AN150" si="1365">IF(ISERROR(AN148/AM148-1),"NA",AN148/AM148-1)</f>
        <v>-2.877697841726623E-2</v>
      </c>
      <c r="AO150" s="985">
        <f t="shared" si="1364"/>
        <v>4.8148148148148051E-2</v>
      </c>
      <c r="AP150" s="1270">
        <f t="shared" si="1364"/>
        <v>3.5335689045936647E-3</v>
      </c>
      <c r="AQ150" s="984">
        <f t="shared" si="1364"/>
        <v>1.7605633802816989E-2</v>
      </c>
      <c r="AR150" s="984">
        <f t="shared" ref="AR150" si="1366">IF(ISERROR(AR148/AQ148-1),"NA",AR148/AQ148-1)</f>
        <v>4.6366782006920459E-2</v>
      </c>
      <c r="AS150" s="985">
        <f t="shared" ref="AS150" si="1367">IF(ISERROR(AS148/AR148-1),"NA",AS148/AR148-1)</f>
        <v>3.8789682539682513E-2</v>
      </c>
      <c r="AT150" s="984">
        <f t="shared" ref="AT150" si="1368">IF(ISERROR(AT148/AS148-1),"NA",AT148/AS148-1)</f>
        <v>-9.5915703689555376E-2</v>
      </c>
      <c r="AU150" s="984">
        <f t="shared" ref="AU150" si="1369">IF(ISERROR(AU148/AT148-1),"NA",AU148/AT148-1)</f>
        <v>9.9014084507042188E-2</v>
      </c>
      <c r="AV150" s="984">
        <f t="shared" ref="AV150" si="1370">IF(ISERROR(AV148/AU148-1),"NA",AV148/AU148-1)</f>
        <v>8.512110726643618E-2</v>
      </c>
      <c r="AW150" s="985">
        <f t="shared" ref="AW150" si="1371">IF(ISERROR(AW148/AV148-1),"NA",AW148/AV148-1)</f>
        <v>2.9514774659864074E-2</v>
      </c>
      <c r="AX150" s="984">
        <f t="shared" ref="AX150" si="1372">IF(ISERROR(AX148/AW148-1),"NA",AX148/AW148-1)</f>
        <v>-0.18550964296356343</v>
      </c>
      <c r="AY150" s="984">
        <f t="shared" ref="AY150" si="1373">IF(ISERROR(AY148/AX148-1),"NA",AY148/AX148-1)</f>
        <v>0.18693521126760571</v>
      </c>
      <c r="AZ150" s="984">
        <f t="shared" ref="AZ150" si="1374">IF(ISERROR(AZ148/AY148-1),"NA",AZ148/AY148-1)</f>
        <v>0.12531077790593392</v>
      </c>
      <c r="BA150" s="985">
        <f t="shared" ref="BA150" si="1375">IF(ISERROR(BA148/AZ148-1),"NA",BA148/AZ148-1)</f>
        <v>2.0322678457543875E-2</v>
      </c>
      <c r="BB150" s="398"/>
      <c r="BC150" s="846"/>
      <c r="BD150" s="989" t="s">
        <v>366</v>
      </c>
      <c r="BE150" s="989" t="s">
        <v>366</v>
      </c>
      <c r="BF150" s="989" t="s">
        <v>366</v>
      </c>
      <c r="BG150" s="841" t="s">
        <v>366</v>
      </c>
      <c r="BH150" s="841" t="s">
        <v>366</v>
      </c>
      <c r="BI150" s="989" t="s">
        <v>366</v>
      </c>
      <c r="BJ150" s="989" t="s">
        <v>366</v>
      </c>
      <c r="BK150" s="989" t="s">
        <v>366</v>
      </c>
      <c r="BL150" s="989" t="s">
        <v>366</v>
      </c>
      <c r="BM150" s="1046" t="s">
        <v>366</v>
      </c>
      <c r="BN150" s="1188" t="s">
        <v>366</v>
      </c>
      <c r="BO150" s="1188" t="s">
        <v>366</v>
      </c>
      <c r="BP150" s="1188" t="s">
        <v>366</v>
      </c>
      <c r="BR150" s="1425"/>
      <c r="BS150" s="1425"/>
      <c r="BT150" s="1425"/>
      <c r="BU150" s="1263"/>
    </row>
    <row r="151" spans="1:73" s="1014" customFormat="1" ht="12" customHeight="1">
      <c r="A151" s="1064" t="s">
        <v>153</v>
      </c>
      <c r="B151" s="1008">
        <f>+B148/B$6</f>
        <v>0.39410939691444602</v>
      </c>
      <c r="C151" s="1008">
        <f t="shared" ref="C151:E151" si="1376">+C148/C$6</f>
        <v>0.31419284940411701</v>
      </c>
      <c r="D151" s="1008">
        <f t="shared" si="1376"/>
        <v>0.12109375</v>
      </c>
      <c r="E151" s="1009">
        <f t="shared" si="1376"/>
        <v>0.38461538461538464</v>
      </c>
      <c r="F151" s="1008">
        <f>+F148/F$6</f>
        <v>0.38817480719794345</v>
      </c>
      <c r="G151" s="1008">
        <f t="shared" ref="G151:U151" si="1377">+G148/G$6</f>
        <v>0.27657480314960631</v>
      </c>
      <c r="H151" s="1008">
        <f t="shared" si="1377"/>
        <v>0.10310901219992129</v>
      </c>
      <c r="I151" s="1009">
        <f t="shared" si="1377"/>
        <v>0.32304038004750596</v>
      </c>
      <c r="J151" s="1010">
        <f t="shared" si="1377"/>
        <v>0.33846153846153848</v>
      </c>
      <c r="K151" s="1008">
        <f t="shared" si="1377"/>
        <v>0.20985810306198655</v>
      </c>
      <c r="L151" s="1010">
        <f t="shared" si="1377"/>
        <v>9.1346153846153841E-2</v>
      </c>
      <c r="M151" s="1009">
        <f t="shared" si="1377"/>
        <v>0.32870370370370372</v>
      </c>
      <c r="N151" s="1008">
        <f t="shared" si="1377"/>
        <v>0.30413385826771655</v>
      </c>
      <c r="O151" s="1008">
        <f t="shared" si="1377"/>
        <v>0.18974700399467376</v>
      </c>
      <c r="P151" s="1008">
        <f t="shared" si="1377"/>
        <v>8.1601466992665031E-2</v>
      </c>
      <c r="Q151" s="1009">
        <f t="shared" si="1377"/>
        <v>0.27867203219315895</v>
      </c>
      <c r="R151" s="984">
        <f t="shared" si="1377"/>
        <v>0.26266094420600861</v>
      </c>
      <c r="S151" s="984">
        <f t="shared" si="1377"/>
        <v>0.16391509433962265</v>
      </c>
      <c r="T151" s="984">
        <f t="shared" si="1377"/>
        <v>8.2944703530979352E-2</v>
      </c>
      <c r="U151" s="985">
        <f t="shared" si="1377"/>
        <v>0.15418502202643172</v>
      </c>
      <c r="V151" s="984">
        <f t="shared" ref="V151:AQ151" si="1378">+V148/V$6</f>
        <v>0.24111866969009826</v>
      </c>
      <c r="W151" s="984">
        <f t="shared" si="1378"/>
        <v>0.17385786802030456</v>
      </c>
      <c r="X151" s="984">
        <f t="shared" si="1378"/>
        <v>6.4462017733045773E-2</v>
      </c>
      <c r="Y151" s="985">
        <f t="shared" si="1378"/>
        <v>0.11206559937524405</v>
      </c>
      <c r="Z151" s="1270">
        <f t="shared" ref="Z151:AC151" si="1379">+Z148/Z$6</f>
        <v>0.16492277030393623</v>
      </c>
      <c r="AA151" s="984">
        <f t="shared" si="1379"/>
        <v>0.10886644219977554</v>
      </c>
      <c r="AB151" s="984">
        <f t="shared" si="1379"/>
        <v>4.8650568181818191E-2</v>
      </c>
      <c r="AC151" s="985">
        <f t="shared" si="1379"/>
        <v>0.11391880695940348</v>
      </c>
      <c r="AD151" s="1270">
        <f t="shared" ref="AD151" si="1380">+AD148/AD$6</f>
        <v>0.10165575664227955</v>
      </c>
      <c r="AE151" s="984">
        <f t="shared" si="1378"/>
        <v>9.1417296941795456E-2</v>
      </c>
      <c r="AF151" s="984">
        <f t="shared" si="1378"/>
        <v>4.3369890329012964E-2</v>
      </c>
      <c r="AG151" s="985">
        <f t="shared" si="1378"/>
        <v>9.7713864306784665E-2</v>
      </c>
      <c r="AH151" s="1270">
        <f t="shared" si="1378"/>
        <v>8.6971121558092682E-2</v>
      </c>
      <c r="AI151" s="984">
        <f t="shared" ref="AI151:AL151" si="1381">+AI148/AI$6</f>
        <v>7.8558771411695219E-2</v>
      </c>
      <c r="AJ151" s="984">
        <f t="shared" si="1381"/>
        <v>4.0077185690960374E-2</v>
      </c>
      <c r="AK151" s="985">
        <f t="shared" si="1381"/>
        <v>8.5113065326633153E-2</v>
      </c>
      <c r="AL151" s="1270">
        <f t="shared" si="1381"/>
        <v>8.2851050868108442E-2</v>
      </c>
      <c r="AM151" s="984">
        <f t="shared" ref="AM151" si="1382">+AM148/AM$6</f>
        <v>7.0148877113298008E-2</v>
      </c>
      <c r="AN151" s="984">
        <f t="shared" si="1378"/>
        <v>3.4820737683776117E-2</v>
      </c>
      <c r="AO151" s="985">
        <f t="shared" si="1378"/>
        <v>7.3871051944661967E-2</v>
      </c>
      <c r="AP151" s="1270">
        <f t="shared" si="1378"/>
        <v>7.3101673101673106E-2</v>
      </c>
      <c r="AQ151" s="984">
        <f t="shared" si="1378"/>
        <v>6.2137174801118036E-2</v>
      </c>
      <c r="AR151" s="984">
        <f t="shared" ref="AR151:AS151" si="1383">+AR148/AR$6</f>
        <v>3.5624374894711361E-2</v>
      </c>
      <c r="AS151" s="985">
        <f t="shared" si="1383"/>
        <v>7.3867273820714383E-2</v>
      </c>
      <c r="AT151" s="984">
        <f t="shared" ref="AT151:AW151" si="1384">+AT148/AT$6</f>
        <v>6.4292667466551962E-2</v>
      </c>
      <c r="AU151" s="984">
        <f t="shared" si="1384"/>
        <v>5.8876179026851619E-2</v>
      </c>
      <c r="AV151" s="984">
        <f t="shared" si="1384"/>
        <v>3.6405272806450978E-2</v>
      </c>
      <c r="AW151" s="985">
        <f t="shared" si="1384"/>
        <v>7.3477229891766277E-2</v>
      </c>
      <c r="AX151" s="984">
        <f t="shared" ref="AX151:BA151" si="1385">+AX148/AX$6</f>
        <v>5.7046081421240548E-2</v>
      </c>
      <c r="AY151" s="984">
        <f t="shared" si="1385"/>
        <v>5.5966647894925482E-2</v>
      </c>
      <c r="AZ151" s="984">
        <f t="shared" si="1385"/>
        <v>3.7053537207842664E-2</v>
      </c>
      <c r="BA151" s="985">
        <f t="shared" si="1385"/>
        <v>7.2576192988685187E-2</v>
      </c>
      <c r="BB151" s="398"/>
      <c r="BC151" s="846"/>
      <c r="BD151" s="1011">
        <f t="shared" ref="BD151:BE151" si="1386">+BD148/BD$6</f>
        <v>0.24286322965487858</v>
      </c>
      <c r="BE151" s="1011">
        <f t="shared" si="1386"/>
        <v>0.21576202433841993</v>
      </c>
      <c r="BF151" s="1017">
        <f>+BF148/BF$6</f>
        <v>0.18904564315352698</v>
      </c>
      <c r="BG151" s="1017">
        <f>+BG148/BG$6</f>
        <v>0.16774764150943397</v>
      </c>
      <c r="BH151" s="1017">
        <f>+BH148/BH$6</f>
        <v>0.14494074749316319</v>
      </c>
      <c r="BI151" s="1017">
        <f t="shared" ref="BI151:BM151" si="1387">+BI148/BI$6</f>
        <v>0.11927748364995329</v>
      </c>
      <c r="BJ151" s="1017">
        <f t="shared" si="1387"/>
        <v>9.2016344491592017E-2</v>
      </c>
      <c r="BK151" s="1017">
        <f t="shared" si="1387"/>
        <v>7.4331848552338528E-2</v>
      </c>
      <c r="BL151" s="1017">
        <f t="shared" si="1387"/>
        <v>6.5459011360147382E-2</v>
      </c>
      <c r="BM151" s="1062">
        <f t="shared" si="1387"/>
        <v>5.8573628591152886E-2</v>
      </c>
      <c r="BN151" s="1368">
        <f t="shared" ref="BN151:BO151" si="1388">+BN148/BN$6</f>
        <v>5.5906328829254899E-2</v>
      </c>
      <c r="BO151" s="1368">
        <f t="shared" si="1388"/>
        <v>5.400236031676986E-2</v>
      </c>
      <c r="BP151" s="1368">
        <f t="shared" ref="BP151" si="1389">+BP148/BP$6</f>
        <v>5.2215668887840981E-2</v>
      </c>
      <c r="BR151" s="1425"/>
      <c r="BS151" s="1425"/>
      <c r="BT151" s="1425"/>
      <c r="BU151" s="1263"/>
    </row>
    <row r="152" spans="1:73" s="1014" customFormat="1" ht="12" customHeight="1">
      <c r="A152" s="1064" t="s">
        <v>370</v>
      </c>
      <c r="B152" s="1008">
        <f t="shared" ref="B152:AG152" si="1390">+B148/B135</f>
        <v>0.74338624338624337</v>
      </c>
      <c r="C152" s="1008">
        <f t="shared" si="1390"/>
        <v>0.73979591836734693</v>
      </c>
      <c r="D152" s="1008">
        <f t="shared" si="1390"/>
        <v>0.72279792746113991</v>
      </c>
      <c r="E152" s="1009">
        <f t="shared" si="1390"/>
        <v>0.71078431372549022</v>
      </c>
      <c r="F152" s="1008">
        <f t="shared" si="1390"/>
        <v>0.56448598130841121</v>
      </c>
      <c r="G152" s="1008">
        <f t="shared" si="1390"/>
        <v>0.71139240506329116</v>
      </c>
      <c r="H152" s="1008">
        <f t="shared" si="1390"/>
        <v>0.67700258397932822</v>
      </c>
      <c r="I152" s="1009">
        <f t="shared" si="1390"/>
        <v>0.68170426065162903</v>
      </c>
      <c r="J152" s="1010">
        <f t="shared" si="1390"/>
        <v>0.55296229802513464</v>
      </c>
      <c r="K152" s="1008">
        <f t="shared" si="1390"/>
        <v>0.65654205607476634</v>
      </c>
      <c r="L152" s="1010">
        <f t="shared" si="1390"/>
        <v>0.62004662004662003</v>
      </c>
      <c r="M152" s="1009">
        <f t="shared" si="1390"/>
        <v>0.64399092970521543</v>
      </c>
      <c r="N152" s="1008">
        <f t="shared" si="1390"/>
        <v>0.57541899441340782</v>
      </c>
      <c r="O152" s="1008">
        <f t="shared" si="1390"/>
        <v>0.64920273348519364</v>
      </c>
      <c r="P152" s="1008">
        <f t="shared" si="1390"/>
        <v>0.5959821428571429</v>
      </c>
      <c r="Q152" s="1009">
        <f t="shared" si="1390"/>
        <v>0.62107623318385652</v>
      </c>
      <c r="R152" s="984">
        <f t="shared" si="1390"/>
        <v>0.56146788990825691</v>
      </c>
      <c r="S152" s="984">
        <f t="shared" si="1390"/>
        <v>0.6275395033860045</v>
      </c>
      <c r="T152" s="984">
        <f t="shared" si="1390"/>
        <v>0.59004739336492895</v>
      </c>
      <c r="U152" s="985">
        <f t="shared" si="1390"/>
        <v>0.611353711790393</v>
      </c>
      <c r="V152" s="984">
        <f t="shared" si="1390"/>
        <v>0.56964285714285712</v>
      </c>
      <c r="W152" s="984">
        <f t="shared" si="1390"/>
        <v>0.63133640552995396</v>
      </c>
      <c r="X152" s="984">
        <f t="shared" si="1390"/>
        <v>0.58225108225108224</v>
      </c>
      <c r="Y152" s="985">
        <f t="shared" si="1390"/>
        <v>0.5954356846473029</v>
      </c>
      <c r="Z152" s="1270">
        <f t="shared" si="1390"/>
        <v>0.55351170568561869</v>
      </c>
      <c r="AA152" s="984">
        <f t="shared" si="1390"/>
        <v>0.63260869565217392</v>
      </c>
      <c r="AB152" s="984">
        <f t="shared" si="1390"/>
        <v>0.57684210526315793</v>
      </c>
      <c r="AC152" s="985">
        <f t="shared" si="1390"/>
        <v>0.56237218813905931</v>
      </c>
      <c r="AD152" s="1270">
        <f t="shared" si="1390"/>
        <v>0.41314553990610331</v>
      </c>
      <c r="AE152" s="984">
        <f t="shared" si="1390"/>
        <v>0.54940711462450598</v>
      </c>
      <c r="AF152" s="984">
        <f t="shared" si="1390"/>
        <v>0.47197106690777579</v>
      </c>
      <c r="AG152" s="985">
        <f t="shared" si="1390"/>
        <v>0.45611015490533563</v>
      </c>
      <c r="AH152" s="1270">
        <f t="shared" ref="AH152:BA152" si="1391">+AH148/AH135</f>
        <v>0.35674931129476584</v>
      </c>
      <c r="AI152" s="984">
        <f t="shared" si="1391"/>
        <v>0.47755834829443444</v>
      </c>
      <c r="AJ152" s="984">
        <f t="shared" si="1391"/>
        <v>0.42654028436018959</v>
      </c>
      <c r="AK152" s="985">
        <f t="shared" si="1391"/>
        <v>0.37379310344827588</v>
      </c>
      <c r="AL152" s="1270">
        <f t="shared" si="1391"/>
        <v>0.45257903494176371</v>
      </c>
      <c r="AM152" s="984">
        <f t="shared" si="1391"/>
        <v>0.4391785150078989</v>
      </c>
      <c r="AN152" s="984">
        <f t="shared" si="1391"/>
        <v>0.36193029490616624</v>
      </c>
      <c r="AO152" s="985">
        <f t="shared" si="1391"/>
        <v>0.35597484276729557</v>
      </c>
      <c r="AP152" s="1270">
        <f t="shared" ref="AP152:AQ152" si="1392">+AP148/AP135</f>
        <v>0.44374999999999998</v>
      </c>
      <c r="AQ152" s="984">
        <f t="shared" si="1392"/>
        <v>0.41463414634146339</v>
      </c>
      <c r="AR152" s="984">
        <f t="shared" si="1391"/>
        <v>0.40334520427353859</v>
      </c>
      <c r="AS152" s="985">
        <f t="shared" si="1391"/>
        <v>0.39414670869994833</v>
      </c>
      <c r="AT152" s="1270">
        <f t="shared" si="1391"/>
        <v>0.43935643564356436</v>
      </c>
      <c r="AU152" s="984">
        <f t="shared" si="1391"/>
        <v>0.41463414634146334</v>
      </c>
      <c r="AV152" s="984">
        <f t="shared" si="1391"/>
        <v>0.43023488455844117</v>
      </c>
      <c r="AW152" s="985">
        <f t="shared" si="1391"/>
        <v>0.43750284665694267</v>
      </c>
      <c r="AX152" s="1270">
        <f t="shared" si="1391"/>
        <v>0.43074160357212193</v>
      </c>
      <c r="AY152" s="984">
        <f t="shared" si="1391"/>
        <v>0.43902439024390238</v>
      </c>
      <c r="AZ152" s="984">
        <f t="shared" si="1391"/>
        <v>0.46332987567832135</v>
      </c>
      <c r="BA152" s="985">
        <f t="shared" si="1391"/>
        <v>0.46250300932305372</v>
      </c>
      <c r="BB152" s="398"/>
      <c r="BC152" s="846"/>
      <c r="BD152" s="1011">
        <f t="shared" ref="BD152:BP152" si="1393">+BD148/BD135</f>
        <v>0.7289002557544757</v>
      </c>
      <c r="BE152" s="1011">
        <f t="shared" si="1393"/>
        <v>0.6509324009324009</v>
      </c>
      <c r="BF152" s="1017">
        <f t="shared" si="1393"/>
        <v>0.61401617250673857</v>
      </c>
      <c r="BG152" s="1017">
        <f t="shared" si="1393"/>
        <v>0.60855614973262029</v>
      </c>
      <c r="BH152" s="1017">
        <f t="shared" si="1393"/>
        <v>0.59582441113490359</v>
      </c>
      <c r="BI152" s="1017">
        <f t="shared" si="1393"/>
        <v>0.59287925696594423</v>
      </c>
      <c r="BJ152" s="1017">
        <f t="shared" si="1393"/>
        <v>0.5791295746785361</v>
      </c>
      <c r="BK152" s="1017">
        <f t="shared" si="1393"/>
        <v>0.46862659060991663</v>
      </c>
      <c r="BL152" s="1062">
        <f t="shared" si="1393"/>
        <v>0.40363498674744414</v>
      </c>
      <c r="BM152" s="1062">
        <f t="shared" si="1393"/>
        <v>0.39747747747747747</v>
      </c>
      <c r="BN152" s="1368">
        <f t="shared" si="1393"/>
        <v>0.4124987971255854</v>
      </c>
      <c r="BO152" s="1368">
        <f t="shared" si="1393"/>
        <v>0.43021646034476529</v>
      </c>
      <c r="BP152" s="1368">
        <f t="shared" si="1393"/>
        <v>0.4500815448970093</v>
      </c>
      <c r="BR152" s="1425"/>
      <c r="BS152" s="1425"/>
      <c r="BT152" s="1425"/>
      <c r="BU152" s="1263"/>
    </row>
    <row r="153" spans="1:73" s="1014" customFormat="1" ht="12" hidden="1" customHeight="1" outlineLevel="2">
      <c r="A153" s="983"/>
      <c r="B153" s="1008"/>
      <c r="C153" s="1008"/>
      <c r="D153" s="1008"/>
      <c r="E153" s="1009"/>
      <c r="F153" s="1008"/>
      <c r="G153" s="1008"/>
      <c r="H153" s="1008"/>
      <c r="I153" s="1009"/>
      <c r="J153" s="1010"/>
      <c r="K153" s="1008"/>
      <c r="L153" s="1010"/>
      <c r="M153" s="1009"/>
      <c r="N153" s="1008"/>
      <c r="O153" s="1008"/>
      <c r="P153" s="1008"/>
      <c r="Q153" s="1009"/>
      <c r="R153" s="984"/>
      <c r="S153" s="984"/>
      <c r="T153" s="984"/>
      <c r="U153" s="985"/>
      <c r="V153" s="984"/>
      <c r="W153" s="984"/>
      <c r="X153" s="984"/>
      <c r="Y153" s="985"/>
      <c r="Z153" s="1270"/>
      <c r="AA153" s="1015"/>
      <c r="AB153" s="1015"/>
      <c r="AC153" s="1016"/>
      <c r="AD153" s="1015"/>
      <c r="AE153" s="1015"/>
      <c r="AF153" s="1015"/>
      <c r="AG153" s="1016"/>
      <c r="AH153" s="1015"/>
      <c r="AI153" s="1015"/>
      <c r="AJ153" s="1015"/>
      <c r="AK153" s="1016"/>
      <c r="AL153" s="1015"/>
      <c r="AM153" s="1015"/>
      <c r="AN153" s="1015"/>
      <c r="AO153" s="1016"/>
      <c r="AP153" s="1015"/>
      <c r="AQ153" s="1015"/>
      <c r="AR153" s="1015"/>
      <c r="AS153" s="1016"/>
      <c r="AT153" s="1015"/>
      <c r="AU153" s="1015"/>
      <c r="AV153" s="1015"/>
      <c r="AW153" s="1016"/>
      <c r="AX153" s="1015"/>
      <c r="AY153" s="1015"/>
      <c r="AZ153" s="1015"/>
      <c r="BA153" s="1016"/>
      <c r="BB153" s="1013"/>
      <c r="BC153" s="846"/>
      <c r="BD153" s="1011"/>
      <c r="BE153" s="1011"/>
      <c r="BF153" s="1017"/>
      <c r="BG153" s="1017"/>
      <c r="BH153" s="1017"/>
      <c r="BI153" s="1017"/>
      <c r="BJ153" s="1017"/>
      <c r="BK153" s="1017"/>
      <c r="BL153" s="1062"/>
      <c r="BM153" s="1062"/>
      <c r="BN153" s="1368"/>
      <c r="BO153" s="1368"/>
      <c r="BP153" s="1368"/>
      <c r="BR153" s="1425"/>
      <c r="BS153" s="1425"/>
      <c r="BT153" s="1425"/>
      <c r="BU153" s="1263"/>
    </row>
    <row r="154" spans="1:73" s="492" customFormat="1" ht="12" hidden="1" customHeight="1" outlineLevel="2">
      <c r="A154" s="1066" t="s">
        <v>66</v>
      </c>
      <c r="B154" s="1058"/>
      <c r="C154" s="1058"/>
      <c r="D154" s="1058"/>
      <c r="E154" s="1059"/>
      <c r="F154" s="1067">
        <v>188</v>
      </c>
      <c r="G154" s="1067">
        <v>201</v>
      </c>
      <c r="H154" s="1067">
        <v>192</v>
      </c>
      <c r="I154" s="1068">
        <v>327</v>
      </c>
      <c r="J154" s="1067">
        <v>354</v>
      </c>
      <c r="K154" s="1067">
        <v>223</v>
      </c>
      <c r="L154" s="1067">
        <v>228</v>
      </c>
      <c r="M154" s="1068">
        <v>233</v>
      </c>
      <c r="N154" s="1067">
        <v>329</v>
      </c>
      <c r="O154" s="1067">
        <v>231</v>
      </c>
      <c r="P154" s="1067">
        <v>243</v>
      </c>
      <c r="Q154" s="1068">
        <v>233</v>
      </c>
      <c r="R154" s="1067">
        <v>336</v>
      </c>
      <c r="S154" s="1067">
        <v>235</v>
      </c>
      <c r="T154" s="1067">
        <v>226</v>
      </c>
      <c r="U154" s="1068">
        <v>235</v>
      </c>
      <c r="V154" s="1067">
        <v>348</v>
      </c>
      <c r="W154" s="1205">
        <v>227</v>
      </c>
      <c r="X154" s="1060">
        <v>250</v>
      </c>
      <c r="Y154" s="1061">
        <v>255</v>
      </c>
      <c r="Z154" s="1272">
        <v>390</v>
      </c>
      <c r="AA154" s="1060">
        <v>317.10929499072358</v>
      </c>
      <c r="AB154" s="1060">
        <f t="shared" ref="AB154:BA154" si="1394">+AB158*AB24</f>
        <v>337.40816482582835</v>
      </c>
      <c r="AC154" s="1061">
        <f t="shared" si="1394"/>
        <v>342.60952076677319</v>
      </c>
      <c r="AD154" s="1060">
        <f t="shared" si="1394"/>
        <v>517.4172972972973</v>
      </c>
      <c r="AE154" s="1060">
        <f t="shared" si="1394"/>
        <v>361.52103896103898</v>
      </c>
      <c r="AF154" s="1060">
        <f t="shared" si="1394"/>
        <v>388.849328802039</v>
      </c>
      <c r="AG154" s="1061">
        <f t="shared" si="1394"/>
        <v>391.59322683706068</v>
      </c>
      <c r="AH154" s="1060">
        <f t="shared" si="1394"/>
        <v>503.96</v>
      </c>
      <c r="AI154" s="1989">
        <v>339</v>
      </c>
      <c r="AJ154" s="1060">
        <f t="shared" si="1394"/>
        <v>435.39934579439245</v>
      </c>
      <c r="AK154" s="1061">
        <f t="shared" si="1394"/>
        <v>444.08472843450477</v>
      </c>
      <c r="AL154" s="1989">
        <v>376</v>
      </c>
      <c r="AM154" s="1989">
        <v>369</v>
      </c>
      <c r="AN154" s="1989">
        <v>487</v>
      </c>
      <c r="AO154" s="1061">
        <f>1752-SUM(AL154:AN154)</f>
        <v>520</v>
      </c>
      <c r="AP154" s="1989">
        <v>365</v>
      </c>
      <c r="AQ154" s="1060">
        <f t="shared" si="1394"/>
        <v>401.82800000000003</v>
      </c>
      <c r="AR154" s="1060">
        <f t="shared" si="1394"/>
        <v>455.40605233415226</v>
      </c>
      <c r="AS154" s="1061">
        <f t="shared" si="1394"/>
        <v>551.49761328410216</v>
      </c>
      <c r="AT154" s="1060">
        <f t="shared" si="1394"/>
        <v>384.5339803243063</v>
      </c>
      <c r="AU154" s="1060">
        <f t="shared" si="1394"/>
        <v>437.47057112855748</v>
      </c>
      <c r="AV154" s="1060">
        <f t="shared" si="1394"/>
        <v>486.48837748262537</v>
      </c>
      <c r="AW154" s="1061">
        <f t="shared" si="1394"/>
        <v>584.89177165549279</v>
      </c>
      <c r="AX154" s="1060">
        <f t="shared" si="1394"/>
        <v>402.69590709929793</v>
      </c>
      <c r="AY154" s="1060">
        <f t="shared" si="1394"/>
        <v>467.35534833871645</v>
      </c>
      <c r="AZ154" s="1060">
        <f t="shared" si="1394"/>
        <v>515.11499314970149</v>
      </c>
      <c r="BA154" s="1061">
        <f t="shared" si="1394"/>
        <v>623.67357862956499</v>
      </c>
      <c r="BB154" s="1005"/>
      <c r="BC154" s="981"/>
      <c r="BD154" s="1083"/>
      <c r="BE154" s="1083">
        <f>SUM(F154:I154)</f>
        <v>908</v>
      </c>
      <c r="BF154" s="1083">
        <f>SUM(J154:M154)</f>
        <v>1038</v>
      </c>
      <c r="BG154" s="1083">
        <f>SUM(N154:Q154)</f>
        <v>1036</v>
      </c>
      <c r="BH154" s="1083">
        <f>SUM(R154:U154)</f>
        <v>1032</v>
      </c>
      <c r="BI154" s="1083">
        <f>SUM(V154:Y154)</f>
        <v>1080</v>
      </c>
      <c r="BJ154" s="1083">
        <f>SUM(Z154:AC154)</f>
        <v>1387.1269805833251</v>
      </c>
      <c r="BK154" s="1083">
        <f>SUM(AD154:AG154)</f>
        <v>1659.380891897436</v>
      </c>
      <c r="BL154" s="1083">
        <f>SUM(AH154:AK154)</f>
        <v>1722.4440742288973</v>
      </c>
      <c r="BM154" s="1083">
        <f>SUM(AL154:AO154)</f>
        <v>1752</v>
      </c>
      <c r="BN154" s="1364">
        <f>SUM(AP154:AS154)</f>
        <v>1773.7316656182543</v>
      </c>
      <c r="BO154" s="1364">
        <f>SUM(AT154:AW154)</f>
        <v>1893.384700590982</v>
      </c>
      <c r="BP154" s="1364">
        <f>SUM(AX154:BA154)</f>
        <v>2008.8398272172808</v>
      </c>
      <c r="BR154" s="1429"/>
      <c r="BS154" s="1429"/>
      <c r="BT154" s="1429"/>
      <c r="BU154" s="1263"/>
    </row>
    <row r="155" spans="1:73" s="1014" customFormat="1" ht="12" hidden="1" customHeight="1" outlineLevel="2">
      <c r="A155" s="1064" t="s">
        <v>181</v>
      </c>
      <c r="B155" s="987"/>
      <c r="C155" s="987"/>
      <c r="D155" s="987"/>
      <c r="E155" s="998"/>
      <c r="F155" s="999" t="str">
        <f t="shared" ref="F155:BA155" si="1395">IF(ISERROR(F154/B154-1),"NA",F154/B154-1)</f>
        <v>NA</v>
      </c>
      <c r="G155" s="987" t="str">
        <f t="shared" si="1395"/>
        <v>NA</v>
      </c>
      <c r="H155" s="987" t="str">
        <f t="shared" si="1395"/>
        <v>NA</v>
      </c>
      <c r="I155" s="998" t="str">
        <f t="shared" si="1395"/>
        <v>NA</v>
      </c>
      <c r="J155" s="999">
        <f t="shared" si="1395"/>
        <v>0.88297872340425543</v>
      </c>
      <c r="K155" s="987">
        <f t="shared" si="1395"/>
        <v>0.10945273631840791</v>
      </c>
      <c r="L155" s="987">
        <f t="shared" si="1395"/>
        <v>0.1875</v>
      </c>
      <c r="M155" s="998">
        <f t="shared" si="1395"/>
        <v>-0.28746177370030579</v>
      </c>
      <c r="N155" s="999">
        <f t="shared" si="1395"/>
        <v>-7.0621468926553632E-2</v>
      </c>
      <c r="O155" s="987">
        <f t="shared" si="1395"/>
        <v>3.5874439461883512E-2</v>
      </c>
      <c r="P155" s="987">
        <f t="shared" si="1395"/>
        <v>6.578947368421062E-2</v>
      </c>
      <c r="Q155" s="998">
        <f t="shared" si="1395"/>
        <v>0</v>
      </c>
      <c r="R155" s="984">
        <f t="shared" si="1395"/>
        <v>2.1276595744680771E-2</v>
      </c>
      <c r="S155" s="984">
        <f t="shared" si="1395"/>
        <v>1.7316017316017396E-2</v>
      </c>
      <c r="T155" s="984">
        <f t="shared" si="1395"/>
        <v>-6.9958847736625529E-2</v>
      </c>
      <c r="U155" s="985">
        <f t="shared" si="1395"/>
        <v>8.5836909871244149E-3</v>
      </c>
      <c r="V155" s="984">
        <f t="shared" si="1395"/>
        <v>3.5714285714285809E-2</v>
      </c>
      <c r="W155" s="987">
        <f t="shared" si="1395"/>
        <v>-3.4042553191489411E-2</v>
      </c>
      <c r="X155" s="984">
        <f t="shared" si="1395"/>
        <v>0.10619469026548667</v>
      </c>
      <c r="Y155" s="985">
        <f t="shared" si="1395"/>
        <v>8.5106382978723305E-2</v>
      </c>
      <c r="Z155" s="1270">
        <f t="shared" si="1395"/>
        <v>0.1206896551724137</v>
      </c>
      <c r="AA155" s="984">
        <f t="shared" si="1395"/>
        <v>0.39695724665517007</v>
      </c>
      <c r="AB155" s="984">
        <f t="shared" si="1395"/>
        <v>0.34963265930331344</v>
      </c>
      <c r="AC155" s="985">
        <f t="shared" si="1395"/>
        <v>0.34356674810499288</v>
      </c>
      <c r="AD155" s="984">
        <f t="shared" si="1395"/>
        <v>0.32671101871101871</v>
      </c>
      <c r="AE155" s="984">
        <f t="shared" si="1395"/>
        <v>0.14005185174914092</v>
      </c>
      <c r="AF155" s="984">
        <f t="shared" si="1395"/>
        <v>0.15245974857414857</v>
      </c>
      <c r="AG155" s="985">
        <f t="shared" si="1395"/>
        <v>0.14297240181959947</v>
      </c>
      <c r="AH155" s="984">
        <f t="shared" si="1395"/>
        <v>-2.6008595707160964E-2</v>
      </c>
      <c r="AI155" s="984">
        <f t="shared" si="1395"/>
        <v>-6.2295237438355744E-2</v>
      </c>
      <c r="AJ155" s="984">
        <f t="shared" si="1395"/>
        <v>0.1197122215326023</v>
      </c>
      <c r="AK155" s="985">
        <f t="shared" si="1395"/>
        <v>0.13404598956274971</v>
      </c>
      <c r="AL155" s="984">
        <f t="shared" si="1395"/>
        <v>-0.2539090404000317</v>
      </c>
      <c r="AM155" s="984">
        <f t="shared" si="1395"/>
        <v>8.8495575221238854E-2</v>
      </c>
      <c r="AN155" s="984">
        <f t="shared" si="1395"/>
        <v>0.11851339397734151</v>
      </c>
      <c r="AO155" s="985">
        <f t="shared" si="1395"/>
        <v>0.17094771944334375</v>
      </c>
      <c r="AP155" s="984">
        <f t="shared" si="1395"/>
        <v>-2.9255319148936199E-2</v>
      </c>
      <c r="AQ155" s="984">
        <f t="shared" si="1395"/>
        <v>8.8964769647696507E-2</v>
      </c>
      <c r="AR155" s="984">
        <f t="shared" si="1395"/>
        <v>-6.4874635864163754E-2</v>
      </c>
      <c r="AS155" s="985">
        <f t="shared" si="1395"/>
        <v>6.0572333238658072E-2</v>
      </c>
      <c r="AT155" s="984">
        <f t="shared" si="1395"/>
        <v>5.3517754313167964E-2</v>
      </c>
      <c r="AU155" s="984">
        <f t="shared" si="1395"/>
        <v>8.8701063959100601E-2</v>
      </c>
      <c r="AV155" s="984">
        <f t="shared" si="1395"/>
        <v>6.8251892984651397E-2</v>
      </c>
      <c r="AW155" s="985">
        <f t="shared" si="1395"/>
        <v>6.0551773148268762E-2</v>
      </c>
      <c r="AX155" s="984">
        <f t="shared" si="1395"/>
        <v>4.7231006112058882E-2</v>
      </c>
      <c r="AY155" s="984">
        <f t="shared" si="1395"/>
        <v>6.8312657313300384E-2</v>
      </c>
      <c r="AZ155" s="984">
        <f t="shared" si="1395"/>
        <v>5.8843370144230134E-2</v>
      </c>
      <c r="BA155" s="985">
        <f t="shared" si="1395"/>
        <v>6.6305954115755794E-2</v>
      </c>
      <c r="BB155" s="1013"/>
      <c r="BC155" s="841"/>
      <c r="BD155" s="842"/>
      <c r="BE155" s="842" t="str">
        <f t="shared" ref="BE155:BP155" si="1396">IF(ISERROR(BE154/BD154-1),"NA",BE154/BD154-1)</f>
        <v>NA</v>
      </c>
      <c r="BF155" s="842">
        <f t="shared" si="1396"/>
        <v>0.14317180616740077</v>
      </c>
      <c r="BG155" s="842">
        <f t="shared" si="1396"/>
        <v>-1.9267822736031004E-3</v>
      </c>
      <c r="BH155" s="842">
        <f t="shared" si="1396"/>
        <v>-3.8610038610038533E-3</v>
      </c>
      <c r="BI155" s="842">
        <f t="shared" si="1396"/>
        <v>4.6511627906976827E-2</v>
      </c>
      <c r="BJ155" s="842">
        <f t="shared" si="1396"/>
        <v>0.28437683387344914</v>
      </c>
      <c r="BK155" s="842">
        <f t="shared" si="1396"/>
        <v>0.19627180144648371</v>
      </c>
      <c r="BL155" s="842">
        <f t="shared" si="1396"/>
        <v>3.8004042736294874E-2</v>
      </c>
      <c r="BM155" s="842">
        <f t="shared" si="1396"/>
        <v>1.7159294872510999E-2</v>
      </c>
      <c r="BN155" s="1187">
        <f t="shared" si="1396"/>
        <v>1.2403918731880292E-2</v>
      </c>
      <c r="BO155" s="1187">
        <f t="shared" si="1396"/>
        <v>6.7458363230506579E-2</v>
      </c>
      <c r="BP155" s="1187">
        <f t="shared" si="1396"/>
        <v>6.0978166027359171E-2</v>
      </c>
      <c r="BR155" s="1425"/>
      <c r="BS155" s="1425"/>
      <c r="BT155" s="1425"/>
      <c r="BU155" s="1263"/>
    </row>
    <row r="156" spans="1:73" s="1014" customFormat="1" ht="12" hidden="1" customHeight="1" outlineLevel="2">
      <c r="A156" s="1064" t="s">
        <v>291</v>
      </c>
      <c r="B156" s="987"/>
      <c r="C156" s="987"/>
      <c r="D156" s="987"/>
      <c r="E156" s="998"/>
      <c r="F156" s="999" t="str">
        <f t="shared" ref="F156:BA156" si="1397">IF(ISERROR(F154/E154-1),"NA",F154/E154-1)</f>
        <v>NA</v>
      </c>
      <c r="G156" s="987">
        <f t="shared" si="1397"/>
        <v>6.9148936170212671E-2</v>
      </c>
      <c r="H156" s="987">
        <f t="shared" si="1397"/>
        <v>-4.4776119402985093E-2</v>
      </c>
      <c r="I156" s="998">
        <f t="shared" si="1397"/>
        <v>0.703125</v>
      </c>
      <c r="J156" s="999">
        <f t="shared" si="1397"/>
        <v>8.256880733944949E-2</v>
      </c>
      <c r="K156" s="987">
        <f t="shared" si="1397"/>
        <v>-0.37005649717514122</v>
      </c>
      <c r="L156" s="987">
        <f t="shared" si="1397"/>
        <v>2.2421524663677195E-2</v>
      </c>
      <c r="M156" s="998">
        <f t="shared" si="1397"/>
        <v>2.1929824561403466E-2</v>
      </c>
      <c r="N156" s="999">
        <f t="shared" si="1397"/>
        <v>0.41201716738197436</v>
      </c>
      <c r="O156" s="987">
        <f t="shared" si="1397"/>
        <v>-0.2978723404255319</v>
      </c>
      <c r="P156" s="987">
        <f t="shared" si="1397"/>
        <v>5.1948051948051965E-2</v>
      </c>
      <c r="Q156" s="998">
        <f t="shared" si="1397"/>
        <v>-4.1152263374485631E-2</v>
      </c>
      <c r="R156" s="984">
        <f t="shared" si="1397"/>
        <v>0.44206008583690992</v>
      </c>
      <c r="S156" s="984">
        <f t="shared" si="1397"/>
        <v>-0.30059523809523814</v>
      </c>
      <c r="T156" s="984">
        <f t="shared" si="1397"/>
        <v>-3.8297872340425587E-2</v>
      </c>
      <c r="U156" s="985">
        <f t="shared" si="1397"/>
        <v>3.9823008849557473E-2</v>
      </c>
      <c r="V156" s="984">
        <f t="shared" si="1397"/>
        <v>0.48085106382978715</v>
      </c>
      <c r="W156" s="987">
        <f t="shared" si="1397"/>
        <v>-0.3477011494252874</v>
      </c>
      <c r="X156" s="984">
        <f t="shared" si="1397"/>
        <v>0.1013215859030836</v>
      </c>
      <c r="Y156" s="985">
        <f t="shared" si="1397"/>
        <v>2.0000000000000018E-2</v>
      </c>
      <c r="Z156" s="1270">
        <f t="shared" si="1397"/>
        <v>0.52941176470588225</v>
      </c>
      <c r="AA156" s="984">
        <f t="shared" si="1397"/>
        <v>-0.18689924361352928</v>
      </c>
      <c r="AB156" s="984">
        <f t="shared" si="1397"/>
        <v>6.4012219621939925E-2</v>
      </c>
      <c r="AC156" s="985">
        <f t="shared" si="1397"/>
        <v>1.5415619665368308E-2</v>
      </c>
      <c r="AD156" s="984">
        <f t="shared" si="1397"/>
        <v>0.5102245148917568</v>
      </c>
      <c r="AE156" s="984">
        <f t="shared" si="1397"/>
        <v>-0.30129695924464528</v>
      </c>
      <c r="AF156" s="984">
        <f t="shared" si="1397"/>
        <v>7.559252960640328E-2</v>
      </c>
      <c r="AG156" s="985">
        <f t="shared" si="1397"/>
        <v>7.056455628906555E-3</v>
      </c>
      <c r="AH156" s="984">
        <f t="shared" si="1397"/>
        <v>0.28694769332589698</v>
      </c>
      <c r="AI156" s="984">
        <f t="shared" si="1397"/>
        <v>-0.3273275656798158</v>
      </c>
      <c r="AJ156" s="984">
        <f t="shared" si="1397"/>
        <v>0.28436385190086266</v>
      </c>
      <c r="AK156" s="985">
        <f t="shared" si="1397"/>
        <v>1.9948083808591255E-2</v>
      </c>
      <c r="AL156" s="984">
        <f t="shared" si="1397"/>
        <v>-0.15331472594096685</v>
      </c>
      <c r="AM156" s="984">
        <f t="shared" si="1397"/>
        <v>-1.8617021276595702E-2</v>
      </c>
      <c r="AN156" s="984">
        <f t="shared" si="1397"/>
        <v>0.31978319783197828</v>
      </c>
      <c r="AO156" s="985">
        <f t="shared" si="1397"/>
        <v>6.7761806981519568E-2</v>
      </c>
      <c r="AP156" s="984">
        <f t="shared" si="1397"/>
        <v>-0.29807692307692313</v>
      </c>
      <c r="AQ156" s="984">
        <f t="shared" si="1397"/>
        <v>0.1008986301369863</v>
      </c>
      <c r="AR156" s="984">
        <f t="shared" si="1397"/>
        <v>0.13333578629202592</v>
      </c>
      <c r="AS156" s="985">
        <f t="shared" si="1397"/>
        <v>0.21100194092159996</v>
      </c>
      <c r="AT156" s="984">
        <f t="shared" si="1397"/>
        <v>-0.30274588491062993</v>
      </c>
      <c r="AU156" s="984">
        <f t="shared" si="1397"/>
        <v>0.13766427289366145</v>
      </c>
      <c r="AV156" s="984">
        <f t="shared" si="1397"/>
        <v>0.11204823727368685</v>
      </c>
      <c r="AW156" s="985">
        <f t="shared" si="1397"/>
        <v>0.20227285733333233</v>
      </c>
      <c r="AX156" s="984">
        <f t="shared" si="1397"/>
        <v>-0.31150355225634818</v>
      </c>
      <c r="AY156" s="984">
        <f t="shared" si="1397"/>
        <v>0.16056642270137256</v>
      </c>
      <c r="AZ156" s="984">
        <f t="shared" si="1397"/>
        <v>0.10219128759466156</v>
      </c>
      <c r="BA156" s="985">
        <f t="shared" si="1397"/>
        <v>0.21074631281080669</v>
      </c>
      <c r="BB156" s="1013"/>
      <c r="BC156" s="846"/>
      <c r="BD156" s="989"/>
      <c r="BE156" s="989" t="s">
        <v>366</v>
      </c>
      <c r="BF156" s="989" t="s">
        <v>366</v>
      </c>
      <c r="BG156" s="841" t="s">
        <v>366</v>
      </c>
      <c r="BH156" s="841" t="s">
        <v>366</v>
      </c>
      <c r="BI156" s="989" t="s">
        <v>366</v>
      </c>
      <c r="BJ156" s="989" t="s">
        <v>366</v>
      </c>
      <c r="BK156" s="989" t="s">
        <v>366</v>
      </c>
      <c r="BL156" s="989" t="s">
        <v>366</v>
      </c>
      <c r="BM156" s="1046" t="s">
        <v>366</v>
      </c>
      <c r="BN156" s="1188" t="s">
        <v>366</v>
      </c>
      <c r="BO156" s="1188" t="s">
        <v>366</v>
      </c>
      <c r="BP156" s="1188" t="s">
        <v>366</v>
      </c>
      <c r="BR156" s="1425"/>
      <c r="BS156" s="1425"/>
      <c r="BT156" s="1425"/>
      <c r="BU156" s="1263"/>
    </row>
    <row r="157" spans="1:73" s="1014" customFormat="1" ht="12" hidden="1" customHeight="1" outlineLevel="2">
      <c r="A157" s="1064" t="s">
        <v>153</v>
      </c>
      <c r="B157" s="1008"/>
      <c r="C157" s="1008"/>
      <c r="D157" s="1008"/>
      <c r="E157" s="1009"/>
      <c r="F157" s="1008">
        <f t="shared" ref="F157:BA157" si="1398">+F154/F$6</f>
        <v>0.2416452442159383</v>
      </c>
      <c r="G157" s="1008">
        <f t="shared" si="1398"/>
        <v>0.19783464566929135</v>
      </c>
      <c r="H157" s="1008">
        <f t="shared" si="1398"/>
        <v>7.5560802833530102E-2</v>
      </c>
      <c r="I157" s="1009">
        <f t="shared" si="1398"/>
        <v>0.38836104513064135</v>
      </c>
      <c r="J157" s="1010">
        <f t="shared" si="1398"/>
        <v>0.38901098901098902</v>
      </c>
      <c r="K157" s="1008">
        <f t="shared" si="1398"/>
        <v>0.16654219566840925</v>
      </c>
      <c r="L157" s="1010">
        <f t="shared" si="1398"/>
        <v>7.8296703296703296E-2</v>
      </c>
      <c r="M157" s="1009">
        <f t="shared" si="1398"/>
        <v>0.26967592592592593</v>
      </c>
      <c r="N157" s="1008">
        <f t="shared" si="1398"/>
        <v>0.32381889763779526</v>
      </c>
      <c r="O157" s="1008">
        <f t="shared" si="1398"/>
        <v>0.15379494007989347</v>
      </c>
      <c r="P157" s="1008">
        <f t="shared" si="1398"/>
        <v>7.4266503667481665E-2</v>
      </c>
      <c r="Q157" s="1009">
        <f t="shared" si="1398"/>
        <v>0.23440643863179075</v>
      </c>
      <c r="R157" s="984">
        <f t="shared" si="1398"/>
        <v>0.28841201716738196</v>
      </c>
      <c r="S157" s="984">
        <f t="shared" si="1398"/>
        <v>0.13856132075471697</v>
      </c>
      <c r="T157" s="984">
        <f t="shared" si="1398"/>
        <v>7.5283144570286481E-2</v>
      </c>
      <c r="U157" s="985">
        <f t="shared" si="1398"/>
        <v>0.12940528634361234</v>
      </c>
      <c r="V157" s="984">
        <f t="shared" si="1398"/>
        <v>0.26303854875283444</v>
      </c>
      <c r="W157" s="987">
        <f t="shared" si="1398"/>
        <v>0.14403553299492386</v>
      </c>
      <c r="X157" s="984">
        <f t="shared" si="1398"/>
        <v>5.9908938413611314E-2</v>
      </c>
      <c r="Y157" s="985">
        <f t="shared" si="1398"/>
        <v>9.9570480281140183E-2</v>
      </c>
      <c r="Z157" s="1270">
        <f t="shared" si="1398"/>
        <v>0.19431988041853512</v>
      </c>
      <c r="AA157" s="984">
        <f t="shared" si="1398"/>
        <v>0.11863422932687002</v>
      </c>
      <c r="AB157" s="984">
        <f t="shared" si="1398"/>
        <v>5.9909120175040555E-2</v>
      </c>
      <c r="AC157" s="985">
        <f t="shared" si="1398"/>
        <v>0.14192606494066826</v>
      </c>
      <c r="AD157" s="984">
        <f t="shared" si="1398"/>
        <v>0.19923654112333358</v>
      </c>
      <c r="AE157" s="984">
        <f t="shared" si="1398"/>
        <v>0.11888228837916441</v>
      </c>
      <c r="AF157" s="984">
        <f t="shared" si="1398"/>
        <v>6.4614378332010475E-2</v>
      </c>
      <c r="AG157" s="985">
        <f t="shared" si="1398"/>
        <v>0.14439278275702827</v>
      </c>
      <c r="AH157" s="984">
        <f t="shared" si="1398"/>
        <v>0.16922766957689725</v>
      </c>
      <c r="AI157" s="984">
        <f t="shared" ref="AI157" si="1399">+AI154/AI$6</f>
        <v>0.10011813349084465</v>
      </c>
      <c r="AJ157" s="984">
        <f t="shared" si="1398"/>
        <v>6.4628075670831606E-2</v>
      </c>
      <c r="AK157" s="985">
        <f t="shared" si="1398"/>
        <v>0.13947384687013339</v>
      </c>
      <c r="AL157" s="984">
        <f t="shared" si="1398"/>
        <v>0.11452939384709107</v>
      </c>
      <c r="AM157" s="984">
        <f t="shared" si="1398"/>
        <v>9.3111279333838004E-2</v>
      </c>
      <c r="AN157" s="984">
        <f t="shared" si="1398"/>
        <v>6.2806293525922111E-2</v>
      </c>
      <c r="AO157" s="985">
        <f t="shared" si="1398"/>
        <v>0.13573479509266509</v>
      </c>
      <c r="AP157" s="984">
        <f t="shared" ref="AP157:AQ157" si="1400">+AP154/AP$6</f>
        <v>9.3951093951093953E-2</v>
      </c>
      <c r="AQ157" s="984">
        <f t="shared" si="1400"/>
        <v>8.6396043861535154E-2</v>
      </c>
      <c r="AR157" s="984">
        <f t="shared" si="1398"/>
        <v>5.3649325190715545E-2</v>
      </c>
      <c r="AS157" s="985">
        <f t="shared" si="1398"/>
        <v>0.12968396909536567</v>
      </c>
      <c r="AT157" s="984">
        <f t="shared" si="1398"/>
        <v>8.7051814530212185E-2</v>
      </c>
      <c r="AU157" s="984">
        <f t="shared" si="1398"/>
        <v>8.2521452213071819E-2</v>
      </c>
      <c r="AV157" s="984">
        <f t="shared" si="1398"/>
        <v>5.2292204327943945E-2</v>
      </c>
      <c r="AW157" s="985">
        <f t="shared" si="1398"/>
        <v>0.12325254440114769</v>
      </c>
      <c r="AX157" s="984">
        <f t="shared" si="1398"/>
        <v>8.0888110930939686E-2</v>
      </c>
      <c r="AY157" s="984">
        <f t="shared" si="1398"/>
        <v>7.759453932213628E-2</v>
      </c>
      <c r="AZ157" s="984">
        <f t="shared" si="1398"/>
        <v>5.0317149678080451E-2</v>
      </c>
      <c r="BA157" s="985">
        <f t="shared" si="1398"/>
        <v>0.11694890435548103</v>
      </c>
      <c r="BB157" s="1013"/>
      <c r="BC157" s="846"/>
      <c r="BD157" s="1011"/>
      <c r="BE157" s="1011">
        <f t="shared" ref="BE157:BP157" si="1401">+BE154/BE$6</f>
        <v>0.17539115317751594</v>
      </c>
      <c r="BF157" s="1017">
        <f t="shared" si="1401"/>
        <v>0.17228215767634855</v>
      </c>
      <c r="BG157" s="1017">
        <f t="shared" si="1401"/>
        <v>0.15271226415094338</v>
      </c>
      <c r="BH157" s="1017">
        <f t="shared" si="1401"/>
        <v>0.13439249902331032</v>
      </c>
      <c r="BI157" s="1017">
        <f t="shared" si="1401"/>
        <v>0.11211460604173155</v>
      </c>
      <c r="BJ157" s="1017">
        <f t="shared" si="1401"/>
        <v>0.10899944841924604</v>
      </c>
      <c r="BK157" s="1017">
        <f t="shared" si="1401"/>
        <v>0.11549143178573469</v>
      </c>
      <c r="BL157" s="1017">
        <f t="shared" si="1401"/>
        <v>0.10576874880128323</v>
      </c>
      <c r="BM157" s="1062">
        <f t="shared" si="1401"/>
        <v>9.3038075513780474E-2</v>
      </c>
      <c r="BN157" s="1368">
        <f t="shared" si="1401"/>
        <v>8.3363030569145888E-2</v>
      </c>
      <c r="BO157" s="1368">
        <f t="shared" si="1401"/>
        <v>7.9663308318697057E-2</v>
      </c>
      <c r="BP157" s="1368">
        <f t="shared" si="1401"/>
        <v>7.5600691516922891E-2</v>
      </c>
      <c r="BR157" s="1425"/>
      <c r="BS157" s="1425"/>
      <c r="BT157" s="1425"/>
      <c r="BU157" s="1263"/>
    </row>
    <row r="158" spans="1:73" s="1014" customFormat="1" ht="12" hidden="1" customHeight="1" outlineLevel="2">
      <c r="A158" s="1064" t="s">
        <v>373</v>
      </c>
      <c r="B158" s="1008"/>
      <c r="C158" s="1008"/>
      <c r="D158" s="1008"/>
      <c r="E158" s="1009"/>
      <c r="F158" s="1008">
        <f t="shared" ref="F158:AA158" si="1402">+F154/F24</f>
        <v>0.31703204047217537</v>
      </c>
      <c r="G158" s="1008">
        <f t="shared" si="1402"/>
        <v>0.32524271844660196</v>
      </c>
      <c r="H158" s="1008">
        <f t="shared" si="1402"/>
        <v>0.29312977099236642</v>
      </c>
      <c r="I158" s="1009">
        <f t="shared" si="1402"/>
        <v>0.46186440677966101</v>
      </c>
      <c r="J158" s="1010">
        <f t="shared" si="1402"/>
        <v>0.43223443223443225</v>
      </c>
      <c r="K158" s="1008">
        <f t="shared" si="1402"/>
        <v>0.31276297335203368</v>
      </c>
      <c r="L158" s="1010">
        <f t="shared" si="1402"/>
        <v>0.30522088353413657</v>
      </c>
      <c r="M158" s="1009">
        <f t="shared" si="1402"/>
        <v>0.29795396419437342</v>
      </c>
      <c r="N158" s="1008">
        <f t="shared" si="1402"/>
        <v>0.36233480176211452</v>
      </c>
      <c r="O158" s="1008">
        <f t="shared" si="1402"/>
        <v>0.27731092436974791</v>
      </c>
      <c r="P158" s="1008">
        <f t="shared" si="1402"/>
        <v>0.27395715896279593</v>
      </c>
      <c r="Q158" s="1009">
        <f t="shared" si="1402"/>
        <v>0.25745856353591162</v>
      </c>
      <c r="R158" s="984">
        <f t="shared" si="1402"/>
        <v>0.32122370936902483</v>
      </c>
      <c r="S158" s="984">
        <f t="shared" si="1402"/>
        <v>0.24152106885919836</v>
      </c>
      <c r="T158" s="984">
        <f t="shared" si="1402"/>
        <v>0.23014256619144602</v>
      </c>
      <c r="U158" s="985">
        <f t="shared" si="1402"/>
        <v>0.22402287893231648</v>
      </c>
      <c r="V158" s="984">
        <f t="shared" si="1402"/>
        <v>0.29466553767993225</v>
      </c>
      <c r="W158" s="987">
        <f t="shared" si="1402"/>
        <v>0.21057513914656772</v>
      </c>
      <c r="X158" s="984">
        <f t="shared" si="1402"/>
        <v>0.21240441801189464</v>
      </c>
      <c r="Y158" s="985">
        <f t="shared" si="1402"/>
        <v>0.20367412140575081</v>
      </c>
      <c r="Z158" s="1270">
        <f t="shared" si="1402"/>
        <v>0.27027027027027029</v>
      </c>
      <c r="AA158" s="984">
        <f t="shared" si="1402"/>
        <v>0.20057513914656774</v>
      </c>
      <c r="AB158" s="1963">
        <f t="shared" ref="AB158:BA158" si="1403">+X158-0.01</f>
        <v>0.20240441801189463</v>
      </c>
      <c r="AC158" s="1964">
        <f t="shared" si="1403"/>
        <v>0.1936741214057508</v>
      </c>
      <c r="AD158" s="1963">
        <f t="shared" si="1403"/>
        <v>0.26027027027027028</v>
      </c>
      <c r="AE158" s="1963">
        <f t="shared" si="1403"/>
        <v>0.19057513914656773</v>
      </c>
      <c r="AF158" s="1963">
        <f t="shared" si="1403"/>
        <v>0.19240441801189462</v>
      </c>
      <c r="AG158" s="1964">
        <f t="shared" si="1403"/>
        <v>0.18367412140575079</v>
      </c>
      <c r="AH158" s="1963">
        <v>0.215</v>
      </c>
      <c r="AI158" s="1015">
        <f>AI154/AI24</f>
        <v>0.1510022271714922</v>
      </c>
      <c r="AJ158" s="1963">
        <f t="shared" si="1403"/>
        <v>0.18240441801189461</v>
      </c>
      <c r="AK158" s="1964">
        <f t="shared" si="1403"/>
        <v>0.17367412140575078</v>
      </c>
      <c r="AL158" s="1015">
        <f>AL154/AL24</f>
        <v>0.14779874213836477</v>
      </c>
      <c r="AM158" s="1015">
        <f>AM154/AM24</f>
        <v>0.13815050542867841</v>
      </c>
      <c r="AN158" s="1015">
        <f>AN154/AN24</f>
        <v>0.17093717093717092</v>
      </c>
      <c r="AO158" s="1016">
        <f>AO154/AO24</f>
        <v>0.17258546299369398</v>
      </c>
      <c r="AP158" s="1015">
        <f>AP154/AP24</f>
        <v>0.12203276496155133</v>
      </c>
      <c r="AQ158" s="1963">
        <v>0.127</v>
      </c>
      <c r="AR158" s="1069">
        <f>+AN158-0.03</f>
        <v>0.14093717093717092</v>
      </c>
      <c r="AS158" s="1070">
        <f t="shared" si="1403"/>
        <v>0.16258546299369397</v>
      </c>
      <c r="AT158" s="1069">
        <f t="shared" si="1403"/>
        <v>0.11203276496155133</v>
      </c>
      <c r="AU158" s="1069">
        <f t="shared" si="1403"/>
        <v>0.11700000000000001</v>
      </c>
      <c r="AV158" s="1069">
        <f t="shared" si="1403"/>
        <v>0.13093717093717092</v>
      </c>
      <c r="AW158" s="1070">
        <f t="shared" si="1403"/>
        <v>0.15258546299369397</v>
      </c>
      <c r="AX158" s="1069">
        <f t="shared" si="1403"/>
        <v>0.10203276496155134</v>
      </c>
      <c r="AY158" s="1069">
        <f t="shared" si="1403"/>
        <v>0.10700000000000001</v>
      </c>
      <c r="AZ158" s="1069">
        <f t="shared" si="1403"/>
        <v>0.12093717093717092</v>
      </c>
      <c r="BA158" s="1070">
        <f t="shared" si="1403"/>
        <v>0.14258546299369396</v>
      </c>
      <c r="BB158" s="1013"/>
      <c r="BC158" s="846"/>
      <c r="BD158" s="1011"/>
      <c r="BE158" s="1011">
        <f t="shared" ref="BE158:BP158" si="1404">+BE154/BE24</f>
        <v>0.35275835275835277</v>
      </c>
      <c r="BF158" s="1017">
        <f t="shared" si="1404"/>
        <v>0.3391048676902973</v>
      </c>
      <c r="BG158" s="1017">
        <f t="shared" si="1404"/>
        <v>0.29323521086894988</v>
      </c>
      <c r="BH158" s="1017">
        <f t="shared" si="1404"/>
        <v>0.25481481481481483</v>
      </c>
      <c r="BI158" s="1017">
        <f t="shared" si="1404"/>
        <v>0.23037542662116042</v>
      </c>
      <c r="BJ158" s="1017">
        <f t="shared" si="1404"/>
        <v>0.2147255387899884</v>
      </c>
      <c r="BK158" s="1017">
        <f t="shared" si="1404"/>
        <v>0.20644201193050957</v>
      </c>
      <c r="BL158" s="1062">
        <f t="shared" si="1404"/>
        <v>0.18068226940405929</v>
      </c>
      <c r="BM158" s="1062">
        <f t="shared" si="1404"/>
        <v>0.15816556829466463</v>
      </c>
      <c r="BN158" s="1368">
        <f t="shared" si="1404"/>
        <v>0.13880791940083304</v>
      </c>
      <c r="BO158" s="1368">
        <f t="shared" si="1404"/>
        <v>0.12862631879746197</v>
      </c>
      <c r="BP158" s="1368">
        <f t="shared" si="1404"/>
        <v>0.11853008489203735</v>
      </c>
      <c r="BR158" s="1425"/>
      <c r="BS158" s="1425"/>
      <c r="BT158" s="1425"/>
      <c r="BU158" s="1263"/>
    </row>
    <row r="159" spans="1:73" s="1014" customFormat="1" ht="12" hidden="1" customHeight="1" outlineLevel="2">
      <c r="A159" s="1064"/>
      <c r="B159" s="1008"/>
      <c r="C159" s="1008"/>
      <c r="D159" s="1008"/>
      <c r="E159" s="1009"/>
      <c r="F159" s="1008"/>
      <c r="G159" s="1008"/>
      <c r="H159" s="1008"/>
      <c r="I159" s="1009"/>
      <c r="J159" s="1010"/>
      <c r="K159" s="1008"/>
      <c r="L159" s="1010"/>
      <c r="M159" s="1009"/>
      <c r="N159" s="1008"/>
      <c r="O159" s="1008"/>
      <c r="P159" s="1008"/>
      <c r="Q159" s="1009"/>
      <c r="R159" s="984"/>
      <c r="S159" s="984"/>
      <c r="T159" s="984"/>
      <c r="U159" s="985"/>
      <c r="V159" s="984"/>
      <c r="W159" s="987"/>
      <c r="X159" s="984"/>
      <c r="Y159" s="985"/>
      <c r="Z159" s="1270"/>
      <c r="AA159" s="1015"/>
      <c r="AB159" s="1015"/>
      <c r="AC159" s="1016"/>
      <c r="AD159" s="1015"/>
      <c r="AE159" s="1015"/>
      <c r="AF159" s="1015"/>
      <c r="AG159" s="1016"/>
      <c r="AH159" s="1015"/>
      <c r="AI159" s="1015"/>
      <c r="AJ159" s="1015"/>
      <c r="AK159" s="1016"/>
      <c r="AL159" s="1015"/>
      <c r="AM159" s="1015"/>
      <c r="AN159" s="1015"/>
      <c r="AO159" s="1016"/>
      <c r="AP159" s="1015"/>
      <c r="AQ159" s="1015"/>
      <c r="AR159" s="1015"/>
      <c r="AS159" s="1016"/>
      <c r="AT159" s="1015"/>
      <c r="AU159" s="1015"/>
      <c r="AV159" s="1015"/>
      <c r="AW159" s="1016"/>
      <c r="AX159" s="1015"/>
      <c r="AY159" s="1015"/>
      <c r="AZ159" s="1015"/>
      <c r="BA159" s="1016"/>
      <c r="BB159" s="1013"/>
      <c r="BC159" s="846"/>
      <c r="BD159" s="1011"/>
      <c r="BE159" s="1011"/>
      <c r="BF159" s="1017"/>
      <c r="BG159" s="1017"/>
      <c r="BH159" s="1017"/>
      <c r="BI159" s="1017"/>
      <c r="BJ159" s="1017"/>
      <c r="BK159" s="1017"/>
      <c r="BL159" s="1062"/>
      <c r="BM159" s="1062"/>
      <c r="BN159" s="1368"/>
      <c r="BO159" s="1368"/>
      <c r="BP159" s="1368"/>
      <c r="BR159" s="1425"/>
      <c r="BS159" s="1425"/>
      <c r="BT159" s="1425"/>
      <c r="BU159" s="1263"/>
    </row>
    <row r="160" spans="1:73" s="492" customFormat="1" ht="12" hidden="1" customHeight="1" outlineLevel="2">
      <c r="A160" s="1066" t="s">
        <v>269</v>
      </c>
      <c r="B160" s="1058"/>
      <c r="C160" s="1058"/>
      <c r="D160" s="1058"/>
      <c r="E160" s="1059"/>
      <c r="F160" s="1067">
        <v>405</v>
      </c>
      <c r="G160" s="1067">
        <v>417</v>
      </c>
      <c r="H160" s="1067">
        <v>463</v>
      </c>
      <c r="I160" s="1068">
        <v>381</v>
      </c>
      <c r="J160" s="1067">
        <v>465</v>
      </c>
      <c r="K160" s="1067">
        <v>490</v>
      </c>
      <c r="L160" s="1067">
        <v>519</v>
      </c>
      <c r="M160" s="1068">
        <v>549</v>
      </c>
      <c r="N160" s="1067">
        <v>579</v>
      </c>
      <c r="O160" s="1067">
        <v>602</v>
      </c>
      <c r="P160" s="1067">
        <v>644</v>
      </c>
      <c r="Q160" s="1068">
        <v>672</v>
      </c>
      <c r="R160" s="1067">
        <v>710</v>
      </c>
      <c r="S160" s="1067">
        <v>738</v>
      </c>
      <c r="T160" s="1067">
        <v>756</v>
      </c>
      <c r="U160" s="1068">
        <v>814</v>
      </c>
      <c r="V160" s="1067">
        <v>833</v>
      </c>
      <c r="W160" s="1205">
        <v>851</v>
      </c>
      <c r="X160" s="1060">
        <v>927</v>
      </c>
      <c r="Y160" s="1061">
        <v>997</v>
      </c>
      <c r="Z160" s="1272">
        <v>1053</v>
      </c>
      <c r="AA160" s="1297">
        <f>+AA24-AA154</f>
        <v>1263.8907050092764</v>
      </c>
      <c r="AB160" s="1060">
        <f t="shared" ref="AB160:BA160" si="1405">+AB164*AB24</f>
        <v>1329.5918351741716</v>
      </c>
      <c r="AC160" s="1061">
        <f t="shared" si="1405"/>
        <v>1426.3904792332269</v>
      </c>
      <c r="AD160" s="1060">
        <f t="shared" si="1405"/>
        <v>1470.5827027027026</v>
      </c>
      <c r="AE160" s="1060">
        <f t="shared" si="1405"/>
        <v>1535.478961038961</v>
      </c>
      <c r="AF160" s="1060">
        <f t="shared" si="1405"/>
        <v>1632.1506711979609</v>
      </c>
      <c r="AG160" s="1061">
        <f t="shared" si="1405"/>
        <v>1740.4067731629393</v>
      </c>
      <c r="AH160" s="1060">
        <f t="shared" si="1405"/>
        <v>1840.04</v>
      </c>
      <c r="AI160" s="1060">
        <f t="shared" si="1405"/>
        <v>1906.0000000000002</v>
      </c>
      <c r="AJ160" s="1060">
        <f t="shared" si="1405"/>
        <v>1951.6006542056075</v>
      </c>
      <c r="AK160" s="1061">
        <f t="shared" si="1405"/>
        <v>2112.9152715654955</v>
      </c>
      <c r="AL160" s="1060">
        <f t="shared" si="1405"/>
        <v>2168</v>
      </c>
      <c r="AM160" s="1060">
        <f t="shared" si="1405"/>
        <v>2302</v>
      </c>
      <c r="AN160" s="1060">
        <f t="shared" si="1405"/>
        <v>2362</v>
      </c>
      <c r="AO160" s="1061">
        <f>+AO164*AO24</f>
        <v>2493</v>
      </c>
      <c r="AP160" s="1060">
        <f t="shared" ref="AP160:AQ160" si="1406">+AP164*AP24</f>
        <v>2626</v>
      </c>
      <c r="AQ160" s="1060">
        <f t="shared" si="1406"/>
        <v>2762.172</v>
      </c>
      <c r="AR160" s="1060">
        <f t="shared" si="1405"/>
        <v>2775.8639476658477</v>
      </c>
      <c r="AS160" s="1061">
        <f t="shared" si="1405"/>
        <v>2840.5498867158972</v>
      </c>
      <c r="AT160" s="1060">
        <f t="shared" si="1405"/>
        <v>3047.8010196756936</v>
      </c>
      <c r="AU160" s="1060">
        <f t="shared" si="1405"/>
        <v>3301.5941393719336</v>
      </c>
      <c r="AV160" s="1060">
        <f t="shared" si="1405"/>
        <v>3228.9453225173743</v>
      </c>
      <c r="AW160" s="1061">
        <f t="shared" si="1405"/>
        <v>3248.315928344507</v>
      </c>
      <c r="AX160" s="1060">
        <f t="shared" si="1405"/>
        <v>3544.0353929007019</v>
      </c>
      <c r="AY160" s="1060">
        <f t="shared" si="1405"/>
        <v>3900.4516454810632</v>
      </c>
      <c r="AZ160" s="1060">
        <f t="shared" si="1405"/>
        <v>3744.2453768502978</v>
      </c>
      <c r="BA160" s="1061">
        <f t="shared" si="1405"/>
        <v>3750.359829370434</v>
      </c>
      <c r="BB160" s="1005"/>
      <c r="BC160" s="981"/>
      <c r="BD160" s="1083"/>
      <c r="BE160" s="1083">
        <f>SUM(F160:I160)</f>
        <v>1666</v>
      </c>
      <c r="BF160" s="1083">
        <f>SUM(J160:M160)</f>
        <v>2023</v>
      </c>
      <c r="BG160" s="1083">
        <f>SUM(N160:Q160)</f>
        <v>2497</v>
      </c>
      <c r="BH160" s="1083">
        <f>SUM(R160:U160)</f>
        <v>3018</v>
      </c>
      <c r="BI160" s="1083">
        <f>SUM(V160:Y160)</f>
        <v>3608</v>
      </c>
      <c r="BJ160" s="1083">
        <f>SUM(Z160:AC160)</f>
        <v>5072.8730194166747</v>
      </c>
      <c r="BK160" s="1083">
        <f>SUM(AD160:AG160)</f>
        <v>6378.6191081025636</v>
      </c>
      <c r="BL160" s="1083">
        <f>SUM(AH160:AK160)</f>
        <v>7810.5559257711029</v>
      </c>
      <c r="BM160" s="1083">
        <f>SUM(AL160:AO160)</f>
        <v>9325</v>
      </c>
      <c r="BN160" s="1364">
        <f>SUM(AP160:AS160)</f>
        <v>11004.585834381745</v>
      </c>
      <c r="BO160" s="1364">
        <f>SUM(AT160:AW160)</f>
        <v>12826.656409909509</v>
      </c>
      <c r="BP160" s="1364">
        <f>SUM(AX160:BA160)</f>
        <v>14939.092244602498</v>
      </c>
      <c r="BR160" s="1429"/>
      <c r="BS160" s="1429"/>
      <c r="BT160" s="1429"/>
      <c r="BU160" s="1263"/>
    </row>
    <row r="161" spans="1:73" s="1014" customFormat="1" ht="12" hidden="1" customHeight="1" outlineLevel="2">
      <c r="A161" s="1064" t="s">
        <v>181</v>
      </c>
      <c r="B161" s="987"/>
      <c r="C161" s="987"/>
      <c r="D161" s="987"/>
      <c r="E161" s="998"/>
      <c r="F161" s="999" t="str">
        <f t="shared" ref="F161:BA161" si="1407">IF(ISERROR(F160/B160-1),"NA",F160/B160-1)</f>
        <v>NA</v>
      </c>
      <c r="G161" s="987" t="str">
        <f t="shared" si="1407"/>
        <v>NA</v>
      </c>
      <c r="H161" s="987" t="str">
        <f t="shared" si="1407"/>
        <v>NA</v>
      </c>
      <c r="I161" s="998" t="str">
        <f t="shared" si="1407"/>
        <v>NA</v>
      </c>
      <c r="J161" s="999">
        <f t="shared" si="1407"/>
        <v>0.14814814814814814</v>
      </c>
      <c r="K161" s="987">
        <f t="shared" si="1407"/>
        <v>0.17505995203836933</v>
      </c>
      <c r="L161" s="987">
        <f t="shared" si="1407"/>
        <v>0.12095032397408212</v>
      </c>
      <c r="M161" s="998">
        <f t="shared" si="1407"/>
        <v>0.44094488188976388</v>
      </c>
      <c r="N161" s="999">
        <f t="shared" si="1407"/>
        <v>0.24516129032258061</v>
      </c>
      <c r="O161" s="987">
        <f t="shared" si="1407"/>
        <v>0.22857142857142865</v>
      </c>
      <c r="P161" s="987">
        <f t="shared" si="1407"/>
        <v>0.24084778420038533</v>
      </c>
      <c r="Q161" s="998">
        <f t="shared" si="1407"/>
        <v>0.22404371584699456</v>
      </c>
      <c r="R161" s="984">
        <f t="shared" si="1407"/>
        <v>0.226252158894646</v>
      </c>
      <c r="S161" s="984">
        <f t="shared" si="1407"/>
        <v>0.2259136212624584</v>
      </c>
      <c r="T161" s="984">
        <f t="shared" si="1407"/>
        <v>0.17391304347826098</v>
      </c>
      <c r="U161" s="985">
        <f t="shared" si="1407"/>
        <v>0.21130952380952372</v>
      </c>
      <c r="V161" s="984">
        <f t="shared" si="1407"/>
        <v>0.1732394366197183</v>
      </c>
      <c r="W161" s="984">
        <f t="shared" si="1407"/>
        <v>0.15311653116531154</v>
      </c>
      <c r="X161" s="984">
        <f t="shared" si="1407"/>
        <v>0.22619047619047628</v>
      </c>
      <c r="Y161" s="985">
        <f t="shared" si="1407"/>
        <v>0.22481572481572476</v>
      </c>
      <c r="Z161" s="1270">
        <f t="shared" si="1407"/>
        <v>0.26410564225690281</v>
      </c>
      <c r="AA161" s="984">
        <f t="shared" si="1407"/>
        <v>0.48518296710843289</v>
      </c>
      <c r="AB161" s="984">
        <f t="shared" si="1407"/>
        <v>0.43429539932488836</v>
      </c>
      <c r="AC161" s="985">
        <f t="shared" si="1407"/>
        <v>0.43068252681366781</v>
      </c>
      <c r="AD161" s="984">
        <f t="shared" si="1407"/>
        <v>0.39656476989810319</v>
      </c>
      <c r="AE161" s="984">
        <f t="shared" si="1407"/>
        <v>0.21488270698825285</v>
      </c>
      <c r="AF161" s="984">
        <f t="shared" si="1407"/>
        <v>0.227557682004083</v>
      </c>
      <c r="AG161" s="985">
        <f t="shared" si="1407"/>
        <v>0.22014749712751569</v>
      </c>
      <c r="AH161" s="984">
        <f t="shared" si="1407"/>
        <v>0.25123190733733791</v>
      </c>
      <c r="AI161" s="984">
        <f t="shared" si="1407"/>
        <v>0.24130649026303241</v>
      </c>
      <c r="AJ161" s="984">
        <f t="shared" si="1407"/>
        <v>0.19572334138316871</v>
      </c>
      <c r="AK161" s="985">
        <f t="shared" si="1407"/>
        <v>0.21403530723198427</v>
      </c>
      <c r="AL161" s="984">
        <f t="shared" si="1407"/>
        <v>0.17823525575530974</v>
      </c>
      <c r="AM161" s="984">
        <f t="shared" si="1407"/>
        <v>0.2077649527806924</v>
      </c>
      <c r="AN161" s="984">
        <f t="shared" si="1407"/>
        <v>0.21028858793934169</v>
      </c>
      <c r="AO161" s="985">
        <f t="shared" si="1407"/>
        <v>0.17988640318402038</v>
      </c>
      <c r="AP161" s="984">
        <f t="shared" si="1407"/>
        <v>0.21125461254612543</v>
      </c>
      <c r="AQ161" s="984">
        <f t="shared" si="1407"/>
        <v>0.19990095569070365</v>
      </c>
      <c r="AR161" s="984">
        <f t="shared" si="1407"/>
        <v>0.17521759003634529</v>
      </c>
      <c r="AS161" s="985">
        <f t="shared" si="1407"/>
        <v>0.13941030353626038</v>
      </c>
      <c r="AT161" s="984">
        <f t="shared" si="1407"/>
        <v>0.1606249122908201</v>
      </c>
      <c r="AU161" s="984">
        <f t="shared" si="1407"/>
        <v>0.19528912007359911</v>
      </c>
      <c r="AV161" s="984">
        <f t="shared" si="1407"/>
        <v>0.16322175127945693</v>
      </c>
      <c r="AW161" s="985">
        <f t="shared" si="1407"/>
        <v>0.14355179732472467</v>
      </c>
      <c r="AX161" s="984">
        <f t="shared" si="1407"/>
        <v>0.16281718196872674</v>
      </c>
      <c r="AY161" s="984">
        <f t="shared" si="1407"/>
        <v>0.18138434975022433</v>
      </c>
      <c r="AZ161" s="984">
        <f t="shared" si="1407"/>
        <v>0.15958773000565452</v>
      </c>
      <c r="BA161" s="985">
        <f t="shared" si="1407"/>
        <v>0.15455513321384107</v>
      </c>
      <c r="BB161" s="1013"/>
      <c r="BC161" s="841"/>
      <c r="BD161" s="842"/>
      <c r="BE161" s="842" t="str">
        <f t="shared" ref="BE161:BP161" si="1408">IF(ISERROR(BE160/BD160-1),"NA",BE160/BD160-1)</f>
        <v>NA</v>
      </c>
      <c r="BF161" s="842">
        <f t="shared" si="1408"/>
        <v>0.21428571428571419</v>
      </c>
      <c r="BG161" s="842">
        <f t="shared" si="1408"/>
        <v>0.23430548690064268</v>
      </c>
      <c r="BH161" s="842">
        <f t="shared" si="1408"/>
        <v>0.20865038045654782</v>
      </c>
      <c r="BI161" s="842">
        <f t="shared" si="1408"/>
        <v>0.19549370444002645</v>
      </c>
      <c r="BJ161" s="842">
        <f t="shared" si="1408"/>
        <v>0.40600693442812497</v>
      </c>
      <c r="BK161" s="842">
        <f t="shared" si="1408"/>
        <v>0.25739774752651612</v>
      </c>
      <c r="BL161" s="842">
        <f t="shared" si="1408"/>
        <v>0.22449009627328187</v>
      </c>
      <c r="BM161" s="842">
        <f t="shared" si="1408"/>
        <v>0.19389709114455678</v>
      </c>
      <c r="BN161" s="1187">
        <f t="shared" si="1408"/>
        <v>0.18011644336533461</v>
      </c>
      <c r="BO161" s="1187">
        <f t="shared" si="1408"/>
        <v>0.16557375288355236</v>
      </c>
      <c r="BP161" s="1187">
        <f t="shared" si="1408"/>
        <v>0.16469107514729875</v>
      </c>
      <c r="BR161" s="1425"/>
      <c r="BS161" s="1425"/>
      <c r="BT161" s="1425"/>
      <c r="BU161" s="1263"/>
    </row>
    <row r="162" spans="1:73" s="1014" customFormat="1" ht="12" hidden="1" customHeight="1" outlineLevel="2">
      <c r="A162" s="1064" t="s">
        <v>291</v>
      </c>
      <c r="B162" s="987"/>
      <c r="C162" s="987"/>
      <c r="D162" s="987"/>
      <c r="E162" s="998"/>
      <c r="F162" s="999" t="str">
        <f t="shared" ref="F162:BA162" si="1409">IF(ISERROR(F160/E160-1),"NA",F160/E160-1)</f>
        <v>NA</v>
      </c>
      <c r="G162" s="987">
        <f t="shared" si="1409"/>
        <v>2.9629629629629672E-2</v>
      </c>
      <c r="H162" s="987">
        <f t="shared" si="1409"/>
        <v>0.11031175059952036</v>
      </c>
      <c r="I162" s="998">
        <f t="shared" si="1409"/>
        <v>-0.17710583153347736</v>
      </c>
      <c r="J162" s="999">
        <f t="shared" si="1409"/>
        <v>0.22047244094488194</v>
      </c>
      <c r="K162" s="987">
        <f t="shared" si="1409"/>
        <v>5.3763440860215006E-2</v>
      </c>
      <c r="L162" s="987">
        <f t="shared" si="1409"/>
        <v>5.9183673469387799E-2</v>
      </c>
      <c r="M162" s="998">
        <f t="shared" si="1409"/>
        <v>5.7803468208092568E-2</v>
      </c>
      <c r="N162" s="999">
        <f t="shared" si="1409"/>
        <v>5.464480874316946E-2</v>
      </c>
      <c r="O162" s="987">
        <f t="shared" si="1409"/>
        <v>3.9723661485319584E-2</v>
      </c>
      <c r="P162" s="987">
        <f t="shared" si="1409"/>
        <v>6.9767441860465018E-2</v>
      </c>
      <c r="Q162" s="998">
        <f t="shared" si="1409"/>
        <v>4.3478260869565188E-2</v>
      </c>
      <c r="R162" s="984">
        <f t="shared" si="1409"/>
        <v>5.6547619047619069E-2</v>
      </c>
      <c r="S162" s="984">
        <f t="shared" si="1409"/>
        <v>3.9436619718309807E-2</v>
      </c>
      <c r="T162" s="984">
        <f t="shared" si="1409"/>
        <v>2.4390243902439046E-2</v>
      </c>
      <c r="U162" s="985">
        <f t="shared" si="1409"/>
        <v>7.6719576719576743E-2</v>
      </c>
      <c r="V162" s="984">
        <f t="shared" si="1409"/>
        <v>2.3341523341523285E-2</v>
      </c>
      <c r="W162" s="984">
        <f t="shared" si="1409"/>
        <v>2.1608643457383003E-2</v>
      </c>
      <c r="X162" s="984">
        <f t="shared" si="1409"/>
        <v>8.9306698002350249E-2</v>
      </c>
      <c r="Y162" s="985">
        <f t="shared" si="1409"/>
        <v>7.5512405609492905E-2</v>
      </c>
      <c r="Z162" s="1270">
        <f t="shared" si="1409"/>
        <v>5.6168505516549727E-2</v>
      </c>
      <c r="AA162" s="984">
        <f t="shared" si="1409"/>
        <v>0.20027607313321605</v>
      </c>
      <c r="AB162" s="984">
        <f t="shared" si="1409"/>
        <v>5.1983237082523726E-2</v>
      </c>
      <c r="AC162" s="985">
        <f t="shared" si="1409"/>
        <v>7.2803278042373742E-2</v>
      </c>
      <c r="AD162" s="984">
        <f t="shared" si="1409"/>
        <v>3.0981855328445329E-2</v>
      </c>
      <c r="AE162" s="984">
        <f t="shared" si="1409"/>
        <v>4.4129621691448628E-2</v>
      </c>
      <c r="AF162" s="984">
        <f t="shared" si="1409"/>
        <v>6.2958668019513775E-2</v>
      </c>
      <c r="AG162" s="985">
        <f t="shared" si="1409"/>
        <v>6.6327272276597515E-2</v>
      </c>
      <c r="AH162" s="984">
        <f t="shared" si="1409"/>
        <v>5.7247092101343489E-2</v>
      </c>
      <c r="AI162" s="984">
        <f t="shared" si="1409"/>
        <v>3.5847046803330507E-2</v>
      </c>
      <c r="AJ162" s="984">
        <f t="shared" si="1409"/>
        <v>2.3924792342920886E-2</v>
      </c>
      <c r="AK162" s="985">
        <f t="shared" si="1409"/>
        <v>8.2657595452359844E-2</v>
      </c>
      <c r="AL162" s="984">
        <f t="shared" si="1409"/>
        <v>2.6070486202549592E-2</v>
      </c>
      <c r="AM162" s="984">
        <f t="shared" si="1409"/>
        <v>6.1808118081180918E-2</v>
      </c>
      <c r="AN162" s="984">
        <f t="shared" si="1409"/>
        <v>2.6064291920069538E-2</v>
      </c>
      <c r="AO162" s="985">
        <f t="shared" si="1409"/>
        <v>5.546147332768836E-2</v>
      </c>
      <c r="AP162" s="984">
        <f t="shared" si="1409"/>
        <v>5.3349378259125446E-2</v>
      </c>
      <c r="AQ162" s="984">
        <f t="shared" si="1409"/>
        <v>5.185529322162985E-2</v>
      </c>
      <c r="AR162" s="984">
        <f t="shared" si="1409"/>
        <v>4.9569496996739737E-3</v>
      </c>
      <c r="AS162" s="985">
        <f t="shared" si="1409"/>
        <v>2.3302993327335875E-2</v>
      </c>
      <c r="AT162" s="984">
        <f t="shared" si="1409"/>
        <v>7.2961624060547736E-2</v>
      </c>
      <c r="AU162" s="984">
        <f t="shared" si="1409"/>
        <v>8.3270895330051831E-2</v>
      </c>
      <c r="AV162" s="984">
        <f t="shared" si="1409"/>
        <v>-2.2004163379203079E-2</v>
      </c>
      <c r="AW162" s="985">
        <f t="shared" si="1409"/>
        <v>5.9990504305074133E-3</v>
      </c>
      <c r="AX162" s="984">
        <f t="shared" si="1409"/>
        <v>9.103777806086355E-2</v>
      </c>
      <c r="AY162" s="984">
        <f t="shared" si="1409"/>
        <v>0.10056791568569623</v>
      </c>
      <c r="AZ162" s="984">
        <f t="shared" si="1409"/>
        <v>-4.0048251543315705E-2</v>
      </c>
      <c r="BA162" s="985">
        <f t="shared" si="1409"/>
        <v>1.6330266595079301E-3</v>
      </c>
      <c r="BB162" s="1013"/>
      <c r="BC162" s="846"/>
      <c r="BD162" s="989"/>
      <c r="BE162" s="989" t="s">
        <v>366</v>
      </c>
      <c r="BF162" s="989" t="s">
        <v>366</v>
      </c>
      <c r="BG162" s="841" t="s">
        <v>366</v>
      </c>
      <c r="BH162" s="841" t="s">
        <v>366</v>
      </c>
      <c r="BI162" s="989" t="s">
        <v>366</v>
      </c>
      <c r="BJ162" s="989" t="s">
        <v>366</v>
      </c>
      <c r="BK162" s="989" t="s">
        <v>366</v>
      </c>
      <c r="BL162" s="989" t="s">
        <v>366</v>
      </c>
      <c r="BM162" s="1046" t="s">
        <v>366</v>
      </c>
      <c r="BN162" s="1188" t="s">
        <v>366</v>
      </c>
      <c r="BO162" s="1188" t="s">
        <v>366</v>
      </c>
      <c r="BP162" s="1188" t="s">
        <v>366</v>
      </c>
      <c r="BR162" s="1425"/>
      <c r="BS162" s="1425"/>
      <c r="BT162" s="1425"/>
      <c r="BU162" s="1263"/>
    </row>
    <row r="163" spans="1:73" s="1014" customFormat="1" ht="12" hidden="1" customHeight="1" outlineLevel="2">
      <c r="A163" s="1064" t="s">
        <v>153</v>
      </c>
      <c r="B163" s="1008"/>
      <c r="C163" s="1008"/>
      <c r="D163" s="1008"/>
      <c r="E163" s="1009"/>
      <c r="F163" s="1008">
        <f t="shared" ref="F163:BA163" si="1410">+F160/F$6</f>
        <v>0.52056555269922877</v>
      </c>
      <c r="G163" s="1008">
        <f t="shared" si="1410"/>
        <v>0.41043307086614172</v>
      </c>
      <c r="H163" s="1008">
        <f t="shared" si="1410"/>
        <v>0.18221172766627311</v>
      </c>
      <c r="I163" s="1009">
        <f t="shared" si="1410"/>
        <v>0.45249406175771972</v>
      </c>
      <c r="J163" s="1010">
        <f t="shared" si="1410"/>
        <v>0.51098901098901095</v>
      </c>
      <c r="K163" s="1008">
        <f t="shared" si="1410"/>
        <v>0.3659447348767737</v>
      </c>
      <c r="L163" s="1010">
        <f t="shared" si="1410"/>
        <v>0.17822802197802198</v>
      </c>
      <c r="M163" s="1009">
        <f t="shared" si="1410"/>
        <v>0.63541666666666663</v>
      </c>
      <c r="N163" s="1008">
        <f t="shared" si="1410"/>
        <v>0.56988188976377951</v>
      </c>
      <c r="O163" s="1008">
        <f t="shared" si="1410"/>
        <v>0.4007989347536618</v>
      </c>
      <c r="P163" s="1008">
        <f t="shared" si="1410"/>
        <v>0.19682151589242053</v>
      </c>
      <c r="Q163" s="1009">
        <f t="shared" si="1410"/>
        <v>0.676056338028169</v>
      </c>
      <c r="R163" s="984">
        <f t="shared" si="1410"/>
        <v>0.6094420600858369</v>
      </c>
      <c r="S163" s="984">
        <f t="shared" si="1410"/>
        <v>0.43514150943396224</v>
      </c>
      <c r="T163" s="984">
        <f t="shared" si="1410"/>
        <v>0.25183211192538307</v>
      </c>
      <c r="U163" s="985">
        <f t="shared" si="1410"/>
        <v>0.44823788546255505</v>
      </c>
      <c r="V163" s="984">
        <f t="shared" si="1410"/>
        <v>0.62962962962962965</v>
      </c>
      <c r="W163" s="984">
        <f t="shared" si="1410"/>
        <v>0.5399746192893401</v>
      </c>
      <c r="X163" s="984">
        <f t="shared" si="1410"/>
        <v>0.22214234363767074</v>
      </c>
      <c r="Y163" s="985">
        <f t="shared" si="1410"/>
        <v>0.38930105427567357</v>
      </c>
      <c r="Z163" s="1270">
        <f t="shared" si="1410"/>
        <v>0.5246636771300448</v>
      </c>
      <c r="AA163" s="984">
        <f t="shared" si="1410"/>
        <v>0.47283602881005476</v>
      </c>
      <c r="AB163" s="984">
        <f t="shared" si="1410"/>
        <v>0.23607809573405039</v>
      </c>
      <c r="AC163" s="985">
        <f t="shared" si="1410"/>
        <v>0.59088255146363999</v>
      </c>
      <c r="AD163" s="984">
        <f t="shared" si="1410"/>
        <v>0.56626211116777148</v>
      </c>
      <c r="AE163" s="984">
        <f t="shared" si="1410"/>
        <v>0.50492566952941831</v>
      </c>
      <c r="AF163" s="984">
        <f t="shared" si="1410"/>
        <v>0.27121147743402474</v>
      </c>
      <c r="AG163" s="985">
        <f t="shared" si="1410"/>
        <v>0.641742910458311</v>
      </c>
      <c r="AH163" s="984">
        <f t="shared" si="1410"/>
        <v>0.61787777031564806</v>
      </c>
      <c r="AI163" s="984">
        <f t="shared" si="1410"/>
        <v>0.56290608387477858</v>
      </c>
      <c r="AJ163" s="984">
        <f t="shared" si="1410"/>
        <v>0.28968393264147363</v>
      </c>
      <c r="AK163" s="985">
        <f t="shared" si="1410"/>
        <v>0.6636040425771027</v>
      </c>
      <c r="AL163" s="984">
        <f t="shared" si="1410"/>
        <v>0.66037161133109956</v>
      </c>
      <c r="AM163" s="984">
        <f t="shared" si="1410"/>
        <v>0.58087307595256121</v>
      </c>
      <c r="AN163" s="984">
        <f t="shared" si="1410"/>
        <v>0.30461697188547848</v>
      </c>
      <c r="AO163" s="985">
        <f t="shared" si="1410"/>
        <v>0.6507439310884886</v>
      </c>
      <c r="AP163" s="984">
        <f t="shared" ref="AP163:AQ163" si="1411">+AP160/AP$6</f>
        <v>0.67593307593307594</v>
      </c>
      <c r="AQ163" s="984">
        <f t="shared" si="1411"/>
        <v>0.59388776607181248</v>
      </c>
      <c r="AR163" s="984">
        <f t="shared" si="1410"/>
        <v>0.32701196404881477</v>
      </c>
      <c r="AS163" s="985">
        <f t="shared" si="1410"/>
        <v>0.66795172789431889</v>
      </c>
      <c r="AT163" s="984">
        <f t="shared" si="1410"/>
        <v>0.6899692164162935</v>
      </c>
      <c r="AU163" s="984">
        <f t="shared" si="1410"/>
        <v>0.62279010516361033</v>
      </c>
      <c r="AV163" s="984">
        <f t="shared" si="1410"/>
        <v>0.34707646962206762</v>
      </c>
      <c r="AW163" s="985">
        <f t="shared" si="1410"/>
        <v>0.68450818183685203</v>
      </c>
      <c r="AX163" s="984">
        <f t="shared" si="1410"/>
        <v>0.71187792810975947</v>
      </c>
      <c r="AY163" s="984">
        <f t="shared" si="1410"/>
        <v>0.64758807116511863</v>
      </c>
      <c r="AZ163" s="984">
        <f t="shared" si="1410"/>
        <v>0.36574310117912817</v>
      </c>
      <c r="BA163" s="985">
        <f t="shared" si="1410"/>
        <v>0.70325325300366881</v>
      </c>
      <c r="BB163" s="1013"/>
      <c r="BC163" s="846"/>
      <c r="BD163" s="1011"/>
      <c r="BE163" s="1011">
        <f t="shared" ref="BE163:BP163" si="1412">+BE160/BE$6</f>
        <v>0.32180799690940698</v>
      </c>
      <c r="BF163" s="1017">
        <f t="shared" si="1412"/>
        <v>0.33576763485477179</v>
      </c>
      <c r="BG163" s="1017">
        <f t="shared" si="1412"/>
        <v>0.36807193396226418</v>
      </c>
      <c r="BH163" s="1017">
        <f t="shared" si="1412"/>
        <v>0.39301992446933193</v>
      </c>
      <c r="BI163" s="1017">
        <f t="shared" si="1412"/>
        <v>0.37454583203571057</v>
      </c>
      <c r="BJ163" s="1017">
        <f t="shared" si="1412"/>
        <v>0.39862274237126155</v>
      </c>
      <c r="BK163" s="1017">
        <f t="shared" si="1412"/>
        <v>0.44394620741248353</v>
      </c>
      <c r="BL163" s="1017">
        <f t="shared" si="1412"/>
        <v>0.47961657511643246</v>
      </c>
      <c r="BM163" s="1062">
        <f t="shared" si="1412"/>
        <v>0.49519409484360893</v>
      </c>
      <c r="BN163" s="1368">
        <f t="shared" si="1412"/>
        <v>0.51720090648130457</v>
      </c>
      <c r="BO163" s="1368">
        <f t="shared" si="1412"/>
        <v>0.53967579011369138</v>
      </c>
      <c r="BP163" s="1368">
        <f t="shared" si="1412"/>
        <v>0.56221789762678254</v>
      </c>
      <c r="BR163" s="1425"/>
      <c r="BS163" s="1425"/>
      <c r="BT163" s="1425"/>
      <c r="BU163" s="1263"/>
    </row>
    <row r="164" spans="1:73" s="1014" customFormat="1" ht="12" hidden="1" customHeight="1" outlineLevel="2">
      <c r="A164" s="1064" t="s">
        <v>373</v>
      </c>
      <c r="B164" s="1008"/>
      <c r="C164" s="1008"/>
      <c r="D164" s="1008"/>
      <c r="E164" s="1009"/>
      <c r="F164" s="1008">
        <f t="shared" ref="F164:AA164" si="1413">+F160/F24</f>
        <v>0.68296795952782463</v>
      </c>
      <c r="G164" s="1008">
        <f t="shared" si="1413"/>
        <v>0.67475728155339809</v>
      </c>
      <c r="H164" s="1008">
        <f t="shared" si="1413"/>
        <v>0.70687022900763363</v>
      </c>
      <c r="I164" s="1009">
        <f t="shared" si="1413"/>
        <v>0.53813559322033899</v>
      </c>
      <c r="J164" s="1010">
        <f t="shared" si="1413"/>
        <v>0.56776556776556775</v>
      </c>
      <c r="K164" s="1008">
        <f t="shared" si="1413"/>
        <v>0.68723702664796638</v>
      </c>
      <c r="L164" s="1010">
        <f t="shared" si="1413"/>
        <v>0.69477911646586343</v>
      </c>
      <c r="M164" s="1009">
        <f t="shared" si="1413"/>
        <v>0.70204603580562663</v>
      </c>
      <c r="N164" s="1008">
        <f t="shared" si="1413"/>
        <v>0.63766519823788548</v>
      </c>
      <c r="O164" s="1008">
        <f t="shared" si="1413"/>
        <v>0.72268907563025209</v>
      </c>
      <c r="P164" s="1008">
        <f t="shared" si="1413"/>
        <v>0.72604284103720407</v>
      </c>
      <c r="Q164" s="1009">
        <f t="shared" si="1413"/>
        <v>0.74254143646408843</v>
      </c>
      <c r="R164" s="984">
        <f t="shared" si="1413"/>
        <v>0.67877629063097511</v>
      </c>
      <c r="S164" s="984">
        <f t="shared" si="1413"/>
        <v>0.75847893114080167</v>
      </c>
      <c r="T164" s="984">
        <f t="shared" si="1413"/>
        <v>0.76985743380855398</v>
      </c>
      <c r="U164" s="985">
        <f t="shared" si="1413"/>
        <v>0.77597712106768346</v>
      </c>
      <c r="V164" s="984">
        <f t="shared" si="1413"/>
        <v>0.70533446232006769</v>
      </c>
      <c r="W164" s="984">
        <f t="shared" si="1413"/>
        <v>0.78942486085343233</v>
      </c>
      <c r="X164" s="984">
        <f t="shared" si="1413"/>
        <v>0.78759558198810531</v>
      </c>
      <c r="Y164" s="985">
        <f t="shared" si="1413"/>
        <v>0.79632587859424919</v>
      </c>
      <c r="Z164" s="1270">
        <f t="shared" si="1413"/>
        <v>0.72972972972972971</v>
      </c>
      <c r="AA164" s="984">
        <f t="shared" si="1413"/>
        <v>0.79942486085343223</v>
      </c>
      <c r="AB164" s="1963">
        <f t="shared" ref="AB164:BA164" si="1414">1-AB158</f>
        <v>0.79759558198810532</v>
      </c>
      <c r="AC164" s="1964">
        <f t="shared" si="1414"/>
        <v>0.8063258785942492</v>
      </c>
      <c r="AD164" s="1963">
        <f t="shared" si="1414"/>
        <v>0.73972972972972972</v>
      </c>
      <c r="AE164" s="1963">
        <f t="shared" si="1414"/>
        <v>0.80942486085343224</v>
      </c>
      <c r="AF164" s="1963">
        <f t="shared" si="1414"/>
        <v>0.80759558198810533</v>
      </c>
      <c r="AG164" s="1964">
        <f t="shared" si="1414"/>
        <v>0.81632587859424921</v>
      </c>
      <c r="AH164" s="1963">
        <f t="shared" si="1414"/>
        <v>0.78500000000000003</v>
      </c>
      <c r="AI164" s="1963">
        <f t="shared" si="1414"/>
        <v>0.84899777282850786</v>
      </c>
      <c r="AJ164" s="1963">
        <f t="shared" si="1414"/>
        <v>0.81759558198810534</v>
      </c>
      <c r="AK164" s="1964">
        <f t="shared" si="1414"/>
        <v>0.82632587859424922</v>
      </c>
      <c r="AL164" s="1963">
        <f t="shared" si="1414"/>
        <v>0.85220125786163525</v>
      </c>
      <c r="AM164" s="1963">
        <f t="shared" si="1414"/>
        <v>0.86184949457132154</v>
      </c>
      <c r="AN164" s="1963">
        <f t="shared" si="1414"/>
        <v>0.82906282906282902</v>
      </c>
      <c r="AO164" s="1964">
        <f>1-AO158</f>
        <v>0.82741453700630596</v>
      </c>
      <c r="AP164" s="1963">
        <f t="shared" ref="AP164:AQ164" si="1415">1-AP158</f>
        <v>0.87796723503844865</v>
      </c>
      <c r="AQ164" s="1963">
        <f t="shared" si="1415"/>
        <v>0.873</v>
      </c>
      <c r="AR164" s="1069">
        <f t="shared" si="1414"/>
        <v>0.85906282906282905</v>
      </c>
      <c r="AS164" s="1070">
        <f t="shared" si="1414"/>
        <v>0.83741453700630597</v>
      </c>
      <c r="AT164" s="1069">
        <f t="shared" si="1414"/>
        <v>0.88796723503844865</v>
      </c>
      <c r="AU164" s="1069">
        <f t="shared" si="1414"/>
        <v>0.88300000000000001</v>
      </c>
      <c r="AV164" s="1069">
        <f t="shared" si="1414"/>
        <v>0.86906282906282906</v>
      </c>
      <c r="AW164" s="1070">
        <f t="shared" si="1414"/>
        <v>0.84741453700630598</v>
      </c>
      <c r="AX164" s="1069">
        <f t="shared" si="1414"/>
        <v>0.89796723503844866</v>
      </c>
      <c r="AY164" s="1069">
        <f t="shared" si="1414"/>
        <v>0.89300000000000002</v>
      </c>
      <c r="AZ164" s="1069">
        <f t="shared" si="1414"/>
        <v>0.87906282906282907</v>
      </c>
      <c r="BA164" s="1070">
        <f t="shared" si="1414"/>
        <v>0.85741453700630599</v>
      </c>
      <c r="BB164" s="1013"/>
      <c r="BC164" s="846"/>
      <c r="BD164" s="1011"/>
      <c r="BE164" s="1011">
        <f t="shared" ref="BE164:BP164" si="1416">+BE160/BE24</f>
        <v>0.64724164724164723</v>
      </c>
      <c r="BF164" s="1017">
        <f t="shared" si="1416"/>
        <v>0.66089513230970276</v>
      </c>
      <c r="BG164" s="1017">
        <f t="shared" si="1416"/>
        <v>0.70676478913105012</v>
      </c>
      <c r="BH164" s="1017">
        <f t="shared" si="1416"/>
        <v>0.74518518518518517</v>
      </c>
      <c r="BI164" s="1017">
        <f t="shared" si="1416"/>
        <v>0.7696245733788396</v>
      </c>
      <c r="BJ164" s="1017">
        <f t="shared" si="1416"/>
        <v>0.78527446121001154</v>
      </c>
      <c r="BK164" s="1017">
        <f t="shared" si="1416"/>
        <v>0.79355798806949041</v>
      </c>
      <c r="BL164" s="1062">
        <f t="shared" si="1416"/>
        <v>0.81931773059594071</v>
      </c>
      <c r="BM164" s="1062">
        <f t="shared" si="1416"/>
        <v>0.84183443170533534</v>
      </c>
      <c r="BN164" s="1368">
        <f t="shared" si="1416"/>
        <v>0.86119208059916685</v>
      </c>
      <c r="BO164" s="1368">
        <f t="shared" si="1416"/>
        <v>0.87137368120253811</v>
      </c>
      <c r="BP164" s="1368">
        <f t="shared" si="1416"/>
        <v>0.88146991510796269</v>
      </c>
      <c r="BR164" s="1425"/>
      <c r="BS164" s="1425"/>
      <c r="BT164" s="1425"/>
      <c r="BU164" s="1263"/>
    </row>
    <row r="165" spans="1:73" s="1014" customFormat="1" ht="12" customHeight="1" collapsed="1">
      <c r="A165" s="1287"/>
      <c r="B165" s="1008"/>
      <c r="C165" s="1008"/>
      <c r="D165" s="1008"/>
      <c r="E165" s="1009"/>
      <c r="F165" s="1008"/>
      <c r="G165" s="1008"/>
      <c r="H165" s="1008"/>
      <c r="I165" s="1009"/>
      <c r="J165" s="1010"/>
      <c r="K165" s="1008"/>
      <c r="L165" s="1010"/>
      <c r="M165" s="1009"/>
      <c r="N165" s="1008"/>
      <c r="O165" s="1008"/>
      <c r="P165" s="1008"/>
      <c r="Q165" s="1009"/>
      <c r="R165" s="984"/>
      <c r="S165" s="984"/>
      <c r="T165" s="984"/>
      <c r="U165" s="985"/>
      <c r="V165" s="984"/>
      <c r="W165" s="984"/>
      <c r="X165" s="984"/>
      <c r="Y165" s="985"/>
      <c r="Z165" s="1288"/>
      <c r="AA165" s="1069"/>
      <c r="AB165" s="1069"/>
      <c r="AC165" s="1070"/>
      <c r="AD165" s="1069"/>
      <c r="AE165" s="1069"/>
      <c r="AF165" s="1069"/>
      <c r="AG165" s="1070"/>
      <c r="AH165" s="1069"/>
      <c r="AI165" s="1069"/>
      <c r="AJ165" s="1069"/>
      <c r="AK165" s="1070"/>
      <c r="AL165" s="1069"/>
      <c r="AM165" s="1069"/>
      <c r="AN165" s="1069"/>
      <c r="AO165" s="1070"/>
      <c r="AP165" s="1069"/>
      <c r="AQ165" s="1069"/>
      <c r="AR165" s="1069"/>
      <c r="AS165" s="1070"/>
      <c r="AT165" s="1069"/>
      <c r="AU165" s="1069"/>
      <c r="AV165" s="1069"/>
      <c r="AW165" s="1070"/>
      <c r="AX165" s="1069"/>
      <c r="AY165" s="1069"/>
      <c r="AZ165" s="1069"/>
      <c r="BA165" s="1070"/>
      <c r="BB165" s="1013"/>
      <c r="BC165" s="1289"/>
      <c r="BD165" s="1290"/>
      <c r="BE165" s="1290"/>
      <c r="BF165" s="1291"/>
      <c r="BG165" s="1291"/>
      <c r="BH165" s="1291"/>
      <c r="BI165" s="1291"/>
      <c r="BJ165" s="1291"/>
      <c r="BK165" s="1291"/>
      <c r="BL165" s="1292"/>
      <c r="BM165" s="1292"/>
      <c r="BN165" s="1368"/>
      <c r="BO165" s="1368"/>
      <c r="BP165" s="1368"/>
      <c r="BR165" s="1425"/>
      <c r="BS165" s="1425"/>
      <c r="BT165" s="1425"/>
      <c r="BU165" s="1263"/>
    </row>
    <row r="166" spans="1:73" s="492" customFormat="1" ht="12" customHeight="1">
      <c r="A166" s="2010" t="s">
        <v>714</v>
      </c>
      <c r="B166" s="2011">
        <f t="shared" ref="B166:AC166" si="1417">+B178+B202+B207</f>
        <v>183</v>
      </c>
      <c r="C166" s="2011">
        <f t="shared" si="1417"/>
        <v>376</v>
      </c>
      <c r="D166" s="2011">
        <f t="shared" si="1417"/>
        <v>1747</v>
      </c>
      <c r="E166" s="2012">
        <f t="shared" si="1417"/>
        <v>167</v>
      </c>
      <c r="F166" s="2013">
        <f t="shared" si="1417"/>
        <v>185</v>
      </c>
      <c r="G166" s="2013">
        <f t="shared" si="1417"/>
        <v>398</v>
      </c>
      <c r="H166" s="2013">
        <f t="shared" si="1417"/>
        <v>1885</v>
      </c>
      <c r="I166" s="2014">
        <f t="shared" si="1417"/>
        <v>173</v>
      </c>
      <c r="J166" s="2013">
        <f t="shared" si="1417"/>
        <v>91</v>
      </c>
      <c r="K166" s="2013">
        <f t="shared" si="1417"/>
        <v>626</v>
      </c>
      <c r="L166" s="2013">
        <f t="shared" si="1417"/>
        <v>2165</v>
      </c>
      <c r="M166" s="2014">
        <f t="shared" si="1417"/>
        <v>82</v>
      </c>
      <c r="N166" s="2013">
        <f t="shared" si="1417"/>
        <v>108</v>
      </c>
      <c r="O166" s="2013">
        <f t="shared" si="1417"/>
        <v>669</v>
      </c>
      <c r="P166" s="2013">
        <f t="shared" si="1417"/>
        <v>2385</v>
      </c>
      <c r="Q166" s="2014">
        <f t="shared" si="1417"/>
        <v>89</v>
      </c>
      <c r="R166" s="2013">
        <f t="shared" si="1417"/>
        <v>119</v>
      </c>
      <c r="S166" s="2013">
        <f t="shared" si="1417"/>
        <v>723</v>
      </c>
      <c r="T166" s="2013">
        <f t="shared" si="1417"/>
        <v>2020</v>
      </c>
      <c r="U166" s="2014">
        <f t="shared" si="1417"/>
        <v>767</v>
      </c>
      <c r="V166" s="2013">
        <f t="shared" si="1417"/>
        <v>142</v>
      </c>
      <c r="W166" s="2015">
        <f t="shared" si="1417"/>
        <v>498</v>
      </c>
      <c r="X166" s="2015">
        <f t="shared" si="1417"/>
        <v>2996</v>
      </c>
      <c r="Y166" s="2014">
        <f t="shared" si="1417"/>
        <v>1309</v>
      </c>
      <c r="Z166" s="2016">
        <f t="shared" si="1417"/>
        <v>564</v>
      </c>
      <c r="AA166" s="2015">
        <f t="shared" si="1417"/>
        <v>1092</v>
      </c>
      <c r="AB166" s="2015">
        <f t="shared" si="1417"/>
        <v>3965</v>
      </c>
      <c r="AC166" s="2017">
        <f t="shared" si="1417"/>
        <v>645</v>
      </c>
      <c r="AD166" s="2015">
        <f>+AD171+AD197+AD207</f>
        <v>609</v>
      </c>
      <c r="AE166" s="2015">
        <f t="shared" ref="AE166:BA166" si="1418">+AE171+AE197+AE207</f>
        <v>1144</v>
      </c>
      <c r="AF166" s="2015">
        <f t="shared" si="1418"/>
        <v>3997</v>
      </c>
      <c r="AG166" s="2017">
        <f t="shared" si="1418"/>
        <v>580</v>
      </c>
      <c r="AH166" s="2015">
        <f t="shared" si="1418"/>
        <v>634</v>
      </c>
      <c r="AI166" s="2015">
        <f t="shared" si="1418"/>
        <v>1141</v>
      </c>
      <c r="AJ166" s="2015">
        <f t="shared" si="1418"/>
        <v>4350</v>
      </c>
      <c r="AK166" s="2017">
        <f t="shared" si="1418"/>
        <v>627</v>
      </c>
      <c r="AL166" s="2015">
        <f t="shared" si="1418"/>
        <v>739</v>
      </c>
      <c r="AM166" s="2015">
        <f t="shared" si="1418"/>
        <v>1292</v>
      </c>
      <c r="AN166" s="2015">
        <f t="shared" si="1418"/>
        <v>4905</v>
      </c>
      <c r="AO166" s="2017">
        <f t="shared" si="1418"/>
        <v>818</v>
      </c>
      <c r="AP166" s="2015">
        <f>+AP171+AP197+AP207</f>
        <v>894</v>
      </c>
      <c r="AQ166" s="2015">
        <f>+AQ171+AQ197+AQ207</f>
        <v>1487</v>
      </c>
      <c r="AR166" s="2015">
        <f>+AR171+AR197+AR207</f>
        <v>5257.3</v>
      </c>
      <c r="AS166" s="2017">
        <f>+AS171+AS197+AS207</f>
        <v>860.58</v>
      </c>
      <c r="AT166" s="2015">
        <f t="shared" si="1418"/>
        <v>984.96500000000015</v>
      </c>
      <c r="AU166" s="2015">
        <f t="shared" si="1418"/>
        <v>1562.2304000000001</v>
      </c>
      <c r="AV166" s="2015">
        <f t="shared" si="1418"/>
        <v>5587.8340381828302</v>
      </c>
      <c r="AW166" s="2017">
        <f>+AW171+AW197+AW207</f>
        <v>912.26651716388108</v>
      </c>
      <c r="AX166" s="2015">
        <f t="shared" si="1418"/>
        <v>1031.7000475080411</v>
      </c>
      <c r="AY166" s="2015">
        <f t="shared" si="1418"/>
        <v>1655.2373134410109</v>
      </c>
      <c r="AZ166" s="2015">
        <f t="shared" si="1418"/>
        <v>5978.0039569801493</v>
      </c>
      <c r="BA166" s="2017">
        <f t="shared" si="1418"/>
        <v>958.83894396176061</v>
      </c>
      <c r="BB166" s="1013"/>
      <c r="BC166" s="2030"/>
      <c r="BD166" s="2018">
        <f>SUM(B166:E166)</f>
        <v>2473</v>
      </c>
      <c r="BE166" s="2018">
        <f>SUM(F166:I166)</f>
        <v>2641</v>
      </c>
      <c r="BF166" s="2018">
        <f>SUM(J166:M166)</f>
        <v>2964</v>
      </c>
      <c r="BG166" s="2018">
        <f>SUM(N166:Q166)</f>
        <v>3251</v>
      </c>
      <c r="BH166" s="2018">
        <f>SUM(R166:U166)</f>
        <v>3629</v>
      </c>
      <c r="BI166" s="2018">
        <f>SUM(V166:Y166)</f>
        <v>4945</v>
      </c>
      <c r="BJ166" s="2018">
        <f>SUM(Z166:AC166)</f>
        <v>6266</v>
      </c>
      <c r="BK166" s="2018">
        <f>SUM(AD166:AG166)</f>
        <v>6330</v>
      </c>
      <c r="BL166" s="2018">
        <f>SUM(AH166:AK166)</f>
        <v>6752</v>
      </c>
      <c r="BM166" s="2018">
        <f>SUM(AL166:AO166)</f>
        <v>7754</v>
      </c>
      <c r="BN166" s="2019">
        <f>SUM(AP166:AS166)</f>
        <v>8498.880000000001</v>
      </c>
      <c r="BO166" s="2019">
        <f>SUM(AT166:AW166)</f>
        <v>9047.2959553467117</v>
      </c>
      <c r="BP166" s="2019">
        <f>SUM(AX166:BA166)</f>
        <v>9623.7802618909627</v>
      </c>
      <c r="BR166" s="1429"/>
      <c r="BS166" s="1431"/>
      <c r="BT166" s="1432"/>
      <c r="BU166" s="1263"/>
    </row>
    <row r="167" spans="1:73" s="1007" customFormat="1" ht="12" customHeight="1">
      <c r="A167" s="1098" t="s">
        <v>181</v>
      </c>
      <c r="B167" s="999" t="str">
        <f t="shared" ref="B167:D167" si="1419">IF(ISERROR(B166/#REF!-1),"NA",B166/#REF!-1)</f>
        <v>NA</v>
      </c>
      <c r="C167" s="987" t="str">
        <f t="shared" si="1419"/>
        <v>NA</v>
      </c>
      <c r="D167" s="987" t="str">
        <f t="shared" si="1419"/>
        <v>NA</v>
      </c>
      <c r="E167" s="998" t="str">
        <f t="shared" ref="E167" si="1420">IF(ISERROR(E166/A166-1),"NA",E166/A166-1)</f>
        <v>NA</v>
      </c>
      <c r="F167" s="999">
        <f t="shared" ref="F167" si="1421">IF(ISERROR(F166/B166-1),"NA",F166/B166-1)</f>
        <v>1.0928961748633892E-2</v>
      </c>
      <c r="G167" s="987">
        <f t="shared" ref="G167" si="1422">IF(ISERROR(G166/C166-1),"NA",G166/C166-1)</f>
        <v>5.8510638297872397E-2</v>
      </c>
      <c r="H167" s="987">
        <f t="shared" ref="H167" si="1423">IF(ISERROR(H166/D166-1),"NA",H166/D166-1)</f>
        <v>7.899255867200905E-2</v>
      </c>
      <c r="I167" s="998">
        <f t="shared" ref="I167" si="1424">IF(ISERROR(I166/E166-1),"NA",I166/E166-1)</f>
        <v>3.5928143712574911E-2</v>
      </c>
      <c r="J167" s="999">
        <f t="shared" ref="J167" si="1425">IF(ISERROR(J166/F166-1),"NA",J166/F166-1)</f>
        <v>-0.50810810810810803</v>
      </c>
      <c r="K167" s="987">
        <f t="shared" ref="K167" si="1426">IF(ISERROR(K166/G166-1),"NA",K166/G166-1)</f>
        <v>0.57286432160804024</v>
      </c>
      <c r="L167" s="987">
        <f t="shared" ref="L167" si="1427">IF(ISERROR(L166/H166-1),"NA",L166/H166-1)</f>
        <v>0.14854111405835546</v>
      </c>
      <c r="M167" s="998">
        <f t="shared" ref="M167" si="1428">IF(ISERROR(M166/I166-1),"NA",M166/I166-1)</f>
        <v>-0.52601156069364163</v>
      </c>
      <c r="N167" s="999">
        <f t="shared" ref="N167" si="1429">IF(ISERROR(N166/J166-1),"NA",N166/J166-1)</f>
        <v>0.18681318681318682</v>
      </c>
      <c r="O167" s="987">
        <f t="shared" ref="O167" si="1430">IF(ISERROR(O166/K166-1),"NA",O166/K166-1)</f>
        <v>6.8690095846645427E-2</v>
      </c>
      <c r="P167" s="987">
        <f t="shared" ref="P167" si="1431">IF(ISERROR(P166/L166-1),"NA",P166/L166-1)</f>
        <v>0.10161662817551953</v>
      </c>
      <c r="Q167" s="998">
        <f t="shared" ref="Q167" si="1432">IF(ISERROR(Q166/M166-1),"NA",Q166/M166-1)</f>
        <v>8.5365853658536661E-2</v>
      </c>
      <c r="R167" s="984">
        <f t="shared" ref="R167" si="1433">IF(ISERROR(R166/N166-1),"NA",R166/N166-1)</f>
        <v>0.10185185185185186</v>
      </c>
      <c r="S167" s="984">
        <f t="shared" ref="S167" si="1434">IF(ISERROR(S166/O166-1),"NA",S166/O166-1)</f>
        <v>8.0717488789237679E-2</v>
      </c>
      <c r="T167" s="984">
        <f t="shared" ref="T167" si="1435">IF(ISERROR(T166/P166-1),"NA",T166/P166-1)</f>
        <v>-0.15303983228511531</v>
      </c>
      <c r="U167" s="985">
        <f t="shared" ref="U167" si="1436">IF(ISERROR(U166/Q166-1),"NA",U166/Q166-1)</f>
        <v>7.617977528089888</v>
      </c>
      <c r="V167" s="984">
        <f t="shared" ref="V167" si="1437">IF(ISERROR(V166/R166-1),"NA",V166/R166-1)</f>
        <v>0.19327731092436973</v>
      </c>
      <c r="W167" s="984">
        <f t="shared" ref="W167" si="1438">IF(ISERROR(W166/S166-1),"NA",W166/S166-1)</f>
        <v>-0.31120331950207469</v>
      </c>
      <c r="X167" s="984">
        <f t="shared" ref="X167" si="1439">IF(ISERROR(X166/T166-1),"NA",X166/T166-1)</f>
        <v>0.48316831683168315</v>
      </c>
      <c r="Y167" s="985">
        <f t="shared" ref="Y167" si="1440">IF(ISERROR(Y166/U166-1),"NA",Y166/U166-1)</f>
        <v>0.70664928292046936</v>
      </c>
      <c r="Z167" s="1270">
        <f t="shared" ref="Z167" si="1441">IF(ISERROR(Z166/V166-1),"NA",Z166/V166-1)</f>
        <v>2.971830985915493</v>
      </c>
      <c r="AA167" s="984">
        <f t="shared" ref="AA167" si="1442">IF(ISERROR(AA166/W166-1),"NA",AA166/W166-1)</f>
        <v>1.1927710843373496</v>
      </c>
      <c r="AB167" s="984">
        <f t="shared" ref="AB167" si="1443">IF(ISERROR(AB166/X166-1),"NA",AB166/X166-1)</f>
        <v>0.32343124165554071</v>
      </c>
      <c r="AC167" s="985">
        <f t="shared" ref="AC167" si="1444">IF(ISERROR(AC166/Y166-1),"NA",AC166/Y166-1)</f>
        <v>-0.50725744843391896</v>
      </c>
      <c r="AD167" s="984">
        <f t="shared" ref="AD167" si="1445">IF(ISERROR(AD166/Z166-1),"NA",AD166/Z166-1)</f>
        <v>7.9787234042553168E-2</v>
      </c>
      <c r="AE167" s="984">
        <f t="shared" ref="AE167" si="1446">IF(ISERROR(AE166/AA166-1),"NA",AE166/AA166-1)</f>
        <v>4.7619047619047672E-2</v>
      </c>
      <c r="AF167" s="984">
        <f t="shared" ref="AF167" si="1447">IF(ISERROR(AF166/AB166-1),"NA",AF166/AB166-1)</f>
        <v>8.0706179066833972E-3</v>
      </c>
      <c r="AG167" s="985">
        <f t="shared" ref="AG167" si="1448">IF(ISERROR(AG166/AC166-1),"NA",AG166/AC166-1)</f>
        <v>-0.10077519379844957</v>
      </c>
      <c r="AH167" s="984">
        <f t="shared" ref="AH167" si="1449">IF(ISERROR(AH166/AD166-1),"NA",AH166/AD166-1)</f>
        <v>4.1050903119868698E-2</v>
      </c>
      <c r="AI167" s="984">
        <f t="shared" ref="AI167" si="1450">IF(ISERROR(AI166/AE166-1),"NA",AI166/AE166-1)</f>
        <v>-2.622377622377603E-3</v>
      </c>
      <c r="AJ167" s="984">
        <f t="shared" ref="AJ167" si="1451">IF(ISERROR(AJ166/AF166-1),"NA",AJ166/AF166-1)</f>
        <v>8.8316237177883394E-2</v>
      </c>
      <c r="AK167" s="985">
        <f t="shared" ref="AK167" si="1452">IF(ISERROR(AK166/AG166-1),"NA",AK166/AG166-1)</f>
        <v>8.1034482758620685E-2</v>
      </c>
      <c r="AL167" s="984">
        <f t="shared" ref="AL167" si="1453">IF(ISERROR(AL166/AH166-1),"NA",AL166/AH166-1)</f>
        <v>0.16561514195583604</v>
      </c>
      <c r="AM167" s="984">
        <f t="shared" ref="AM167" si="1454">IF(ISERROR(AM166/AI166-1),"NA",AM166/AI166-1)</f>
        <v>0.13234005258545145</v>
      </c>
      <c r="AN167" s="984">
        <f t="shared" ref="AN167" si="1455">IF(ISERROR(AN166/AJ166-1),"NA",AN166/AJ166-1)</f>
        <v>0.12758620689655165</v>
      </c>
      <c r="AO167" s="985">
        <f t="shared" ref="AO167:AQ167" si="1456">IF(ISERROR(AO166/AK166-1),"NA",AO166/AK166-1)</f>
        <v>0.30462519936204147</v>
      </c>
      <c r="AP167" s="984">
        <f t="shared" si="1456"/>
        <v>0.20974289580514216</v>
      </c>
      <c r="AQ167" s="984">
        <f t="shared" si="1456"/>
        <v>0.15092879256965941</v>
      </c>
      <c r="AR167" s="984">
        <f t="shared" ref="AR167" si="1457">IF(ISERROR(AR166/AN166-1),"NA",AR166/AN166-1)</f>
        <v>7.1824668705402717E-2</v>
      </c>
      <c r="AS167" s="985">
        <f t="shared" ref="AS167" si="1458">IF(ISERROR(AS166/AO166-1),"NA",AS166/AO166-1)</f>
        <v>5.2053789731051348E-2</v>
      </c>
      <c r="AT167" s="984">
        <f t="shared" ref="AT167" si="1459">IF(ISERROR(AT166/AP166-1),"NA",AT166/AP166-1)</f>
        <v>0.10175055928411658</v>
      </c>
      <c r="AU167" s="984">
        <f t="shared" ref="AU167" si="1460">IF(ISERROR(AU166/AQ166-1),"NA",AU166/AQ166-1)</f>
        <v>5.0592064559515926E-2</v>
      </c>
      <c r="AV167" s="984">
        <f t="shared" ref="AV167" si="1461">IF(ISERROR(AV166/AR166-1),"NA",AV166/AR166-1)</f>
        <v>6.2871443170986918E-2</v>
      </c>
      <c r="AW167" s="985">
        <f t="shared" ref="AW167" si="1462">IF(ISERROR(AW166/AS166-1),"NA",AW166/AS166-1)</f>
        <v>6.0060095707407779E-2</v>
      </c>
      <c r="AX167" s="984">
        <f t="shared" ref="AX167" si="1463">IF(ISERROR(AX166/AT166-1),"NA",AX166/AT166-1)</f>
        <v>4.7448434724117972E-2</v>
      </c>
      <c r="AY167" s="984">
        <f t="shared" ref="AY167" si="1464">IF(ISERROR(AY166/AU166-1),"NA",AY166/AU166-1)</f>
        <v>5.9534696956998534E-2</v>
      </c>
      <c r="AZ167" s="984">
        <f t="shared" ref="AZ167" si="1465">IF(ISERROR(AZ166/AV166-1),"NA",AZ166/AV166-1)</f>
        <v>6.9824893891122564E-2</v>
      </c>
      <c r="BA167" s="985">
        <f t="shared" ref="BA167" si="1466">IF(ISERROR(BA166/AW166-1),"NA",BA166/AW166-1)</f>
        <v>5.1051338530616164E-2</v>
      </c>
      <c r="BB167" s="1013"/>
      <c r="BC167" s="841"/>
      <c r="BD167" s="842" t="str">
        <f t="shared" ref="BD167" si="1467">IF(ISERROR(BD166/BB166-1),"NA",BD166/BB166-1)</f>
        <v>NA</v>
      </c>
      <c r="BE167" s="842">
        <f t="shared" ref="BE167" si="1468">IF(ISERROR(BE166/BD166-1),"NA",BE166/BD166-1)</f>
        <v>6.7933683784876742E-2</v>
      </c>
      <c r="BF167" s="842">
        <f t="shared" ref="BF167" si="1469">IF(ISERROR(BF166/BE166-1),"NA",BF166/BE166-1)</f>
        <v>0.1223021582733812</v>
      </c>
      <c r="BG167" s="842">
        <f t="shared" ref="BG167" si="1470">IF(ISERROR(BG166/BF166-1),"NA",BG166/BF166-1)</f>
        <v>9.6828609986504777E-2</v>
      </c>
      <c r="BH167" s="842">
        <f t="shared" ref="BH167" si="1471">IF(ISERROR(BH166/BG166-1),"NA",BH166/BG166-1)</f>
        <v>0.11627191633343581</v>
      </c>
      <c r="BI167" s="842">
        <f t="shared" ref="BI167" si="1472">IF(ISERROR(BI166/BH166-1),"NA",BI166/BH166-1)</f>
        <v>0.36263433452741811</v>
      </c>
      <c r="BJ167" s="842">
        <f t="shared" ref="BJ167" si="1473">IF(ISERROR(BJ166/BI166-1),"NA",BJ166/BI166-1)</f>
        <v>0.26713852376137504</v>
      </c>
      <c r="BK167" s="841">
        <f t="shared" ref="BK167" si="1474">IF(ISERROR(BK166/BJ166-1),"NA",BK166/BJ166-1)</f>
        <v>1.0213852537503953E-2</v>
      </c>
      <c r="BL167" s="841">
        <f t="shared" ref="BL167" si="1475">IF(ISERROR(BL166/BK166-1),"NA",BL166/BK166-1)</f>
        <v>6.6666666666666652E-2</v>
      </c>
      <c r="BM167" s="841">
        <f t="shared" ref="BM167" si="1476">IF(ISERROR(BM166/BL166-1),"NA",BM166/BL166-1)</f>
        <v>0.1484004739336493</v>
      </c>
      <c r="BN167" s="1170">
        <f t="shared" ref="BN167" si="1477">IF(ISERROR(BN166/BM166-1),"NA",BN166/BM166-1)</f>
        <v>9.6063966984782256E-2</v>
      </c>
      <c r="BO167" s="1170">
        <f t="shared" ref="BO167" si="1478">IF(ISERROR(BO166/BN166-1),"NA",BO166/BN166-1)</f>
        <v>6.4528026674892436E-2</v>
      </c>
      <c r="BP167" s="1170">
        <f t="shared" ref="BP167" si="1479">IF(ISERROR(BP166/BO166-1),"NA",BP166/BO166-1)</f>
        <v>6.3718961929565721E-2</v>
      </c>
      <c r="BR167" s="1430"/>
      <c r="BS167" s="1430"/>
      <c r="BT167" s="1430"/>
      <c r="BU167" s="1263"/>
    </row>
    <row r="168" spans="1:73" s="1007" customFormat="1" ht="12" customHeight="1">
      <c r="A168" s="1098" t="s">
        <v>291</v>
      </c>
      <c r="B168" s="999" t="str">
        <f t="shared" ref="B168" si="1480">IF(ISERROR(B166/A166-1),"NA",B166/A166-1)</f>
        <v>NA</v>
      </c>
      <c r="C168" s="987">
        <f t="shared" ref="C168" si="1481">IF(ISERROR(C166/B166-1),"NA",C166/B166-1)</f>
        <v>1.0546448087431695</v>
      </c>
      <c r="D168" s="987">
        <f t="shared" ref="D168" si="1482">IF(ISERROR(D166/C166-1),"NA",D166/C166-1)</f>
        <v>3.6462765957446805</v>
      </c>
      <c r="E168" s="998">
        <f t="shared" ref="E168" si="1483">IF(ISERROR(E166/D166-1),"NA",E166/D166-1)</f>
        <v>-0.90440755580995991</v>
      </c>
      <c r="F168" s="999">
        <f t="shared" ref="F168" si="1484">IF(ISERROR(F166/E166-1),"NA",F166/E166-1)</f>
        <v>0.10778443113772451</v>
      </c>
      <c r="G168" s="987">
        <f t="shared" ref="G168" si="1485">IF(ISERROR(G166/F166-1),"NA",G166/F166-1)</f>
        <v>1.1513513513513511</v>
      </c>
      <c r="H168" s="987">
        <f t="shared" ref="H168" si="1486">IF(ISERROR(H166/G166-1),"NA",H166/G166-1)</f>
        <v>3.7361809045226133</v>
      </c>
      <c r="I168" s="998">
        <f t="shared" ref="I168" si="1487">IF(ISERROR(I166/H166-1),"NA",I166/H166-1)</f>
        <v>-0.90822281167108754</v>
      </c>
      <c r="J168" s="999">
        <f t="shared" ref="J168" si="1488">IF(ISERROR(J166/I166-1),"NA",J166/I166-1)</f>
        <v>-0.47398843930635837</v>
      </c>
      <c r="K168" s="987">
        <f t="shared" ref="K168" si="1489">IF(ISERROR(K166/J166-1),"NA",K166/J166-1)</f>
        <v>5.8791208791208796</v>
      </c>
      <c r="L168" s="987">
        <f t="shared" ref="L168" si="1490">IF(ISERROR(L166/K166-1),"NA",L166/K166-1)</f>
        <v>2.4584664536741214</v>
      </c>
      <c r="M168" s="998">
        <f t="shared" ref="M168" si="1491">IF(ISERROR(M166/L166-1),"NA",M166/L166-1)</f>
        <v>-0.96212471131639721</v>
      </c>
      <c r="N168" s="999">
        <f t="shared" ref="N168" si="1492">IF(ISERROR(N166/M166-1),"NA",N166/M166-1)</f>
        <v>0.31707317073170738</v>
      </c>
      <c r="O168" s="987">
        <f t="shared" ref="O168" si="1493">IF(ISERROR(O166/N166-1),"NA",O166/N166-1)</f>
        <v>5.1944444444444446</v>
      </c>
      <c r="P168" s="987">
        <f t="shared" ref="P168" si="1494">IF(ISERROR(P166/O166-1),"NA",P166/O166-1)</f>
        <v>2.5650224215246635</v>
      </c>
      <c r="Q168" s="998">
        <f t="shared" ref="Q168" si="1495">IF(ISERROR(Q166/P166-1),"NA",Q166/P166-1)</f>
        <v>-0.96268343815513624</v>
      </c>
      <c r="R168" s="984">
        <f t="shared" ref="R168" si="1496">IF(ISERROR(R166/Q166-1),"NA",R166/Q166-1)</f>
        <v>0.33707865168539319</v>
      </c>
      <c r="S168" s="984">
        <f t="shared" ref="S168" si="1497">IF(ISERROR(S166/R166-1),"NA",S166/R166-1)</f>
        <v>5.0756302521008401</v>
      </c>
      <c r="T168" s="984">
        <f t="shared" ref="T168" si="1498">IF(ISERROR(T166/S166-1),"NA",T166/S166-1)</f>
        <v>1.7939142461964037</v>
      </c>
      <c r="U168" s="985">
        <f t="shared" ref="U168" si="1499">IF(ISERROR(U166/T166-1),"NA",U166/T166-1)</f>
        <v>-0.62029702970297029</v>
      </c>
      <c r="V168" s="984">
        <f t="shared" ref="V168" si="1500">IF(ISERROR(V166/U166-1),"NA",V166/U166-1)</f>
        <v>-0.81486310299869624</v>
      </c>
      <c r="W168" s="984">
        <f t="shared" ref="W168" si="1501">IF(ISERROR(W166/V166-1),"NA",W166/V166-1)</f>
        <v>2.507042253521127</v>
      </c>
      <c r="X168" s="984">
        <f t="shared" ref="X168" si="1502">IF(ISERROR(X166/W166-1),"NA",X166/W166-1)</f>
        <v>5.0160642570281126</v>
      </c>
      <c r="Y168" s="985">
        <f t="shared" ref="Y168" si="1503">IF(ISERROR(Y166/X166-1),"NA",Y166/X166-1)</f>
        <v>-0.56308411214953269</v>
      </c>
      <c r="Z168" s="1270">
        <f t="shared" ref="Z168" si="1504">IF(ISERROR(Z166/Y166-1),"NA",Z166/Y166-1)</f>
        <v>-0.56913674560733385</v>
      </c>
      <c r="AA168" s="984">
        <f t="shared" ref="AA168" si="1505">IF(ISERROR(AA166/Z166-1),"NA",AA166/Z166-1)</f>
        <v>0.93617021276595747</v>
      </c>
      <c r="AB168" s="984">
        <f t="shared" ref="AB168" si="1506">IF(ISERROR(AB166/AA166-1),"NA",AB166/AA166-1)</f>
        <v>2.6309523809523809</v>
      </c>
      <c r="AC168" s="985">
        <f t="shared" ref="AC168" si="1507">IF(ISERROR(AC166/AB166-1),"NA",AC166/AB166-1)</f>
        <v>-0.83732660781841106</v>
      </c>
      <c r="AD168" s="984">
        <f t="shared" ref="AD168" si="1508">IF(ISERROR(AD166/AC166-1),"NA",AD166/AC166-1)</f>
        <v>-5.5813953488372148E-2</v>
      </c>
      <c r="AE168" s="984">
        <f t="shared" ref="AE168" si="1509">IF(ISERROR(AE166/AD166-1),"NA",AE166/AD166-1)</f>
        <v>0.87848932676518876</v>
      </c>
      <c r="AF168" s="984">
        <f t="shared" ref="AF168" si="1510">IF(ISERROR(AF166/AE166-1),"NA",AF166/AE166-1)</f>
        <v>2.4938811188811187</v>
      </c>
      <c r="AG168" s="985">
        <f t="shared" ref="AG168" si="1511">IF(ISERROR(AG166/AF166-1),"NA",AG166/AF166-1)</f>
        <v>-0.85489116837628221</v>
      </c>
      <c r="AH168" s="984">
        <f t="shared" ref="AH168" si="1512">IF(ISERROR(AH166/AG166-1),"NA",AH166/AG166-1)</f>
        <v>9.3103448275862144E-2</v>
      </c>
      <c r="AI168" s="984">
        <f t="shared" ref="AI168" si="1513">IF(ISERROR(AI166/AH166-1),"NA",AI166/AH166-1)</f>
        <v>0.7996845425867507</v>
      </c>
      <c r="AJ168" s="984">
        <f t="shared" ref="AJ168" si="1514">IF(ISERROR(AJ166/AI166-1),"NA",AJ166/AI166-1)</f>
        <v>2.8124452234881683</v>
      </c>
      <c r="AK168" s="985">
        <f t="shared" ref="AK168" si="1515">IF(ISERROR(AK166/AJ166-1),"NA",AK166/AJ166-1)</f>
        <v>-0.8558620689655172</v>
      </c>
      <c r="AL168" s="984">
        <f t="shared" ref="AL168" si="1516">IF(ISERROR(AL166/AK166-1),"NA",AL166/AK166-1)</f>
        <v>0.17862838915470491</v>
      </c>
      <c r="AM168" s="984">
        <f t="shared" ref="AM168" si="1517">IF(ISERROR(AM166/AL166-1),"NA",AM166/AL166-1)</f>
        <v>0.7483085250338295</v>
      </c>
      <c r="AN168" s="984">
        <f t="shared" ref="AN168" si="1518">IF(ISERROR(AN166/AM166-1),"NA",AN166/AM166-1)</f>
        <v>2.7964396284829722</v>
      </c>
      <c r="AO168" s="985">
        <f t="shared" ref="AO168:AQ168" si="1519">IF(ISERROR(AO166/AN166-1),"NA",AO166/AN166-1)</f>
        <v>-0.83323139653414879</v>
      </c>
      <c r="AP168" s="984">
        <f t="shared" si="1519"/>
        <v>9.2909535452322833E-2</v>
      </c>
      <c r="AQ168" s="984">
        <f t="shared" si="1519"/>
        <v>0.66331096196868011</v>
      </c>
      <c r="AR168" s="984">
        <f t="shared" ref="AR168" si="1520">IF(ISERROR(AR166/AQ166-1),"NA",AR166/AQ166-1)</f>
        <v>2.5355077336919973</v>
      </c>
      <c r="AS168" s="985">
        <f t="shared" ref="AS168" si="1521">IF(ISERROR(AS166/AR166-1),"NA",AS166/AR166-1)</f>
        <v>-0.83630761037034218</v>
      </c>
      <c r="AT168" s="984">
        <f t="shared" ref="AT168" si="1522">IF(ISERROR(AT166/AS166-1),"NA",AT166/AS166-1)</f>
        <v>0.14453624299890788</v>
      </c>
      <c r="AU168" s="984">
        <f t="shared" ref="AU168" si="1523">IF(ISERROR(AU166/AT166-1),"NA",AU166/AT166-1)</f>
        <v>0.58607706872833032</v>
      </c>
      <c r="AV168" s="984">
        <f t="shared" ref="AV168" si="1524">IF(ISERROR(AV166/AU166-1),"NA",AV166/AU166-1)</f>
        <v>2.5768309451556117</v>
      </c>
      <c r="AW168" s="985">
        <f t="shared" ref="AW168" si="1525">IF(ISERROR(AW166/AV166-1),"NA",AW166/AV166-1)</f>
        <v>-0.83674058482586022</v>
      </c>
      <c r="AX168" s="984">
        <f t="shared" ref="AX168" si="1526">IF(ISERROR(AX166/AW166-1),"NA",AX166/AW166-1)</f>
        <v>0.13091955924839094</v>
      </c>
      <c r="AY168" s="984">
        <f t="shared" ref="AY168" si="1527">IF(ISERROR(AY166/AX166-1),"NA",AY166/AX166-1)</f>
        <v>0.60437844065148205</v>
      </c>
      <c r="AZ168" s="984">
        <f t="shared" ref="AZ168" si="1528">IF(ISERROR(AZ166/AY166-1),"NA",AZ166/AY166-1)</f>
        <v>2.6115691136473358</v>
      </c>
      <c r="BA168" s="985">
        <f t="shared" ref="BA168" si="1529">IF(ISERROR(BA166/AZ166-1),"NA",BA166/AZ166-1)</f>
        <v>-0.83960550195986694</v>
      </c>
      <c r="BB168" s="1006"/>
      <c r="BC168" s="846"/>
      <c r="BD168" s="989" t="s">
        <v>366</v>
      </c>
      <c r="BE168" s="989" t="s">
        <v>366</v>
      </c>
      <c r="BF168" s="989" t="s">
        <v>366</v>
      </c>
      <c r="BG168" s="841" t="s">
        <v>366</v>
      </c>
      <c r="BH168" s="841" t="s">
        <v>366</v>
      </c>
      <c r="BI168" s="989" t="s">
        <v>366</v>
      </c>
      <c r="BJ168" s="989" t="s">
        <v>366</v>
      </c>
      <c r="BK168" s="989" t="s">
        <v>366</v>
      </c>
      <c r="BL168" s="989" t="s">
        <v>366</v>
      </c>
      <c r="BM168" s="1046" t="s">
        <v>366</v>
      </c>
      <c r="BN168" s="1188" t="s">
        <v>366</v>
      </c>
      <c r="BO168" s="1188" t="s">
        <v>366</v>
      </c>
      <c r="BP168" s="1188" t="s">
        <v>366</v>
      </c>
      <c r="BR168" s="1430"/>
      <c r="BS168" s="1430"/>
      <c r="BT168" s="1430"/>
      <c r="BU168" s="1263"/>
    </row>
    <row r="169" spans="1:73" s="1007" customFormat="1" ht="12" customHeight="1">
      <c r="A169" s="1098" t="s">
        <v>153</v>
      </c>
      <c r="B169" s="1008">
        <f>+B166/B$6</f>
        <v>0.25666199158485276</v>
      </c>
      <c r="C169" s="1008">
        <f t="shared" ref="C169:E169" si="1530">+C166/C$6</f>
        <v>0.40736728060671723</v>
      </c>
      <c r="D169" s="1008">
        <f t="shared" si="1530"/>
        <v>0.75824652777777779</v>
      </c>
      <c r="E169" s="1009">
        <f t="shared" si="1530"/>
        <v>0.22148541114058357</v>
      </c>
      <c r="F169" s="1008">
        <f>+F166/F$6</f>
        <v>0.2377892030848329</v>
      </c>
      <c r="G169" s="1008">
        <f t="shared" ref="G169:BA169" si="1531">+G166/G$6</f>
        <v>0.39173228346456695</v>
      </c>
      <c r="H169" s="1008">
        <f t="shared" si="1531"/>
        <v>0.74183392365210543</v>
      </c>
      <c r="I169" s="1009">
        <f t="shared" si="1531"/>
        <v>0.20546318289786222</v>
      </c>
      <c r="J169" s="1010">
        <f t="shared" si="1531"/>
        <v>0.1</v>
      </c>
      <c r="K169" s="1008">
        <f t="shared" si="1531"/>
        <v>0.46751306945481702</v>
      </c>
      <c r="L169" s="1010">
        <f t="shared" si="1531"/>
        <v>0.74347527472527475</v>
      </c>
      <c r="M169" s="1009">
        <f t="shared" si="1531"/>
        <v>9.4907407407407413E-2</v>
      </c>
      <c r="N169" s="1008">
        <f t="shared" si="1531"/>
        <v>0.1062992125984252</v>
      </c>
      <c r="O169" s="1008">
        <f t="shared" si="1531"/>
        <v>0.44540612516644473</v>
      </c>
      <c r="P169" s="1008">
        <f t="shared" si="1531"/>
        <v>0.72891198044009775</v>
      </c>
      <c r="Q169" s="1009">
        <f t="shared" si="1531"/>
        <v>8.9537223340040245E-2</v>
      </c>
      <c r="R169" s="984">
        <f t="shared" si="1531"/>
        <v>0.10214592274678111</v>
      </c>
      <c r="S169" s="984">
        <f t="shared" si="1531"/>
        <v>0.42629716981132076</v>
      </c>
      <c r="T169" s="984">
        <f t="shared" si="1531"/>
        <v>0.67288474350433047</v>
      </c>
      <c r="U169" s="985">
        <f t="shared" si="1531"/>
        <v>0.42235682819383258</v>
      </c>
      <c r="V169" s="984">
        <f t="shared" si="1531"/>
        <v>0.10733182161753591</v>
      </c>
      <c r="W169" s="984">
        <f t="shared" si="1531"/>
        <v>0.31598984771573602</v>
      </c>
      <c r="X169" s="984">
        <f t="shared" si="1531"/>
        <v>0.71794871794871795</v>
      </c>
      <c r="Y169" s="985">
        <f t="shared" si="1531"/>
        <v>0.51112846544318624</v>
      </c>
      <c r="Z169" s="1270">
        <f t="shared" si="1531"/>
        <v>0.28101644245142005</v>
      </c>
      <c r="AA169" s="984">
        <f t="shared" si="1531"/>
        <v>0.40852974186307517</v>
      </c>
      <c r="AB169" s="984">
        <f t="shared" si="1531"/>
        <v>0.70401278409090917</v>
      </c>
      <c r="AC169" s="985">
        <f t="shared" si="1531"/>
        <v>0.26719138359569178</v>
      </c>
      <c r="AD169" s="984">
        <f t="shared" si="1531"/>
        <v>0.23450134770889489</v>
      </c>
      <c r="AE169" s="984">
        <f t="shared" si="1531"/>
        <v>0.37619204209141732</v>
      </c>
      <c r="AF169" s="984">
        <f t="shared" si="1531"/>
        <v>0.66417414423396481</v>
      </c>
      <c r="AG169" s="985">
        <f t="shared" si="1531"/>
        <v>0.21386430678466076</v>
      </c>
      <c r="AH169" s="984">
        <f t="shared" si="1531"/>
        <v>0.21289456010745467</v>
      </c>
      <c r="AI169" s="984">
        <f t="shared" si="1531"/>
        <v>0.33697578263437683</v>
      </c>
      <c r="AJ169" s="984">
        <f t="shared" si="1531"/>
        <v>0.64568799168769486</v>
      </c>
      <c r="AK169" s="985">
        <f t="shared" si="1531"/>
        <v>0.19692211055276379</v>
      </c>
      <c r="AL169" s="984">
        <f t="shared" si="1531"/>
        <v>0.22509899482180931</v>
      </c>
      <c r="AM169" s="984">
        <f t="shared" si="1531"/>
        <v>0.32601564471360078</v>
      </c>
      <c r="AN169" s="984">
        <f t="shared" si="1531"/>
        <v>0.63257673458859942</v>
      </c>
      <c r="AO169" s="985">
        <f t="shared" si="1531"/>
        <v>0.21352127381884625</v>
      </c>
      <c r="AP169" s="984">
        <f t="shared" ref="AP169:AQ169" si="1532">+AP166/AP$6</f>
        <v>0.23011583011583012</v>
      </c>
      <c r="AQ169" s="984">
        <f t="shared" si="1532"/>
        <v>0.31971619006665231</v>
      </c>
      <c r="AR169" s="984">
        <f t="shared" si="1531"/>
        <v>0.61933871076046976</v>
      </c>
      <c r="AS169" s="985">
        <f t="shared" si="1531"/>
        <v>0.20236430301031541</v>
      </c>
      <c r="AT169" s="984">
        <f t="shared" si="1531"/>
        <v>0.22297896905349424</v>
      </c>
      <c r="AU169" s="984">
        <f t="shared" si="1531"/>
        <v>0.294688442623318</v>
      </c>
      <c r="AV169" s="984">
        <f t="shared" si="1531"/>
        <v>0.60063132604998859</v>
      </c>
      <c r="AW169" s="985">
        <f t="shared" si="1531"/>
        <v>0.19223927376200023</v>
      </c>
      <c r="AX169" s="984">
        <f t="shared" si="1531"/>
        <v>0.20723396095930088</v>
      </c>
      <c r="AY169" s="984">
        <f t="shared" si="1531"/>
        <v>0.27481738951274515</v>
      </c>
      <c r="AZ169" s="984">
        <f t="shared" si="1531"/>
        <v>0.58393974914279134</v>
      </c>
      <c r="BA169" s="985">
        <f t="shared" si="1531"/>
        <v>0.17979784264085008</v>
      </c>
      <c r="BB169" s="1006"/>
      <c r="BC169" s="846"/>
      <c r="BD169" s="1011">
        <f t="shared" ref="BD169:BE169" si="1533">+BD166/BD$6</f>
        <v>0.52684277801448653</v>
      </c>
      <c r="BE169" s="1011">
        <f t="shared" si="1533"/>
        <v>0.51014100830596876</v>
      </c>
      <c r="BF169" s="1017">
        <f>+BF166/BF$6</f>
        <v>0.49195020746887969</v>
      </c>
      <c r="BG169" s="1017">
        <f>+BG166/BG$6</f>
        <v>0.47921580188679247</v>
      </c>
      <c r="BH169" s="1017">
        <f>+BH166/BH$6</f>
        <v>0.47258757650735772</v>
      </c>
      <c r="BI169" s="1017">
        <f t="shared" ref="BI169:BP169" si="1534">+BI166/BI$6</f>
        <v>0.51333956192255792</v>
      </c>
      <c r="BJ169" s="1017">
        <f t="shared" si="1534"/>
        <v>0.49237780920949237</v>
      </c>
      <c r="BK169" s="1017">
        <f t="shared" si="1534"/>
        <v>0.44056236080178174</v>
      </c>
      <c r="BL169" s="1017">
        <f t="shared" si="1534"/>
        <v>0.41461467608228431</v>
      </c>
      <c r="BM169" s="1062">
        <f t="shared" si="1534"/>
        <v>0.41176782964261061</v>
      </c>
      <c r="BN169" s="1368">
        <f t="shared" si="1534"/>
        <v>0.3994360629495497</v>
      </c>
      <c r="BO169" s="1368">
        <f t="shared" si="1534"/>
        <v>0.38066090156761179</v>
      </c>
      <c r="BP169" s="1368">
        <f t="shared" si="1534"/>
        <v>0.36218141085629474</v>
      </c>
      <c r="BR169" s="1430"/>
      <c r="BS169" s="1430"/>
      <c r="BT169" s="1430"/>
      <c r="BU169" s="1263"/>
    </row>
    <row r="170" spans="1:73" s="1007" customFormat="1" ht="12" customHeight="1">
      <c r="A170" s="1998"/>
      <c r="B170" s="1008"/>
      <c r="C170" s="1008"/>
      <c r="D170" s="1008"/>
      <c r="E170" s="1009"/>
      <c r="F170" s="1008"/>
      <c r="G170" s="1008"/>
      <c r="H170" s="1008"/>
      <c r="I170" s="1009"/>
      <c r="J170" s="1010"/>
      <c r="K170" s="1008"/>
      <c r="L170" s="1010"/>
      <c r="M170" s="1009"/>
      <c r="N170" s="1008"/>
      <c r="O170" s="1008"/>
      <c r="P170" s="1008"/>
      <c r="Q170" s="1009"/>
      <c r="R170" s="984"/>
      <c r="S170" s="984"/>
      <c r="T170" s="984"/>
      <c r="U170" s="985"/>
      <c r="V170" s="984"/>
      <c r="W170" s="984"/>
      <c r="X170" s="984"/>
      <c r="Y170" s="985"/>
      <c r="Z170" s="1270"/>
      <c r="AA170" s="984"/>
      <c r="AB170" s="984"/>
      <c r="AC170" s="985"/>
      <c r="AD170" s="984"/>
      <c r="AE170" s="984"/>
      <c r="AF170" s="984"/>
      <c r="AG170" s="985"/>
      <c r="AH170" s="984"/>
      <c r="AI170" s="984"/>
      <c r="AJ170" s="984"/>
      <c r="AK170" s="985"/>
      <c r="AL170" s="984"/>
      <c r="AM170" s="984"/>
      <c r="AN170" s="984"/>
      <c r="AO170" s="985"/>
      <c r="AP170" s="984"/>
      <c r="AQ170" s="984"/>
      <c r="AR170" s="984"/>
      <c r="AS170" s="985"/>
      <c r="AT170" s="984"/>
      <c r="AU170" s="984"/>
      <c r="AV170" s="984"/>
      <c r="AW170" s="985"/>
      <c r="AX170" s="984"/>
      <c r="AY170" s="984"/>
      <c r="AZ170" s="984"/>
      <c r="BA170" s="985"/>
      <c r="BB170" s="1006"/>
      <c r="BC170" s="1289"/>
      <c r="BD170" s="2007"/>
      <c r="BE170" s="2007"/>
      <c r="BF170" s="1292"/>
      <c r="BG170" s="1292"/>
      <c r="BH170" s="1292"/>
      <c r="BI170" s="1292"/>
      <c r="BJ170" s="1292"/>
      <c r="BK170" s="1292"/>
      <c r="BL170" s="1292"/>
      <c r="BM170" s="1292"/>
      <c r="BN170" s="1368"/>
      <c r="BO170" s="1368"/>
      <c r="BP170" s="1368"/>
      <c r="BR170" s="1430"/>
      <c r="BS170" s="1430"/>
      <c r="BT170" s="1430"/>
      <c r="BU170" s="1263"/>
    </row>
    <row r="171" spans="1:73" s="1014" customFormat="1" ht="12" customHeight="1">
      <c r="A171" s="1063" t="s">
        <v>717</v>
      </c>
      <c r="B171" s="1058"/>
      <c r="C171" s="1058"/>
      <c r="D171" s="1058"/>
      <c r="E171" s="1059"/>
      <c r="F171" s="1067"/>
      <c r="G171" s="1067"/>
      <c r="H171" s="1067"/>
      <c r="I171" s="1068"/>
      <c r="J171" s="1067"/>
      <c r="K171" s="1067"/>
      <c r="L171" s="1067"/>
      <c r="M171" s="1068"/>
      <c r="N171" s="1067"/>
      <c r="O171" s="1067"/>
      <c r="P171" s="1067"/>
      <c r="Q171" s="1068"/>
      <c r="R171" s="1067"/>
      <c r="S171" s="1067"/>
      <c r="T171" s="1067"/>
      <c r="U171" s="1068"/>
      <c r="V171" s="1959"/>
      <c r="W171" s="1959"/>
      <c r="X171" s="1959"/>
      <c r="Y171" s="1960"/>
      <c r="Z171" s="1961"/>
      <c r="AA171" s="1959"/>
      <c r="AB171" s="1959"/>
      <c r="AC171" s="1960"/>
      <c r="AD171" s="1959">
        <v>156</v>
      </c>
      <c r="AE171" s="1959">
        <v>523</v>
      </c>
      <c r="AF171" s="1959">
        <v>3361</v>
      </c>
      <c r="AG171" s="1960">
        <v>138</v>
      </c>
      <c r="AH171" s="1959">
        <v>196</v>
      </c>
      <c r="AI171" s="1959">
        <v>502</v>
      </c>
      <c r="AJ171" s="1959">
        <v>3684</v>
      </c>
      <c r="AK171" s="1960">
        <v>126</v>
      </c>
      <c r="AL171" s="1959">
        <v>187</v>
      </c>
      <c r="AM171" s="1959">
        <v>520</v>
      </c>
      <c r="AN171" s="1959">
        <v>4078</v>
      </c>
      <c r="AO171" s="1960">
        <v>148</v>
      </c>
      <c r="AP171" s="1959">
        <v>198</v>
      </c>
      <c r="AQ171" s="1959">
        <v>581</v>
      </c>
      <c r="AR171" s="1893">
        <f t="shared" ref="AR171:BA171" si="1535">+AR176+AR178</f>
        <v>4392</v>
      </c>
      <c r="AS171" s="1894">
        <f>+AS176+AS178</f>
        <v>153</v>
      </c>
      <c r="AT171" s="1893">
        <f t="shared" si="1535"/>
        <v>250</v>
      </c>
      <c r="AU171" s="1893">
        <f t="shared" si="1535"/>
        <v>615</v>
      </c>
      <c r="AV171" s="1893">
        <f t="shared" si="1535"/>
        <v>4684</v>
      </c>
      <c r="AW171" s="1894">
        <f t="shared" si="1535"/>
        <v>170</v>
      </c>
      <c r="AX171" s="1893">
        <f t="shared" si="1535"/>
        <v>262</v>
      </c>
      <c r="AY171" s="1893">
        <f t="shared" si="1535"/>
        <v>667</v>
      </c>
      <c r="AZ171" s="1893">
        <f t="shared" si="1535"/>
        <v>5036</v>
      </c>
      <c r="BA171" s="1894">
        <f t="shared" si="1535"/>
        <v>187</v>
      </c>
      <c r="BB171" s="1013"/>
      <c r="BC171" s="846"/>
      <c r="BD171" s="1083">
        <f>SUM(B171:E171)</f>
        <v>0</v>
      </c>
      <c r="BE171" s="1083">
        <f>SUM(F171:I171)</f>
        <v>0</v>
      </c>
      <c r="BF171" s="1083">
        <f>SUM(J171:M171)</f>
        <v>0</v>
      </c>
      <c r="BG171" s="1083">
        <f>SUM(N171:Q171)</f>
        <v>0</v>
      </c>
      <c r="BH171" s="1083">
        <f>SUM(R171:U171)</f>
        <v>0</v>
      </c>
      <c r="BI171" s="1083">
        <f>SUM(V171:Y171)</f>
        <v>0</v>
      </c>
      <c r="BJ171" s="1083">
        <f>SUM(Z171:AC171)</f>
        <v>0</v>
      </c>
      <c r="BK171" s="1083">
        <f>SUM(AD171:AG171)</f>
        <v>4178</v>
      </c>
      <c r="BL171" s="1083">
        <f>SUM(AH171:AK171)</f>
        <v>4508</v>
      </c>
      <c r="BM171" s="1083">
        <f>SUM(AL171:AO171)</f>
        <v>4933</v>
      </c>
      <c r="BN171" s="1364">
        <f>SUM(AP171:AS171)</f>
        <v>5324</v>
      </c>
      <c r="BO171" s="1364">
        <f>SUM(AT171:AW171)</f>
        <v>5719</v>
      </c>
      <c r="BP171" s="1364">
        <f>SUM(AX171:BA171)</f>
        <v>6152</v>
      </c>
      <c r="BS171" s="1425"/>
      <c r="BT171" s="1425"/>
      <c r="BU171" s="1263"/>
    </row>
    <row r="172" spans="1:73" s="1014" customFormat="1" ht="12" customHeight="1">
      <c r="A172" s="983" t="s">
        <v>181</v>
      </c>
      <c r="B172" s="999"/>
      <c r="C172" s="987"/>
      <c r="D172" s="987"/>
      <c r="E172" s="998"/>
      <c r="F172" s="999"/>
      <c r="G172" s="987"/>
      <c r="H172" s="987"/>
      <c r="I172" s="998"/>
      <c r="J172" s="999"/>
      <c r="K172" s="987"/>
      <c r="L172" s="987"/>
      <c r="M172" s="998"/>
      <c r="N172" s="999"/>
      <c r="O172" s="987"/>
      <c r="P172" s="987"/>
      <c r="Q172" s="998"/>
      <c r="R172" s="984"/>
      <c r="S172" s="984"/>
      <c r="T172" s="984"/>
      <c r="U172" s="985"/>
      <c r="V172" s="984"/>
      <c r="W172" s="984"/>
      <c r="X172" s="984"/>
      <c r="Y172" s="985"/>
      <c r="Z172" s="1270"/>
      <c r="AA172" s="984"/>
      <c r="AB172" s="984"/>
      <c r="AC172" s="985"/>
      <c r="AD172" s="984" t="str">
        <f t="shared" ref="AD172" si="1536">IF(ISERROR(AD171/Z171-1),"NA",AD171/Z171-1)</f>
        <v>NA</v>
      </c>
      <c r="AE172" s="984" t="str">
        <f t="shared" ref="AE172" si="1537">IF(ISERROR(AE171/AA171-1),"NA",AE171/AA171-1)</f>
        <v>NA</v>
      </c>
      <c r="AF172" s="984" t="str">
        <f t="shared" ref="AF172" si="1538">IF(ISERROR(AF171/AB171-1),"NA",AF171/AB171-1)</f>
        <v>NA</v>
      </c>
      <c r="AG172" s="985" t="str">
        <f t="shared" ref="AG172" si="1539">IF(ISERROR(AG171/AC171-1),"NA",AG171/AC171-1)</f>
        <v>NA</v>
      </c>
      <c r="AH172" s="984">
        <f t="shared" ref="AH172" si="1540">IF(ISERROR(AH171/AD171-1),"NA",AH171/AD171-1)</f>
        <v>0.25641025641025639</v>
      </c>
      <c r="AI172" s="984">
        <f t="shared" ref="AI172" si="1541">IF(ISERROR(AI171/AE171-1),"NA",AI171/AE171-1)</f>
        <v>-4.0152963671128084E-2</v>
      </c>
      <c r="AJ172" s="990">
        <f t="shared" ref="AJ172" si="1542">IF(ISERROR(AJ171/AF171-1),"NA",AJ171/AF171-1)</f>
        <v>9.6102350490925303E-2</v>
      </c>
      <c r="AK172" s="985">
        <f t="shared" ref="AK172" si="1543">IF(ISERROR(AK171/AG171-1),"NA",AK171/AG171-1)</f>
        <v>-8.6956521739130488E-2</v>
      </c>
      <c r="AL172" s="984">
        <f t="shared" ref="AL172" si="1544">IF(ISERROR(AL171/AH171-1),"NA",AL171/AH171-1)</f>
        <v>-4.5918367346938771E-2</v>
      </c>
      <c r="AM172" s="984">
        <f t="shared" ref="AM172" si="1545">IF(ISERROR(AM171/AI171-1),"NA",AM171/AI171-1)</f>
        <v>3.5856573705179251E-2</v>
      </c>
      <c r="AN172" s="984">
        <f t="shared" ref="AN172" si="1546">IF(ISERROR(AN171/AJ171-1),"NA",AN171/AJ171-1)</f>
        <v>0.10694896851248648</v>
      </c>
      <c r="AO172" s="985">
        <f t="shared" ref="AO172:AQ172" si="1547">IF(ISERROR(AO171/AK171-1),"NA",AO171/AK171-1)</f>
        <v>0.17460317460317465</v>
      </c>
      <c r="AP172" s="984">
        <f t="shared" si="1547"/>
        <v>5.8823529411764719E-2</v>
      </c>
      <c r="AQ172" s="984">
        <f t="shared" si="1547"/>
        <v>0.11730769230769234</v>
      </c>
      <c r="AR172" s="984">
        <f t="shared" ref="AR172" si="1548">IF(ISERROR(AR171/AN171-1),"NA",AR171/AN171-1)</f>
        <v>7.6998528690534584E-2</v>
      </c>
      <c r="AS172" s="985">
        <f t="shared" ref="AS172" si="1549">IF(ISERROR(AS171/AO171-1),"NA",AS171/AO171-1)</f>
        <v>3.3783783783783772E-2</v>
      </c>
      <c r="AT172" s="984">
        <v>7.4999999999999997E-2</v>
      </c>
      <c r="AU172" s="984">
        <v>7.4999999999999997E-2</v>
      </c>
      <c r="AV172" s="984">
        <v>7.4999999999999997E-2</v>
      </c>
      <c r="AW172" s="985">
        <v>7.4999999999999997E-2</v>
      </c>
      <c r="AX172" s="984">
        <v>7.4999999999999997E-2</v>
      </c>
      <c r="AY172" s="984">
        <v>7.4999999999999997E-2</v>
      </c>
      <c r="AZ172" s="984">
        <v>7.4999999999999997E-2</v>
      </c>
      <c r="BA172" s="985">
        <v>7.4999999999999997E-2</v>
      </c>
      <c r="BB172" s="1013"/>
      <c r="BC172" s="846"/>
      <c r="BD172" s="842" t="str">
        <f t="shared" ref="BD172" si="1550">IF(ISERROR(BD171/BB171-1),"NA",BD171/BB171-1)</f>
        <v>NA</v>
      </c>
      <c r="BE172" s="842" t="str">
        <f t="shared" ref="BE172" si="1551">IF(ISERROR(BE171/BD171-1),"NA",BE171/BD171-1)</f>
        <v>NA</v>
      </c>
      <c r="BF172" s="842" t="str">
        <f t="shared" ref="BF172" si="1552">IF(ISERROR(BF171/BE171-1),"NA",BF171/BE171-1)</f>
        <v>NA</v>
      </c>
      <c r="BG172" s="842" t="str">
        <f t="shared" ref="BG172" si="1553">IF(ISERROR(BG171/BF171-1),"NA",BG171/BF171-1)</f>
        <v>NA</v>
      </c>
      <c r="BH172" s="842" t="str">
        <f t="shared" ref="BH172" si="1554">IF(ISERROR(BH171/BG171-1),"NA",BH171/BG171-1)</f>
        <v>NA</v>
      </c>
      <c r="BI172" s="841" t="str">
        <f t="shared" ref="BI172" si="1555">IF(ISERROR(BI171/BH171-1),"NA",BI171/BH171-1)</f>
        <v>NA</v>
      </c>
      <c r="BJ172" s="841" t="str">
        <f t="shared" ref="BJ172" si="1556">IF(ISERROR(BJ171/BI171-1),"NA",BJ171/BI171-1)</f>
        <v>NA</v>
      </c>
      <c r="BK172" s="841" t="str">
        <f t="shared" ref="BK172" si="1557">IF(ISERROR(BK171/BJ171-1),"NA",BK171/BJ171-1)</f>
        <v>NA</v>
      </c>
      <c r="BL172" s="841">
        <f t="shared" ref="BL172" si="1558">IF(ISERROR(BL171/BK171-1),"NA",BL171/BK171-1)</f>
        <v>7.8985160363810536E-2</v>
      </c>
      <c r="BM172" s="841">
        <f t="shared" ref="BM172" si="1559">IF(ISERROR(BM171/BL171-1),"NA",BM171/BL171-1)</f>
        <v>9.4276841171251125E-2</v>
      </c>
      <c r="BN172" s="1170">
        <f t="shared" ref="BN172" si="1560">IF(ISERROR(BN171/BM171-1),"NA",BN171/BM171-1)</f>
        <v>7.9262112304885557E-2</v>
      </c>
      <c r="BO172" s="1170">
        <f t="shared" ref="BO172" si="1561">IF(ISERROR(BO171/BN171-1),"NA",BO171/BN171-1)</f>
        <v>7.4192336589030905E-2</v>
      </c>
      <c r="BP172" s="1170">
        <f t="shared" ref="BP172" si="1562">IF(ISERROR(BP171/BO171-1),"NA",BP171/BO171-1)</f>
        <v>7.5712537156845672E-2</v>
      </c>
      <c r="BR172" s="1425"/>
      <c r="BS172" s="1425"/>
      <c r="BT172" s="1425"/>
      <c r="BU172" s="1263"/>
    </row>
    <row r="173" spans="1:73" s="1014" customFormat="1" ht="12" customHeight="1">
      <c r="A173" s="983" t="s">
        <v>291</v>
      </c>
      <c r="B173" s="999"/>
      <c r="C173" s="987"/>
      <c r="D173" s="987"/>
      <c r="E173" s="998"/>
      <c r="F173" s="999"/>
      <c r="G173" s="987"/>
      <c r="H173" s="987"/>
      <c r="I173" s="998"/>
      <c r="J173" s="999"/>
      <c r="K173" s="987"/>
      <c r="L173" s="987"/>
      <c r="M173" s="998"/>
      <c r="N173" s="999"/>
      <c r="O173" s="987"/>
      <c r="P173" s="987"/>
      <c r="Q173" s="998"/>
      <c r="R173" s="984"/>
      <c r="S173" s="984"/>
      <c r="T173" s="984"/>
      <c r="U173" s="985"/>
      <c r="V173" s="984"/>
      <c r="W173" s="984"/>
      <c r="X173" s="984"/>
      <c r="Y173" s="985"/>
      <c r="Z173" s="1270"/>
      <c r="AA173" s="984"/>
      <c r="AB173" s="984"/>
      <c r="AC173" s="985"/>
      <c r="AD173" s="984" t="str">
        <f t="shared" ref="AD173" si="1563">IF(ISERROR(AD171/AC171-1),"NA",AD171/AC171-1)</f>
        <v>NA</v>
      </c>
      <c r="AE173" s="984">
        <f t="shared" ref="AE173" si="1564">IF(ISERROR(AE171/AD171-1),"NA",AE171/AD171-1)</f>
        <v>2.3525641025641026</v>
      </c>
      <c r="AF173" s="984">
        <f t="shared" ref="AF173" si="1565">IF(ISERROR(AF171/AE171-1),"NA",AF171/AE171-1)</f>
        <v>5.4263862332695982</v>
      </c>
      <c r="AG173" s="985">
        <f t="shared" ref="AG173" si="1566">IF(ISERROR(AG171/AF171-1),"NA",AG171/AF171-1)</f>
        <v>-0.95894079143112165</v>
      </c>
      <c r="AH173" s="984">
        <f t="shared" ref="AH173" si="1567">IF(ISERROR(AH171/AG171-1),"NA",AH171/AG171-1)</f>
        <v>0.42028985507246386</v>
      </c>
      <c r="AI173" s="984">
        <f t="shared" ref="AI173" si="1568">IF(ISERROR(AI171/AH171-1),"NA",AI171/AH171-1)</f>
        <v>1.5612244897959182</v>
      </c>
      <c r="AJ173" s="984">
        <f t="shared" ref="AJ173" si="1569">IF(ISERROR(AJ171/AI171-1),"NA",AJ171/AI171-1)</f>
        <v>6.3386454183266929</v>
      </c>
      <c r="AK173" s="985">
        <f t="shared" ref="AK173" si="1570">IF(ISERROR(AK171/AJ171-1),"NA",AK171/AJ171-1)</f>
        <v>-0.96579804560260585</v>
      </c>
      <c r="AL173" s="984">
        <f t="shared" ref="AL173" si="1571">IF(ISERROR(AL171/AK171-1),"NA",AL171/AK171-1)</f>
        <v>0.48412698412698418</v>
      </c>
      <c r="AM173" s="984">
        <f t="shared" ref="AM173" si="1572">IF(ISERROR(AM171/AL171-1),"NA",AM171/AL171-1)</f>
        <v>1.7807486631016043</v>
      </c>
      <c r="AN173" s="984">
        <f t="shared" ref="AN173" si="1573">IF(ISERROR(AN171/AM171-1),"NA",AN171/AM171-1)</f>
        <v>6.842307692307692</v>
      </c>
      <c r="AO173" s="985">
        <f t="shared" ref="AO173:AQ173" si="1574">IF(ISERROR(AO171/AN171-1),"NA",AO171/AN171-1)</f>
        <v>-0.96370769985286908</v>
      </c>
      <c r="AP173" s="984">
        <f t="shared" si="1574"/>
        <v>0.33783783783783794</v>
      </c>
      <c r="AQ173" s="984">
        <f t="shared" si="1574"/>
        <v>1.9343434343434343</v>
      </c>
      <c r="AR173" s="984">
        <f t="shared" ref="AR173" si="1575">IF(ISERROR(AR171/AQ171-1),"NA",AR171/AQ171-1)</f>
        <v>6.5593803786574867</v>
      </c>
      <c r="AS173" s="985">
        <f t="shared" ref="AS173" si="1576">IF(ISERROR(AS171/AR171-1),"NA",AS171/AR171-1)</f>
        <v>-0.9651639344262295</v>
      </c>
      <c r="AT173" s="984">
        <f t="shared" ref="AT173" si="1577">IF(ISERROR(AT171/AS171-1),"NA",AT171/AS171-1)</f>
        <v>0.63398692810457513</v>
      </c>
      <c r="AU173" s="984">
        <f t="shared" ref="AU173" si="1578">IF(ISERROR(AU171/AT171-1),"NA",AU171/AT171-1)</f>
        <v>1.46</v>
      </c>
      <c r="AV173" s="984">
        <f t="shared" ref="AV173" si="1579">IF(ISERROR(AV171/AU171-1),"NA",AV171/AU171-1)</f>
        <v>6.616260162601626</v>
      </c>
      <c r="AW173" s="985">
        <f t="shared" ref="AW173" si="1580">IF(ISERROR(AW171/AV171-1),"NA",AW171/AV171-1)</f>
        <v>-0.96370623398804445</v>
      </c>
      <c r="AX173" s="984">
        <f t="shared" ref="AX173" si="1581">IF(ISERROR(AX171/AW171-1),"NA",AX171/AW171-1)</f>
        <v>0.54117647058823537</v>
      </c>
      <c r="AY173" s="984">
        <f t="shared" ref="AY173" si="1582">IF(ISERROR(AY171/AX171-1),"NA",AY171/AX171-1)</f>
        <v>1.5458015267175571</v>
      </c>
      <c r="AZ173" s="984">
        <f t="shared" ref="AZ173" si="1583">IF(ISERROR(AZ171/AY171-1),"NA",AZ171/AY171-1)</f>
        <v>6.5502248875562215</v>
      </c>
      <c r="BA173" s="985">
        <f t="shared" ref="BA173" si="1584">IF(ISERROR(BA171/AZ171-1),"NA",BA171/AZ171-1)</f>
        <v>-0.96286735504368548</v>
      </c>
      <c r="BB173" s="1013"/>
      <c r="BC173" s="846"/>
      <c r="BD173" s="989" t="s">
        <v>366</v>
      </c>
      <c r="BE173" s="989" t="s">
        <v>366</v>
      </c>
      <c r="BF173" s="989" t="s">
        <v>366</v>
      </c>
      <c r="BG173" s="841" t="s">
        <v>366</v>
      </c>
      <c r="BH173" s="841" t="s">
        <v>366</v>
      </c>
      <c r="BI173" s="989" t="s">
        <v>366</v>
      </c>
      <c r="BJ173" s="989" t="s">
        <v>366</v>
      </c>
      <c r="BK173" s="989" t="s">
        <v>366</v>
      </c>
      <c r="BL173" s="989" t="s">
        <v>366</v>
      </c>
      <c r="BM173" s="1046" t="s">
        <v>366</v>
      </c>
      <c r="BN173" s="1188" t="s">
        <v>366</v>
      </c>
      <c r="BO173" s="1188" t="s">
        <v>366</v>
      </c>
      <c r="BP173" s="1188" t="s">
        <v>366</v>
      </c>
      <c r="BR173" s="1425"/>
      <c r="BS173" s="1425"/>
      <c r="BT173" s="1425"/>
      <c r="BU173" s="1263"/>
    </row>
    <row r="174" spans="1:73" s="1014" customFormat="1" ht="12.75" customHeight="1">
      <c r="A174" s="983" t="s">
        <v>153</v>
      </c>
      <c r="B174" s="1008"/>
      <c r="C174" s="1008"/>
      <c r="D174" s="1008"/>
      <c r="E174" s="1009"/>
      <c r="F174" s="1008"/>
      <c r="G174" s="1008"/>
      <c r="H174" s="1008"/>
      <c r="I174" s="1009"/>
      <c r="J174" s="1010"/>
      <c r="K174" s="1008"/>
      <c r="L174" s="1010"/>
      <c r="M174" s="1009"/>
      <c r="N174" s="1008"/>
      <c r="O174" s="1008"/>
      <c r="P174" s="1008"/>
      <c r="Q174" s="1009"/>
      <c r="R174" s="984"/>
      <c r="S174" s="984"/>
      <c r="T174" s="984"/>
      <c r="U174" s="985"/>
      <c r="V174" s="984"/>
      <c r="W174" s="984"/>
      <c r="X174" s="984"/>
      <c r="Y174" s="985"/>
      <c r="Z174" s="1270"/>
      <c r="AA174" s="984"/>
      <c r="AB174" s="984"/>
      <c r="AC174" s="985"/>
      <c r="AD174" s="984">
        <f t="shared" ref="AD174:BA174" si="1585">+AD171/AD$6</f>
        <v>6.006931074316519E-2</v>
      </c>
      <c r="AE174" s="984">
        <f t="shared" si="1585"/>
        <v>0.17198290036172312</v>
      </c>
      <c r="AF174" s="984">
        <f t="shared" si="1585"/>
        <v>0.55849119308740447</v>
      </c>
      <c r="AG174" s="985">
        <f t="shared" si="1585"/>
        <v>5.0884955752212392E-2</v>
      </c>
      <c r="AH174" s="984">
        <f t="shared" si="1585"/>
        <v>6.5815983881799864E-2</v>
      </c>
      <c r="AI174" s="984">
        <f t="shared" si="1585"/>
        <v>0.14825753101004135</v>
      </c>
      <c r="AJ174" s="984">
        <f t="shared" si="1585"/>
        <v>0.54683093364999269</v>
      </c>
      <c r="AK174" s="985">
        <f t="shared" si="1585"/>
        <v>3.9572864321608031E-2</v>
      </c>
      <c r="AL174" s="984">
        <f t="shared" si="1585"/>
        <v>5.6960097471824553E-2</v>
      </c>
      <c r="AM174" s="984">
        <f t="shared" si="1585"/>
        <v>0.13121372697451425</v>
      </c>
      <c r="AN174" s="984">
        <f t="shared" si="1585"/>
        <v>0.52592210472014445</v>
      </c>
      <c r="AO174" s="985">
        <f t="shared" si="1585"/>
        <v>3.8632210910989298E-2</v>
      </c>
      <c r="AP174" s="984">
        <f t="shared" ref="AP174:AQ174" si="1586">+AP171/AP$6</f>
        <v>5.0965250965250966E-2</v>
      </c>
      <c r="AQ174" s="984">
        <f t="shared" si="1586"/>
        <v>0.12491937217802623</v>
      </c>
      <c r="AR174" s="984">
        <f t="shared" si="1585"/>
        <v>0.51740163537556971</v>
      </c>
      <c r="AS174" s="985">
        <f t="shared" si="1585"/>
        <v>3.5977757280645908E-2</v>
      </c>
      <c r="AT174" s="984">
        <f t="shared" si="1585"/>
        <v>5.6595657981119686E-2</v>
      </c>
      <c r="AU174" s="984">
        <f t="shared" si="1585"/>
        <v>0.11600938774033623</v>
      </c>
      <c r="AV174" s="984">
        <f t="shared" si="1585"/>
        <v>0.50347900671242074</v>
      </c>
      <c r="AW174" s="985">
        <f t="shared" si="1585"/>
        <v>3.5823606286833863E-2</v>
      </c>
      <c r="AX174" s="984">
        <f t="shared" si="1585"/>
        <v>5.2627018775933183E-2</v>
      </c>
      <c r="AY174" s="984">
        <f t="shared" si="1585"/>
        <v>0.11074134042081184</v>
      </c>
      <c r="AZ174" s="984">
        <f t="shared" si="1585"/>
        <v>0.49192349115951955</v>
      </c>
      <c r="BA174" s="985">
        <f t="shared" si="1585"/>
        <v>3.5065530854345286E-2</v>
      </c>
      <c r="BB174" s="1013"/>
      <c r="BC174" s="846"/>
      <c r="BD174" s="1011">
        <f t="shared" ref="BD174:BE174" si="1587">+BD171/BD$6</f>
        <v>0</v>
      </c>
      <c r="BE174" s="1011">
        <f t="shared" si="1587"/>
        <v>0</v>
      </c>
      <c r="BF174" s="1017">
        <f>+BF171/BF$6</f>
        <v>0</v>
      </c>
      <c r="BG174" s="1017">
        <f>+BG171/BG$6</f>
        <v>0</v>
      </c>
      <c r="BH174" s="1017">
        <f>+BH171/BH$6</f>
        <v>0</v>
      </c>
      <c r="BI174" s="1017">
        <f t="shared" ref="BI174:BP174" si="1588">+BI171/BI$6</f>
        <v>0</v>
      </c>
      <c r="BJ174" s="1017">
        <f t="shared" si="1588"/>
        <v>0</v>
      </c>
      <c r="BK174" s="1017">
        <f t="shared" si="1588"/>
        <v>0.29078507795100222</v>
      </c>
      <c r="BL174" s="1017">
        <f t="shared" si="1588"/>
        <v>0.27681915873503221</v>
      </c>
      <c r="BM174" s="1062">
        <f t="shared" si="1588"/>
        <v>0.26196165896659762</v>
      </c>
      <c r="BN174" s="1368">
        <f t="shared" si="1588"/>
        <v>0.25022092312674171</v>
      </c>
      <c r="BO174" s="1368">
        <f t="shared" si="1588"/>
        <v>0.24062434862414586</v>
      </c>
      <c r="BP174" s="1368">
        <f t="shared" si="1588"/>
        <v>0.23152440921901526</v>
      </c>
      <c r="BR174" s="1425"/>
      <c r="BS174" s="1425"/>
      <c r="BT174" s="1425"/>
      <c r="BU174" s="1263"/>
    </row>
    <row r="175" spans="1:73" s="1014" customFormat="1" ht="12.75" hidden="1" customHeight="1" outlineLevel="1">
      <c r="A175" s="2003"/>
      <c r="B175" s="1008"/>
      <c r="C175" s="1008"/>
      <c r="D175" s="1008"/>
      <c r="E175" s="1009"/>
      <c r="F175" s="1008"/>
      <c r="G175" s="1008"/>
      <c r="H175" s="1008"/>
      <c r="I175" s="1009"/>
      <c r="J175" s="1010"/>
      <c r="K175" s="1008"/>
      <c r="L175" s="1010"/>
      <c r="M175" s="1009"/>
      <c r="N175" s="1008"/>
      <c r="O175" s="1008"/>
      <c r="P175" s="1008"/>
      <c r="Q175" s="1009"/>
      <c r="R175" s="984"/>
      <c r="S175" s="984"/>
      <c r="T175" s="984"/>
      <c r="U175" s="985"/>
      <c r="V175" s="984"/>
      <c r="W175" s="984"/>
      <c r="X175" s="984"/>
      <c r="Y175" s="985"/>
      <c r="Z175" s="1270"/>
      <c r="AA175" s="984"/>
      <c r="AB175" s="984"/>
      <c r="AC175" s="985"/>
      <c r="AD175" s="984"/>
      <c r="AE175" s="984"/>
      <c r="AF175" s="984"/>
      <c r="AG175" s="985"/>
      <c r="AH175" s="984"/>
      <c r="AI175" s="984"/>
      <c r="AJ175" s="984"/>
      <c r="AK175" s="985"/>
      <c r="AL175" s="984"/>
      <c r="AM175" s="984"/>
      <c r="AN175" s="984"/>
      <c r="AO175" s="985"/>
      <c r="AP175" s="984"/>
      <c r="AQ175" s="984"/>
      <c r="AR175" s="984"/>
      <c r="AS175" s="985"/>
      <c r="AT175" s="984"/>
      <c r="AU175" s="984"/>
      <c r="AV175" s="984"/>
      <c r="AW175" s="985"/>
      <c r="AX175" s="984"/>
      <c r="AY175" s="984"/>
      <c r="AZ175" s="984"/>
      <c r="BA175" s="985"/>
      <c r="BB175" s="1013"/>
      <c r="BC175" s="1289"/>
      <c r="BD175" s="2007"/>
      <c r="BE175" s="2007"/>
      <c r="BF175" s="1292"/>
      <c r="BG175" s="1292"/>
      <c r="BH175" s="1292"/>
      <c r="BI175" s="1292"/>
      <c r="BJ175" s="1292"/>
      <c r="BK175" s="1292"/>
      <c r="BL175" s="1292"/>
      <c r="BM175" s="1292"/>
      <c r="BN175" s="1368"/>
      <c r="BO175" s="1368"/>
      <c r="BP175" s="1368"/>
      <c r="BR175" s="1425"/>
      <c r="BS175" s="1425"/>
      <c r="BT175" s="1425"/>
      <c r="BU175" s="1263"/>
    </row>
    <row r="176" spans="1:73" s="492" customFormat="1" ht="12" hidden="1" customHeight="1" outlineLevel="3">
      <c r="A176" s="2006" t="s">
        <v>718</v>
      </c>
      <c r="B176" s="1058"/>
      <c r="C176" s="1058"/>
      <c r="D176" s="1058"/>
      <c r="E176" s="1059"/>
      <c r="F176" s="1058"/>
      <c r="G176" s="1058"/>
      <c r="H176" s="1058"/>
      <c r="I176" s="1059"/>
      <c r="J176" s="1058"/>
      <c r="K176" s="1058"/>
      <c r="L176" s="1058"/>
      <c r="M176" s="1059"/>
      <c r="N176" s="1058"/>
      <c r="O176" s="1058"/>
      <c r="P176" s="1058"/>
      <c r="Q176" s="1059"/>
      <c r="R176" s="1058"/>
      <c r="S176" s="1058"/>
      <c r="T176" s="1058"/>
      <c r="U176" s="1059"/>
      <c r="V176" s="1058"/>
      <c r="W176" s="1206"/>
      <c r="X176" s="1060"/>
      <c r="Y176" s="1061"/>
      <c r="Z176" s="1272"/>
      <c r="AA176" s="1060"/>
      <c r="AB176" s="1060"/>
      <c r="AC176" s="1061"/>
      <c r="AD176" s="1073">
        <f t="shared" ref="AD176:AO176" si="1589">+AD171-AD178</f>
        <v>6</v>
      </c>
      <c r="AE176" s="1073">
        <f t="shared" si="1589"/>
        <v>7</v>
      </c>
      <c r="AF176" s="1073">
        <f t="shared" si="1589"/>
        <v>20</v>
      </c>
      <c r="AG176" s="1074">
        <f t="shared" si="1589"/>
        <v>10</v>
      </c>
      <c r="AH176" s="1073">
        <f t="shared" si="1589"/>
        <v>9</v>
      </c>
      <c r="AI176" s="1073">
        <f t="shared" si="1589"/>
        <v>10</v>
      </c>
      <c r="AJ176" s="1073">
        <f t="shared" si="1589"/>
        <v>31</v>
      </c>
      <c r="AK176" s="1074">
        <f t="shared" si="1589"/>
        <v>13</v>
      </c>
      <c r="AL176" s="1073">
        <f t="shared" si="1589"/>
        <v>11</v>
      </c>
      <c r="AM176" s="1073">
        <f t="shared" si="1589"/>
        <v>11</v>
      </c>
      <c r="AN176" s="1073">
        <f t="shared" si="1589"/>
        <v>30</v>
      </c>
      <c r="AO176" s="1074">
        <f t="shared" si="1589"/>
        <v>11</v>
      </c>
      <c r="AP176" s="2138">
        <f>AL176+2</f>
        <v>13</v>
      </c>
      <c r="AQ176" s="2138">
        <f t="shared" ref="AQ176:AS176" si="1590">AM176+2</f>
        <v>13</v>
      </c>
      <c r="AR176" s="2138">
        <f t="shared" si="1590"/>
        <v>32</v>
      </c>
      <c r="AS176" s="2138">
        <f t="shared" si="1590"/>
        <v>13</v>
      </c>
      <c r="AT176" s="2139">
        <f>AP176+2</f>
        <v>15</v>
      </c>
      <c r="AU176" s="2138">
        <f t="shared" ref="AU176" si="1591">AQ176+2</f>
        <v>15</v>
      </c>
      <c r="AV176" s="2138">
        <f t="shared" ref="AV176" si="1592">AR176+2</f>
        <v>34</v>
      </c>
      <c r="AW176" s="2138">
        <f t="shared" ref="AW176" si="1593">AS176+2</f>
        <v>15</v>
      </c>
      <c r="AX176" s="2139">
        <f>AT176+2</f>
        <v>17</v>
      </c>
      <c r="AY176" s="2138">
        <f t="shared" ref="AY176" si="1594">AU176+2</f>
        <v>17</v>
      </c>
      <c r="AZ176" s="2138">
        <f t="shared" ref="AZ176" si="1595">AV176+2</f>
        <v>36</v>
      </c>
      <c r="BA176" s="2138">
        <f t="shared" ref="BA176" si="1596">AW176+2</f>
        <v>17</v>
      </c>
      <c r="BB176" s="2137"/>
      <c r="BC176" s="981"/>
      <c r="BD176" s="1083"/>
      <c r="BE176" s="1083"/>
      <c r="BF176" s="1083"/>
      <c r="BG176" s="1083"/>
      <c r="BH176" s="1083"/>
      <c r="BI176" s="1083"/>
      <c r="BJ176" s="1083"/>
      <c r="BK176" s="1083">
        <f>SUM(AD176:AG176)</f>
        <v>43</v>
      </c>
      <c r="BL176" s="1083">
        <f>SUM(AH176:AK176)</f>
        <v>63</v>
      </c>
      <c r="BM176" s="1083">
        <f>SUM(AL176:AO176)</f>
        <v>63</v>
      </c>
      <c r="BN176" s="1364">
        <f>SUM(AP176:AS176)</f>
        <v>71</v>
      </c>
      <c r="BO176" s="1364">
        <f>SUM(AT176:AW176)</f>
        <v>79</v>
      </c>
      <c r="BP176" s="1364">
        <f>SUM(AX176:BA176)</f>
        <v>87</v>
      </c>
      <c r="BR176" s="1429"/>
      <c r="BS176" s="1429"/>
      <c r="BT176" s="1429"/>
      <c r="BU176" s="1263"/>
    </row>
    <row r="177" spans="1:73" s="1014" customFormat="1" ht="12" customHeight="1" collapsed="1">
      <c r="A177" s="1695"/>
      <c r="B177" s="1008"/>
      <c r="C177" s="1008"/>
      <c r="D177" s="1008"/>
      <c r="E177" s="1009"/>
      <c r="F177" s="1008"/>
      <c r="G177" s="1008"/>
      <c r="H177" s="1008"/>
      <c r="I177" s="1009"/>
      <c r="J177" s="1010"/>
      <c r="K177" s="1008"/>
      <c r="L177" s="1008"/>
      <c r="M177" s="1009"/>
      <c r="N177" s="1008"/>
      <c r="O177" s="1008"/>
      <c r="P177" s="1008"/>
      <c r="Q177" s="1009"/>
      <c r="R177" s="984"/>
      <c r="S177" s="984"/>
      <c r="T177" s="1008"/>
      <c r="U177" s="985"/>
      <c r="V177" s="984"/>
      <c r="W177" s="984"/>
      <c r="X177" s="1008"/>
      <c r="Y177" s="985"/>
      <c r="Z177" s="1270"/>
      <c r="AA177" s="1015"/>
      <c r="AB177" s="1008"/>
      <c r="AC177" s="1016"/>
      <c r="AD177" s="1015"/>
      <c r="AE177" s="1015"/>
      <c r="AF177" s="1008"/>
      <c r="AG177" s="1016"/>
      <c r="AH177" s="1015"/>
      <c r="AI177" s="1015"/>
      <c r="AJ177" s="1015"/>
      <c r="AK177" s="1016"/>
      <c r="AL177" s="1015"/>
      <c r="AM177" s="1015"/>
      <c r="AN177" s="1015"/>
      <c r="AO177" s="1016"/>
      <c r="AP177" s="1015"/>
      <c r="AQ177" s="1015"/>
      <c r="AR177" s="1015"/>
      <c r="AS177" s="1016"/>
      <c r="AT177" s="1015"/>
      <c r="AU177" s="1015"/>
      <c r="AV177" s="1015"/>
      <c r="AW177" s="1016"/>
      <c r="AX177" s="1015"/>
      <c r="AY177" s="1015"/>
      <c r="AZ177" s="1015"/>
      <c r="BA177" s="1016"/>
      <c r="BB177" s="1013"/>
      <c r="BC177" s="846"/>
      <c r="BD177" s="1011"/>
      <c r="BE177" s="1011"/>
      <c r="BF177" s="1017"/>
      <c r="BG177" s="1017"/>
      <c r="BH177" s="1017"/>
      <c r="BI177" s="1017"/>
      <c r="BJ177" s="1017"/>
      <c r="BK177" s="1017"/>
      <c r="BL177" s="1062"/>
      <c r="BM177" s="1062"/>
      <c r="BN177" s="1368"/>
      <c r="BO177" s="1368"/>
      <c r="BP177" s="1368"/>
      <c r="BR177" s="1425"/>
      <c r="BS177" s="1425"/>
      <c r="BT177" s="1425"/>
      <c r="BU177" s="1263"/>
    </row>
    <row r="178" spans="1:73" s="1014" customFormat="1" ht="12" customHeight="1">
      <c r="A178" s="2006" t="s">
        <v>715</v>
      </c>
      <c r="B178" s="1058">
        <v>73</v>
      </c>
      <c r="C178" s="1058">
        <v>292</v>
      </c>
      <c r="D178" s="1058">
        <v>1621</v>
      </c>
      <c r="E178" s="1059">
        <v>59</v>
      </c>
      <c r="F178" s="1067">
        <f>+F185+F191</f>
        <v>73</v>
      </c>
      <c r="G178" s="1067">
        <f t="shared" ref="G178:V178" si="1597">+G185+G191</f>
        <v>299</v>
      </c>
      <c r="H178" s="1067">
        <v>1769</v>
      </c>
      <c r="I178" s="1068">
        <v>60</v>
      </c>
      <c r="J178" s="1067">
        <f t="shared" si="1597"/>
        <v>74</v>
      </c>
      <c r="K178" s="1067">
        <f t="shared" si="1597"/>
        <v>416</v>
      </c>
      <c r="L178" s="1067">
        <f t="shared" si="1597"/>
        <v>1949</v>
      </c>
      <c r="M178" s="1068">
        <f t="shared" si="1597"/>
        <v>69</v>
      </c>
      <c r="N178" s="1067">
        <f t="shared" si="1597"/>
        <v>90</v>
      </c>
      <c r="O178" s="1067">
        <f t="shared" si="1597"/>
        <v>461</v>
      </c>
      <c r="P178" s="1067">
        <f>+P185+P191</f>
        <v>2150</v>
      </c>
      <c r="Q178" s="1068">
        <f t="shared" si="1597"/>
        <v>74</v>
      </c>
      <c r="R178" s="1067">
        <f t="shared" si="1597"/>
        <v>100</v>
      </c>
      <c r="S178" s="1067">
        <f t="shared" si="1597"/>
        <v>499</v>
      </c>
      <c r="T178" s="1067">
        <f t="shared" si="1597"/>
        <v>1827</v>
      </c>
      <c r="U178" s="1068">
        <f t="shared" si="1597"/>
        <v>710</v>
      </c>
      <c r="V178" s="1959">
        <f t="shared" si="1597"/>
        <v>119</v>
      </c>
      <c r="W178" s="1959">
        <f t="shared" ref="W178:Y178" si="1598">+W185+W191</f>
        <v>147</v>
      </c>
      <c r="X178" s="1959">
        <f t="shared" si="1598"/>
        <v>2445</v>
      </c>
      <c r="Y178" s="1960">
        <f t="shared" si="1598"/>
        <v>852</v>
      </c>
      <c r="Z178" s="1961">
        <f t="shared" ref="Z178" si="1599">+Z185+Z191</f>
        <v>120</v>
      </c>
      <c r="AA178" s="1959">
        <v>411</v>
      </c>
      <c r="AB178" s="1959">
        <v>3239</v>
      </c>
      <c r="AC178" s="1960">
        <v>145</v>
      </c>
      <c r="AD178" s="1959">
        <v>150</v>
      </c>
      <c r="AE178" s="1959">
        <v>516</v>
      </c>
      <c r="AF178" s="1959">
        <v>3341</v>
      </c>
      <c r="AG178" s="1960">
        <v>128</v>
      </c>
      <c r="AH178" s="1959">
        <v>187</v>
      </c>
      <c r="AI178" s="1959">
        <v>492</v>
      </c>
      <c r="AJ178" s="1959">
        <v>3653</v>
      </c>
      <c r="AK178" s="1960">
        <v>113</v>
      </c>
      <c r="AL178" s="1959">
        <v>176</v>
      </c>
      <c r="AM178" s="1959">
        <v>509</v>
      </c>
      <c r="AN178" s="1959">
        <v>4048</v>
      </c>
      <c r="AO178" s="1960">
        <v>137</v>
      </c>
      <c r="AP178" s="1893">
        <f>AP171-AP176</f>
        <v>185</v>
      </c>
      <c r="AQ178" s="1893">
        <f>AQ171-AQ176</f>
        <v>568</v>
      </c>
      <c r="AR178" s="1893">
        <f>+AR568</f>
        <v>4360</v>
      </c>
      <c r="AS178" s="1894">
        <f>AS568</f>
        <v>140</v>
      </c>
      <c r="AT178" s="1893">
        <f>+AT568</f>
        <v>235</v>
      </c>
      <c r="AU178" s="1893">
        <f>+AU568</f>
        <v>600</v>
      </c>
      <c r="AV178" s="1893">
        <f>AV568</f>
        <v>4650</v>
      </c>
      <c r="AW178" s="1894">
        <f>+AW568</f>
        <v>155</v>
      </c>
      <c r="AX178" s="1893">
        <f>+AX568</f>
        <v>245</v>
      </c>
      <c r="AY178" s="1893">
        <f>+AY568</f>
        <v>650</v>
      </c>
      <c r="AZ178" s="1893">
        <f>+AZ568</f>
        <v>5000</v>
      </c>
      <c r="BA178" s="1894">
        <f>+BA568</f>
        <v>170</v>
      </c>
      <c r="BB178" s="1013"/>
      <c r="BC178" s="846"/>
      <c r="BD178" s="1083">
        <f>SUM(B178:E178)</f>
        <v>2045</v>
      </c>
      <c r="BE178" s="1083">
        <f>SUM(F178:I178)</f>
        <v>2201</v>
      </c>
      <c r="BF178" s="1083">
        <f>SUM(J178:M178)</f>
        <v>2508</v>
      </c>
      <c r="BG178" s="1083">
        <f>SUM(N178:Q178)</f>
        <v>2775</v>
      </c>
      <c r="BH178" s="1083">
        <f>SUM(R178:U178)</f>
        <v>3136</v>
      </c>
      <c r="BI178" s="1083">
        <f>SUM(V178:Y178)</f>
        <v>3563</v>
      </c>
      <c r="BJ178" s="1083">
        <f>SUM(Z178:AC178)</f>
        <v>3915</v>
      </c>
      <c r="BK178" s="1083">
        <f>SUM(AD178:AG178)</f>
        <v>4135</v>
      </c>
      <c r="BL178" s="1083">
        <f>SUM(AH178:AK178)</f>
        <v>4445</v>
      </c>
      <c r="BM178" s="1083">
        <f>SUM(AL178:AO178)</f>
        <v>4870</v>
      </c>
      <c r="BN178" s="1364">
        <f>SUM(AP178:AS178)</f>
        <v>5253</v>
      </c>
      <c r="BO178" s="1364">
        <f>SUM(AT178:AW178)</f>
        <v>5640</v>
      </c>
      <c r="BP178" s="1364">
        <f>SUM(AX178:BA178)</f>
        <v>6065</v>
      </c>
      <c r="BR178" s="1425"/>
      <c r="BS178" s="1425"/>
      <c r="BT178" s="1425"/>
      <c r="BU178" s="1263"/>
    </row>
    <row r="179" spans="1:73" s="1014" customFormat="1" ht="12" customHeight="1">
      <c r="A179" s="1064" t="s">
        <v>181</v>
      </c>
      <c r="B179" s="999" t="str">
        <f t="shared" ref="B179:D179" si="1600">IF(ISERROR(B178/#REF!-1),"NA",B178/#REF!-1)</f>
        <v>NA</v>
      </c>
      <c r="C179" s="987" t="str">
        <f t="shared" si="1600"/>
        <v>NA</v>
      </c>
      <c r="D179" s="987" t="str">
        <f t="shared" si="1600"/>
        <v>NA</v>
      </c>
      <c r="E179" s="998" t="str">
        <f t="shared" ref="E179" si="1601">IF(ISERROR(E178/A178-1),"NA",E178/A178-1)</f>
        <v>NA</v>
      </c>
      <c r="F179" s="999">
        <f t="shared" ref="F179" si="1602">IF(ISERROR(F178/B178-1),"NA",F178/B178-1)</f>
        <v>0</v>
      </c>
      <c r="G179" s="987">
        <f t="shared" ref="G179" si="1603">IF(ISERROR(G178/C178-1),"NA",G178/C178-1)</f>
        <v>2.3972602739726012E-2</v>
      </c>
      <c r="H179" s="987">
        <f t="shared" ref="H179" si="1604">IF(ISERROR(H178/D178-1),"NA",H178/D178-1)</f>
        <v>9.1301665638494844E-2</v>
      </c>
      <c r="I179" s="998">
        <f t="shared" ref="I179" si="1605">IF(ISERROR(I178/E178-1),"NA",I178/E178-1)</f>
        <v>1.6949152542372836E-2</v>
      </c>
      <c r="J179" s="999">
        <f t="shared" ref="J179" si="1606">IF(ISERROR(J178/F178-1),"NA",J178/F178-1)</f>
        <v>1.3698630136986356E-2</v>
      </c>
      <c r="K179" s="987">
        <f t="shared" ref="K179" si="1607">IF(ISERROR(K178/G178-1),"NA",K178/G178-1)</f>
        <v>0.39130434782608692</v>
      </c>
      <c r="L179" s="987">
        <f t="shared" ref="L179" si="1608">IF(ISERROR(L178/H178-1),"NA",L178/H178-1)</f>
        <v>0.1017524024872809</v>
      </c>
      <c r="M179" s="998">
        <f t="shared" ref="M179" si="1609">IF(ISERROR(M178/I178-1),"NA",M178/I178-1)</f>
        <v>0.14999999999999991</v>
      </c>
      <c r="N179" s="999">
        <f t="shared" ref="N179" si="1610">IF(ISERROR(N178/J178-1),"NA",N178/J178-1)</f>
        <v>0.21621621621621623</v>
      </c>
      <c r="O179" s="987">
        <f t="shared" ref="O179" si="1611">IF(ISERROR(O178/K178-1),"NA",O178/K178-1)</f>
        <v>0.10817307692307687</v>
      </c>
      <c r="P179" s="987">
        <f t="shared" ref="P179" si="1612">IF(ISERROR(P178/L178-1),"NA",P178/L178-1)</f>
        <v>0.10312981015905587</v>
      </c>
      <c r="Q179" s="998">
        <f t="shared" ref="Q179" si="1613">IF(ISERROR(Q178/M178-1),"NA",Q178/M178-1)</f>
        <v>7.2463768115942129E-2</v>
      </c>
      <c r="R179" s="984">
        <f t="shared" ref="R179" si="1614">IF(ISERROR(R178/N178-1),"NA",R178/N178-1)</f>
        <v>0.11111111111111116</v>
      </c>
      <c r="S179" s="984">
        <f t="shared" ref="S179" si="1615">IF(ISERROR(S178/O178-1),"NA",S178/O178-1)</f>
        <v>8.2429501084598789E-2</v>
      </c>
      <c r="T179" s="984">
        <f t="shared" ref="T179" si="1616">IF(ISERROR(T178/P178-1),"NA",T178/P178-1)</f>
        <v>-0.15023255813953484</v>
      </c>
      <c r="U179" s="985">
        <f t="shared" ref="U179" si="1617">IF(ISERROR(U178/Q178-1),"NA",U178/Q178-1)</f>
        <v>8.5945945945945947</v>
      </c>
      <c r="V179" s="984">
        <f t="shared" ref="V179:X179" si="1618">IF(ISERROR(V178/R178-1),"NA",V178/R178-1)</f>
        <v>0.18999999999999995</v>
      </c>
      <c r="W179" s="984">
        <f t="shared" si="1618"/>
        <v>-0.70541082164328661</v>
      </c>
      <c r="X179" s="984">
        <f t="shared" si="1618"/>
        <v>0.3382594417077176</v>
      </c>
      <c r="Y179" s="985">
        <f t="shared" ref="Y179:Z179" si="1619">IF(ISERROR(Y178/U178-1),"NA",Y178/U178-1)</f>
        <v>0.19999999999999996</v>
      </c>
      <c r="Z179" s="1270">
        <f t="shared" si="1619"/>
        <v>8.4033613445377853E-3</v>
      </c>
      <c r="AA179" s="984">
        <f t="shared" ref="AA179" si="1620">IF(ISERROR(AA178/W178-1),"NA",AA178/W178-1)</f>
        <v>1.795918367346939</v>
      </c>
      <c r="AB179" s="984">
        <f t="shared" ref="AB179:AC179" si="1621">IF(ISERROR(AB178/X178-1),"NA",AB178/X178-1)</f>
        <v>0.32474437627811858</v>
      </c>
      <c r="AC179" s="985">
        <f t="shared" si="1621"/>
        <v>-0.82981220657276999</v>
      </c>
      <c r="AD179" s="984">
        <f t="shared" ref="AD179" si="1622">IF(ISERROR(AD178/Z178-1),"NA",AD178/Z178-1)</f>
        <v>0.25</v>
      </c>
      <c r="AE179" s="984">
        <f t="shared" ref="AE179" si="1623">IF(ISERROR(AE178/AA178-1),"NA",AE178/AA178-1)</f>
        <v>0.25547445255474455</v>
      </c>
      <c r="AF179" s="984">
        <f t="shared" ref="AF179" si="1624">IF(ISERROR(AF178/AB178-1),"NA",AF178/AB178-1)</f>
        <v>3.1491200987959322E-2</v>
      </c>
      <c r="AG179" s="985">
        <f t="shared" ref="AG179:AL179" si="1625">IF(ISERROR(AG178/AC178-1),"NA",AG178/AC178-1)</f>
        <v>-0.11724137931034484</v>
      </c>
      <c r="AH179" s="984">
        <f t="shared" si="1625"/>
        <v>0.24666666666666659</v>
      </c>
      <c r="AI179" s="984">
        <f t="shared" si="1625"/>
        <v>-4.6511627906976716E-2</v>
      </c>
      <c r="AJ179" s="990">
        <f t="shared" si="1625"/>
        <v>9.3385214007781991E-2</v>
      </c>
      <c r="AK179" s="985">
        <f t="shared" ref="AK179" si="1626">IF(ISERROR(AK178/AG178-1),"NA",AK178/AG178-1)</f>
        <v>-0.1171875</v>
      </c>
      <c r="AL179" s="984">
        <f t="shared" si="1625"/>
        <v>-5.8823529411764719E-2</v>
      </c>
      <c r="AM179" s="984">
        <f t="shared" ref="AM179" si="1627">IF(ISERROR(AM178/AI178-1),"NA",AM178/AI178-1)</f>
        <v>3.4552845528455389E-2</v>
      </c>
      <c r="AN179" s="984">
        <f t="shared" ref="AN179:AQ179" si="1628">IF(ISERROR(AN178/AJ178-1),"NA",AN178/AJ178-1)</f>
        <v>0.10813030385984113</v>
      </c>
      <c r="AO179" s="985">
        <f t="shared" si="1628"/>
        <v>0.21238938053097356</v>
      </c>
      <c r="AP179" s="984">
        <f t="shared" si="1628"/>
        <v>5.1136363636363535E-2</v>
      </c>
      <c r="AQ179" s="984">
        <f t="shared" si="1628"/>
        <v>0.11591355599214137</v>
      </c>
      <c r="AR179" s="984">
        <f t="shared" ref="AR179" si="1629">IF(ISERROR(AR178/AN178-1),"NA",AR178/AN178-1)</f>
        <v>7.7075098814229248E-2</v>
      </c>
      <c r="AS179" s="985">
        <f t="shared" ref="AS179" si="1630">IF(ISERROR(AS178/AO178-1),"NA",AS178/AO178-1)</f>
        <v>2.1897810218978186E-2</v>
      </c>
      <c r="AT179" s="984">
        <v>7.4999999999999997E-2</v>
      </c>
      <c r="AU179" s="984">
        <v>7.4999999999999997E-2</v>
      </c>
      <c r="AV179" s="984">
        <v>7.4999999999999997E-2</v>
      </c>
      <c r="AW179" s="985">
        <v>7.4999999999999997E-2</v>
      </c>
      <c r="AX179" s="984">
        <v>7.4999999999999997E-2</v>
      </c>
      <c r="AY179" s="984">
        <v>7.4999999999999997E-2</v>
      </c>
      <c r="AZ179" s="984">
        <v>7.4999999999999997E-2</v>
      </c>
      <c r="BA179" s="985">
        <v>7.4999999999999997E-2</v>
      </c>
      <c r="BB179" s="1013"/>
      <c r="BC179" s="846"/>
      <c r="BD179" s="842" t="str">
        <f t="shared" ref="BD179" si="1631">IF(ISERROR(BD178/BB178-1),"NA",BD178/BB178-1)</f>
        <v>NA</v>
      </c>
      <c r="BE179" s="842">
        <f t="shared" ref="BE179" si="1632">IF(ISERROR(BE178/BD178-1),"NA",BE178/BD178-1)</f>
        <v>7.6283618581907131E-2</v>
      </c>
      <c r="BF179" s="842">
        <f t="shared" ref="BF179" si="1633">IF(ISERROR(BF178/BE178-1),"NA",BF178/BE178-1)</f>
        <v>0.13948205361199451</v>
      </c>
      <c r="BG179" s="842">
        <f t="shared" ref="BG179" si="1634">IF(ISERROR(BG178/BF178-1),"NA",BG178/BF178-1)</f>
        <v>0.10645933014354059</v>
      </c>
      <c r="BH179" s="842">
        <f t="shared" ref="BH179" si="1635">IF(ISERROR(BH178/BG178-1),"NA",BH178/BG178-1)</f>
        <v>0.13009009009009009</v>
      </c>
      <c r="BI179" s="841">
        <f t="shared" ref="BI179" si="1636">IF(ISERROR(BI178/BH178-1),"NA",BI178/BH178-1)</f>
        <v>0.13616071428571419</v>
      </c>
      <c r="BJ179" s="841">
        <f t="shared" ref="BJ179" si="1637">IF(ISERROR(BJ178/BI178-1),"NA",BJ178/BI178-1)</f>
        <v>9.8793151838338478E-2</v>
      </c>
      <c r="BK179" s="841">
        <f t="shared" ref="BK179" si="1638">IF(ISERROR(BK178/BJ178-1),"NA",BK178/BJ178-1)</f>
        <v>5.6194125159642505E-2</v>
      </c>
      <c r="BL179" s="841">
        <f t="shared" ref="BL179:BP179" si="1639">IF(ISERROR(BL178/BK178-1),"NA",BL178/BK178-1)</f>
        <v>7.4969770253929813E-2</v>
      </c>
      <c r="BM179" s="841">
        <f t="shared" si="1639"/>
        <v>9.5613048368953901E-2</v>
      </c>
      <c r="BN179" s="1170">
        <f t="shared" si="1639"/>
        <v>7.864476386036956E-2</v>
      </c>
      <c r="BO179" s="1170">
        <f t="shared" si="1639"/>
        <v>7.3672187321530469E-2</v>
      </c>
      <c r="BP179" s="1170">
        <f t="shared" si="1639"/>
        <v>7.5354609929078054E-2</v>
      </c>
      <c r="BR179" s="1425"/>
      <c r="BS179" s="1425"/>
      <c r="BT179" s="1425"/>
      <c r="BU179" s="1263"/>
    </row>
    <row r="180" spans="1:73" s="1014" customFormat="1" ht="12" customHeight="1">
      <c r="A180" s="1064" t="s">
        <v>291</v>
      </c>
      <c r="B180" s="999" t="str">
        <f t="shared" ref="B180" si="1640">IF(ISERROR(B178/A178-1),"NA",B178/A178-1)</f>
        <v>NA</v>
      </c>
      <c r="C180" s="987">
        <f t="shared" ref="C180" si="1641">IF(ISERROR(C178/B178-1),"NA",C178/B178-1)</f>
        <v>3</v>
      </c>
      <c r="D180" s="987">
        <f t="shared" ref="D180" si="1642">IF(ISERROR(D178/C178-1),"NA",D178/C178-1)</f>
        <v>4.5513698630136989</v>
      </c>
      <c r="E180" s="998">
        <f t="shared" ref="E180" si="1643">IF(ISERROR(E178/D178-1),"NA",E178/D178-1)</f>
        <v>-0.96360271437384326</v>
      </c>
      <c r="F180" s="999">
        <f t="shared" ref="F180" si="1644">IF(ISERROR(F178/E178-1),"NA",F178/E178-1)</f>
        <v>0.23728813559322037</v>
      </c>
      <c r="G180" s="987">
        <f t="shared" ref="G180" si="1645">IF(ISERROR(G178/F178-1),"NA",G178/F178-1)</f>
        <v>3.095890410958904</v>
      </c>
      <c r="H180" s="987">
        <f t="shared" ref="H180" si="1646">IF(ISERROR(H178/G178-1),"NA",H178/G178-1)</f>
        <v>4.9163879598662206</v>
      </c>
      <c r="I180" s="998">
        <f t="shared" ref="I180" si="1647">IF(ISERROR(I178/H178-1),"NA",I178/H178-1)</f>
        <v>-0.9660825325042397</v>
      </c>
      <c r="J180" s="999">
        <f t="shared" ref="J180" si="1648">IF(ISERROR(J178/I178-1),"NA",J178/I178-1)</f>
        <v>0.23333333333333339</v>
      </c>
      <c r="K180" s="987">
        <f t="shared" ref="K180" si="1649">IF(ISERROR(K178/J178-1),"NA",K178/J178-1)</f>
        <v>4.6216216216216219</v>
      </c>
      <c r="L180" s="987">
        <f t="shared" ref="L180" si="1650">IF(ISERROR(L178/K178-1),"NA",L178/K178-1)</f>
        <v>3.6850961538461542</v>
      </c>
      <c r="M180" s="998">
        <f t="shared" ref="M180" si="1651">IF(ISERROR(M178/L178-1),"NA",M178/L178-1)</f>
        <v>-0.96459722934838377</v>
      </c>
      <c r="N180" s="999">
        <f t="shared" ref="N180" si="1652">IF(ISERROR(N178/M178-1),"NA",N178/M178-1)</f>
        <v>0.30434782608695654</v>
      </c>
      <c r="O180" s="987">
        <f t="shared" ref="O180" si="1653">IF(ISERROR(O178/N178-1),"NA",O178/N178-1)</f>
        <v>4.1222222222222218</v>
      </c>
      <c r="P180" s="987">
        <f t="shared" ref="P180" si="1654">IF(ISERROR(P178/O178-1),"NA",P178/O178-1)</f>
        <v>3.6637744034707156</v>
      </c>
      <c r="Q180" s="998">
        <f t="shared" ref="Q180" si="1655">IF(ISERROR(Q178/P178-1),"NA",Q178/P178-1)</f>
        <v>-0.96558139534883725</v>
      </c>
      <c r="R180" s="984">
        <f t="shared" ref="R180" si="1656">IF(ISERROR(R178/Q178-1),"NA",R178/Q178-1)</f>
        <v>0.35135135135135132</v>
      </c>
      <c r="S180" s="984">
        <f t="shared" ref="S180" si="1657">IF(ISERROR(S178/R178-1),"NA",S178/R178-1)</f>
        <v>3.99</v>
      </c>
      <c r="T180" s="984">
        <f t="shared" ref="T180" si="1658">IF(ISERROR(T178/S178-1),"NA",T178/S178-1)</f>
        <v>2.6613226452905812</v>
      </c>
      <c r="U180" s="985">
        <f t="shared" ref="U180" si="1659">IF(ISERROR(U178/T178-1),"NA",U178/T178-1)</f>
        <v>-0.61138478379857686</v>
      </c>
      <c r="V180" s="984">
        <f t="shared" ref="V180:X180" si="1660">IF(ISERROR(V178/U178-1),"NA",V178/U178-1)</f>
        <v>-0.8323943661971831</v>
      </c>
      <c r="W180" s="984">
        <f t="shared" si="1660"/>
        <v>0.23529411764705888</v>
      </c>
      <c r="X180" s="984">
        <f t="shared" si="1660"/>
        <v>15.632653061224488</v>
      </c>
      <c r="Y180" s="985">
        <f t="shared" ref="Y180:Z180" si="1661">IF(ISERROR(Y178/X178-1),"NA",Y178/X178-1)</f>
        <v>-0.65153374233128836</v>
      </c>
      <c r="Z180" s="1270">
        <f t="shared" si="1661"/>
        <v>-0.85915492957746475</v>
      </c>
      <c r="AA180" s="984">
        <f t="shared" ref="AA180" si="1662">IF(ISERROR(AA178/Z178-1),"NA",AA178/Z178-1)</f>
        <v>2.4249999999999998</v>
      </c>
      <c r="AB180" s="984">
        <f t="shared" ref="AB180:AC180" si="1663">IF(ISERROR(AB178/AA178-1),"NA",AB178/AA178-1)</f>
        <v>6.8807785888077859</v>
      </c>
      <c r="AC180" s="985">
        <f t="shared" si="1663"/>
        <v>-0.95523309663476386</v>
      </c>
      <c r="AD180" s="984">
        <f t="shared" ref="AD180" si="1664">IF(ISERROR(AD178/AC178-1),"NA",AD178/AC178-1)</f>
        <v>3.4482758620689724E-2</v>
      </c>
      <c r="AE180" s="984">
        <f t="shared" ref="AE180" si="1665">IF(ISERROR(AE178/AD178-1),"NA",AE178/AD178-1)</f>
        <v>2.44</v>
      </c>
      <c r="AF180" s="984">
        <f t="shared" ref="AF180" si="1666">IF(ISERROR(AF178/AE178-1),"NA",AF178/AE178-1)</f>
        <v>5.474806201550388</v>
      </c>
      <c r="AG180" s="985">
        <f t="shared" ref="AG180:AL180" si="1667">IF(ISERROR(AG178/AF178-1),"NA",AG178/AF178-1)</f>
        <v>-0.9616881173301407</v>
      </c>
      <c r="AH180" s="984">
        <f t="shared" si="1667"/>
        <v>0.4609375</v>
      </c>
      <c r="AI180" s="984">
        <f t="shared" si="1667"/>
        <v>1.6310160427807485</v>
      </c>
      <c r="AJ180" s="984">
        <f t="shared" si="1667"/>
        <v>6.4247967479674797</v>
      </c>
      <c r="AK180" s="985">
        <f t="shared" ref="AK180" si="1668">IF(ISERROR(AK178/AJ178-1),"NA",AK178/AJ178-1)</f>
        <v>-0.96906652066794419</v>
      </c>
      <c r="AL180" s="984">
        <f t="shared" si="1667"/>
        <v>0.55752212389380529</v>
      </c>
      <c r="AM180" s="984">
        <f t="shared" ref="AM180" si="1669">IF(ISERROR(AM178/AL178-1),"NA",AM178/AL178-1)</f>
        <v>1.8920454545454546</v>
      </c>
      <c r="AN180" s="984">
        <f t="shared" ref="AN180:AQ180" si="1670">IF(ISERROR(AN178/AM178-1),"NA",AN178/AM178-1)</f>
        <v>6.9528487229862472</v>
      </c>
      <c r="AO180" s="985">
        <f t="shared" si="1670"/>
        <v>-0.96615612648221338</v>
      </c>
      <c r="AP180" s="984">
        <f t="shared" si="1670"/>
        <v>0.35036496350364965</v>
      </c>
      <c r="AQ180" s="984">
        <f t="shared" si="1670"/>
        <v>2.0702702702702704</v>
      </c>
      <c r="AR180" s="984">
        <f t="shared" ref="AR180" si="1671">IF(ISERROR(AR178/AQ178-1),"NA",AR178/AQ178-1)</f>
        <v>6.676056338028169</v>
      </c>
      <c r="AS180" s="985">
        <f t="shared" ref="AS180" si="1672">IF(ISERROR(AS178/AR178-1),"NA",AS178/AR178-1)</f>
        <v>-0.9678899082568807</v>
      </c>
      <c r="AT180" s="984">
        <f t="shared" ref="AT180" si="1673">IF(ISERROR(AT178/AS178-1),"NA",AT178/AS178-1)</f>
        <v>0.6785714285714286</v>
      </c>
      <c r="AU180" s="984">
        <f t="shared" ref="AU180" si="1674">IF(ISERROR(AU178/AT178-1),"NA",AU178/AT178-1)</f>
        <v>1.5531914893617023</v>
      </c>
      <c r="AV180" s="984">
        <f t="shared" ref="AV180" si="1675">IF(ISERROR(AV178/AU178-1),"NA",AV178/AU178-1)</f>
        <v>6.75</v>
      </c>
      <c r="AW180" s="985">
        <f t="shared" ref="AW180" si="1676">IF(ISERROR(AW178/AV178-1),"NA",AW178/AV178-1)</f>
        <v>-0.96666666666666667</v>
      </c>
      <c r="AX180" s="984">
        <f t="shared" ref="AX180" si="1677">IF(ISERROR(AX178/AW178-1),"NA",AX178/AW178-1)</f>
        <v>0.58064516129032251</v>
      </c>
      <c r="AY180" s="984">
        <f t="shared" ref="AY180" si="1678">IF(ISERROR(AY178/AX178-1),"NA",AY178/AX178-1)</f>
        <v>1.6530612244897958</v>
      </c>
      <c r="AZ180" s="984">
        <f t="shared" ref="AZ180" si="1679">IF(ISERROR(AZ178/AY178-1),"NA",AZ178/AY178-1)</f>
        <v>6.6923076923076925</v>
      </c>
      <c r="BA180" s="985">
        <f t="shared" ref="BA180" si="1680">IF(ISERROR(BA178/AZ178-1),"NA",BA178/AZ178-1)</f>
        <v>-0.96599999999999997</v>
      </c>
      <c r="BB180" s="1013"/>
      <c r="BC180" s="846"/>
      <c r="BD180" s="989" t="s">
        <v>366</v>
      </c>
      <c r="BE180" s="989" t="s">
        <v>366</v>
      </c>
      <c r="BF180" s="989" t="s">
        <v>366</v>
      </c>
      <c r="BG180" s="841" t="s">
        <v>366</v>
      </c>
      <c r="BH180" s="841" t="s">
        <v>366</v>
      </c>
      <c r="BI180" s="989" t="s">
        <v>366</v>
      </c>
      <c r="BJ180" s="989" t="s">
        <v>366</v>
      </c>
      <c r="BK180" s="989" t="s">
        <v>366</v>
      </c>
      <c r="BL180" s="989" t="s">
        <v>366</v>
      </c>
      <c r="BM180" s="1046" t="s">
        <v>366</v>
      </c>
      <c r="BN180" s="1188" t="s">
        <v>366</v>
      </c>
      <c r="BO180" s="1188" t="s">
        <v>366</v>
      </c>
      <c r="BP180" s="1188" t="s">
        <v>366</v>
      </c>
      <c r="BR180" s="1425"/>
      <c r="BS180" s="1425"/>
      <c r="BT180" s="1425"/>
      <c r="BU180" s="1263"/>
    </row>
    <row r="181" spans="1:73" s="1014" customFormat="1" ht="12.75" customHeight="1">
      <c r="A181" s="1064" t="s">
        <v>153</v>
      </c>
      <c r="B181" s="1008">
        <f t="shared" ref="B181:AG181" si="1681">+B178/B$6</f>
        <v>0.10238429172510519</v>
      </c>
      <c r="C181" s="1008">
        <f t="shared" si="1681"/>
        <v>0.3163596966413868</v>
      </c>
      <c r="D181" s="1008">
        <f t="shared" si="1681"/>
        <v>0.70355902777777779</v>
      </c>
      <c r="E181" s="1009">
        <f t="shared" si="1681"/>
        <v>7.8249336870026526E-2</v>
      </c>
      <c r="F181" s="1008">
        <f t="shared" si="1681"/>
        <v>9.383033419023136E-2</v>
      </c>
      <c r="G181" s="1008">
        <f t="shared" si="1681"/>
        <v>0.29429133858267714</v>
      </c>
      <c r="H181" s="1008">
        <f t="shared" si="1681"/>
        <v>0.69618260527351439</v>
      </c>
      <c r="I181" s="1009">
        <f t="shared" si="1681"/>
        <v>7.1258907363420429E-2</v>
      </c>
      <c r="J181" s="1010">
        <f t="shared" si="1681"/>
        <v>8.1318681318681321E-2</v>
      </c>
      <c r="K181" s="1008">
        <f t="shared" si="1681"/>
        <v>0.31067961165048541</v>
      </c>
      <c r="L181" s="1010">
        <f t="shared" si="1681"/>
        <v>0.6692994505494505</v>
      </c>
      <c r="M181" s="1009">
        <f t="shared" si="1681"/>
        <v>7.9861111111111105E-2</v>
      </c>
      <c r="N181" s="1008">
        <f t="shared" si="1681"/>
        <v>8.8582677165354326E-2</v>
      </c>
      <c r="O181" s="1008">
        <f t="shared" si="1681"/>
        <v>0.30692410119840213</v>
      </c>
      <c r="P181" s="1008">
        <f t="shared" si="1681"/>
        <v>0.65709046454767728</v>
      </c>
      <c r="Q181" s="1009">
        <f t="shared" si="1681"/>
        <v>7.4446680080482899E-2</v>
      </c>
      <c r="R181" s="984">
        <f t="shared" si="1681"/>
        <v>8.5836909871244635E-2</v>
      </c>
      <c r="S181" s="984">
        <f t="shared" si="1681"/>
        <v>0.29422169811320753</v>
      </c>
      <c r="T181" s="984">
        <f t="shared" si="1681"/>
        <v>0.6085942704863424</v>
      </c>
      <c r="U181" s="985">
        <f t="shared" si="1681"/>
        <v>0.3909691629955947</v>
      </c>
      <c r="V181" s="984">
        <f t="shared" si="1681"/>
        <v>8.9947089947089942E-2</v>
      </c>
      <c r="W181" s="984">
        <f t="shared" si="1681"/>
        <v>9.3274111675126906E-2</v>
      </c>
      <c r="X181" s="984">
        <f t="shared" si="1681"/>
        <v>0.58590941768511862</v>
      </c>
      <c r="Y181" s="985">
        <f t="shared" si="1681"/>
        <v>0.33268254588051543</v>
      </c>
      <c r="Z181" s="1270">
        <f t="shared" si="1681"/>
        <v>5.9790732436472344E-2</v>
      </c>
      <c r="AA181" s="984">
        <f t="shared" si="1681"/>
        <v>0.15375982042648709</v>
      </c>
      <c r="AB181" s="984">
        <f t="shared" si="1681"/>
        <v>0.57510653409090917</v>
      </c>
      <c r="AC181" s="985">
        <f t="shared" si="1681"/>
        <v>6.0066280033140018E-2</v>
      </c>
      <c r="AD181" s="984">
        <f t="shared" si="1681"/>
        <v>5.7758952637658838E-2</v>
      </c>
      <c r="AE181" s="984">
        <f t="shared" si="1681"/>
        <v>0.16968102597829662</v>
      </c>
      <c r="AF181" s="984">
        <f t="shared" si="1681"/>
        <v>0.55516782984380197</v>
      </c>
      <c r="AG181" s="985">
        <f t="shared" si="1681"/>
        <v>4.71976401179941E-2</v>
      </c>
      <c r="AH181" s="984">
        <f t="shared" ref="AH181:BA181" si="1682">+AH178/AH$6</f>
        <v>6.2793821356615181E-2</v>
      </c>
      <c r="AI181" s="984">
        <f t="shared" si="1682"/>
        <v>0.14530419373892497</v>
      </c>
      <c r="AJ181" s="984">
        <f t="shared" si="1682"/>
        <v>0.54222947899658613</v>
      </c>
      <c r="AK181" s="985">
        <f t="shared" si="1682"/>
        <v>3.5489949748743713E-2</v>
      </c>
      <c r="AL181" s="984">
        <f t="shared" si="1682"/>
        <v>5.3609503502893695E-2</v>
      </c>
      <c r="AM181" s="984">
        <f t="shared" si="1682"/>
        <v>0.12843805198082262</v>
      </c>
      <c r="AN181" s="984">
        <f t="shared" si="1682"/>
        <v>0.52205313386639152</v>
      </c>
      <c r="AO181" s="985">
        <f t="shared" si="1682"/>
        <v>3.5760897937875229E-2</v>
      </c>
      <c r="AP181" s="984">
        <f t="shared" ref="AP181:AQ181" si="1683">+AP178/AP$6</f>
        <v>4.7619047619047616E-2</v>
      </c>
      <c r="AQ181" s="984">
        <f t="shared" si="1683"/>
        <v>0.12212427434960224</v>
      </c>
      <c r="AR181" s="984">
        <f t="shared" si="1682"/>
        <v>0.5136318602544363</v>
      </c>
      <c r="AS181" s="985">
        <f t="shared" si="1682"/>
        <v>3.2920823655492988E-2</v>
      </c>
      <c r="AT181" s="984">
        <f t="shared" si="1682"/>
        <v>5.3199918502252502E-2</v>
      </c>
      <c r="AU181" s="984">
        <f t="shared" si="1682"/>
        <v>0.11317989047837682</v>
      </c>
      <c r="AV181" s="984">
        <f t="shared" si="1682"/>
        <v>0.49982437686011028</v>
      </c>
      <c r="AW181" s="985">
        <f t="shared" si="1682"/>
        <v>3.2662699849760286E-2</v>
      </c>
      <c r="AX181" s="984">
        <f t="shared" si="1682"/>
        <v>4.9212288550013854E-2</v>
      </c>
      <c r="AY181" s="984">
        <f t="shared" si="1682"/>
        <v>0.10791884748654827</v>
      </c>
      <c r="AZ181" s="984">
        <f t="shared" si="1682"/>
        <v>0.48840696104003134</v>
      </c>
      <c r="BA181" s="985">
        <f t="shared" si="1682"/>
        <v>3.1877755322132079E-2</v>
      </c>
      <c r="BB181" s="1013"/>
      <c r="BC181" s="846"/>
      <c r="BD181" s="1011">
        <f t="shared" ref="BD181:BP181" si="1684">+BD178/BD$6</f>
        <v>0.43566254793353215</v>
      </c>
      <c r="BE181" s="1011">
        <f t="shared" si="1684"/>
        <v>0.42514970059880242</v>
      </c>
      <c r="BF181" s="1017">
        <f t="shared" si="1684"/>
        <v>0.4162655601659751</v>
      </c>
      <c r="BG181" s="1017">
        <f t="shared" si="1684"/>
        <v>0.40905070754716982</v>
      </c>
      <c r="BH181" s="1017">
        <f t="shared" si="1684"/>
        <v>0.40838650865998177</v>
      </c>
      <c r="BI181" s="1017">
        <f t="shared" si="1684"/>
        <v>0.36987439011730511</v>
      </c>
      <c r="BJ181" s="1017">
        <f t="shared" si="1684"/>
        <v>0.30763790664780766</v>
      </c>
      <c r="BK181" s="1017">
        <f t="shared" si="1684"/>
        <v>0.28779231625835189</v>
      </c>
      <c r="BL181" s="1017">
        <f t="shared" si="1684"/>
        <v>0.27295056800736872</v>
      </c>
      <c r="BM181" s="1062">
        <f t="shared" si="1684"/>
        <v>0.25861611173065691</v>
      </c>
      <c r="BN181" s="1368">
        <f t="shared" si="1684"/>
        <v>0.246884017502775</v>
      </c>
      <c r="BO181" s="1368">
        <f t="shared" si="1684"/>
        <v>0.23730045921318108</v>
      </c>
      <c r="BP181" s="1368">
        <f t="shared" si="1684"/>
        <v>0.22825025063610657</v>
      </c>
      <c r="BR181" s="1425"/>
      <c r="BS181" s="1425"/>
      <c r="BT181" s="1425"/>
      <c r="BU181" s="1263"/>
    </row>
    <row r="182" spans="1:73" s="414" customFormat="1" ht="12.75" hidden="1" customHeight="1" outlineLevel="1">
      <c r="A182" s="1950" t="s">
        <v>410</v>
      </c>
      <c r="B182" s="1926"/>
      <c r="C182" s="1926"/>
      <c r="D182" s="1926"/>
      <c r="E182" s="1927"/>
      <c r="F182" s="1071"/>
      <c r="G182" s="1071"/>
      <c r="H182" s="1071"/>
      <c r="I182" s="1072"/>
      <c r="J182" s="1071"/>
      <c r="K182" s="1071"/>
      <c r="L182" s="1071"/>
      <c r="M182" s="1072"/>
      <c r="N182" s="1071"/>
      <c r="O182" s="1071"/>
      <c r="P182" s="1071"/>
      <c r="Q182" s="1072"/>
      <c r="R182" s="1071"/>
      <c r="S182" s="1071"/>
      <c r="T182" s="1071"/>
      <c r="U182" s="1072"/>
      <c r="V182" s="1071"/>
      <c r="W182" s="1928"/>
      <c r="X182" s="1073"/>
      <c r="Y182" s="1072"/>
      <c r="Z182" s="1929"/>
      <c r="AA182" s="1928"/>
      <c r="AB182" s="1073"/>
      <c r="AC182" s="1074"/>
      <c r="AD182" s="1073"/>
      <c r="AE182" s="1073"/>
      <c r="AF182" s="1073"/>
      <c r="AG182" s="1074"/>
      <c r="AH182" s="1935">
        <f>_xll.VAData("INTU",AH$22,"Revenue - Consumer","consensus.vaactuals","CD","IMPL","Current","","","USD")</f>
        <v>196</v>
      </c>
      <c r="AI182" s="1932">
        <f>_xll.VAData("INTU",AI$22,"Revenue - Consumer","consensus.vaactuals","CD","IMPL","Current","","","USD")</f>
        <v>502</v>
      </c>
      <c r="AJ182" s="1933">
        <f>_xll.VAData("INTU",AJ$22,"Revenue - Consumer","consensus.vaactuals","CD","IMPL","Current","","","USD")</f>
        <v>3684</v>
      </c>
      <c r="AK182" s="1934">
        <f>_xll.VAData("INTU",AK$22,"Revenue - Consumer","consensus.vaactuals","CD","IMPL","Current","","","USD")</f>
        <v>126</v>
      </c>
      <c r="AL182" s="1933">
        <f>_xll.VAData("INTU",AL$22,"Revenue - Consumer","consensus.vaactuals","CD","IMPL","Current","","","USD")</f>
        <v>187</v>
      </c>
      <c r="AM182" s="1933">
        <f>_xll.VAData("INTU",AM$22,"Revenue - Consumer","consensus.vaactuals","CD","IMPL","Current","","","USD")</f>
        <v>520</v>
      </c>
      <c r="AN182" s="1933">
        <f>_xll.VAData("INTU",AN$22,"Revenue - Consumer","consensus.vaactuals","CD","IMPL","Current","","","USD")</f>
        <v>4078</v>
      </c>
      <c r="AO182" s="1934">
        <f>_xll.VAData("INTU",AO$22,"Revenue - Consumer","consensus.vaactuals","CD","IMPL","Current","","","USD")</f>
        <v>148</v>
      </c>
      <c r="AP182" s="1933">
        <f>_xll.VAData("INTU",AP$22,"Revenue - Consumer","consensus.vaactuals","CD","IMPL","Current","","","USD")</f>
        <v>198</v>
      </c>
      <c r="AQ182" s="1933">
        <f>_xll.VAData("INTU",AQ$22,"Revenue - Consumer","consensus.vaactuals","CD","IMPL","Current","","","USD")</f>
        <v>520</v>
      </c>
      <c r="AR182" s="1933">
        <f>_xll.VAData("INTU",AR$22,"Revenue - Consumer","consensus.vaactuals","CD","IMPL","Current","","","USD")</f>
        <v>4412.5355083873947</v>
      </c>
      <c r="AS182" s="1934">
        <f>_xll.VAData("INTU",AS$22,"Revenue - Consumer","consensus.vaactuals","CD","IMPL","Current","","","USD")</f>
        <v>154.97689600058661</v>
      </c>
      <c r="AT182" s="1933">
        <f>_xll.VAData("INTU",AT$22,"Revenue - Consumer","consensus.vaactuals","CD","IMPL","Current","","","USD")</f>
        <v>224.64135385101909</v>
      </c>
      <c r="AU182" s="1933">
        <f>_xll.VAData("INTU",AU$22,"Revenue - Consumer","consensus.vaactuals","CD","IMPL","Current","","","USD")</f>
        <v>647.64022381180519</v>
      </c>
      <c r="AV182" s="1933">
        <f>_xll.VAData("INTU",AV$22,"Revenue - Consumer","consensus.vaactuals","CD","IMPL","Current","","","USD")</f>
        <v>4759.3076951110361</v>
      </c>
      <c r="AW182" s="1934">
        <f>_xll.VAData("INTU",AW$22,"Revenue - Consumer","consensus.vaactuals","CD","IMPL","Current","","","USD")</f>
        <v>164.31179883343481</v>
      </c>
      <c r="AX182" s="1933">
        <f>_xll.VAData("INTU",AX$22,"Revenue - Consumer","consensus.vaactuals","CD","IMPL","Current","","","USD")</f>
        <v>252.3678451903686</v>
      </c>
      <c r="AY182" s="1933">
        <f>_xll.VAData("INTU",AY$22,"Revenue - Consumer","consensus.vaactuals","CD","IMPL","Current","","","USD")</f>
        <v>697.20149281532645</v>
      </c>
      <c r="AZ182" s="1933">
        <f>_xll.VAData("INTU",AZ$22,"Revenue - Consumer","consensus.vaactuals","CD","IMPL","Current","","","USD")</f>
        <v>5105.5776867475024</v>
      </c>
      <c r="BA182" s="1934">
        <f>_xll.VAData("INTU",BA$22,"Revenue - Consumer","consensus.vaactuals","CD","IMPL","Current","","","USD")</f>
        <v>189.35679008348617</v>
      </c>
      <c r="BB182" s="1949"/>
      <c r="BC182" s="1930"/>
      <c r="BD182" s="1130"/>
      <c r="BE182" s="1130"/>
      <c r="BF182" s="1130"/>
      <c r="BG182" s="1130"/>
      <c r="BH182" s="1130"/>
      <c r="BI182" s="1130"/>
      <c r="BJ182" s="1130"/>
      <c r="BK182" s="1130"/>
      <c r="BL182" s="1993">
        <f>SUM(AH182:AK182)</f>
        <v>4508</v>
      </c>
      <c r="BM182" s="1993">
        <f>SUM(AL182:AO182)</f>
        <v>4933</v>
      </c>
      <c r="BN182" s="1994">
        <f>SUM(AP182:AS182)</f>
        <v>5285.5124043879814</v>
      </c>
      <c r="BO182" s="1994">
        <f>SUM(AT182:AW182)</f>
        <v>5795.9010716072953</v>
      </c>
      <c r="BP182" s="1994">
        <f>SUM(AX182:BA182)</f>
        <v>6244.5038148366839</v>
      </c>
      <c r="BR182" s="1406"/>
      <c r="BS182" s="1431"/>
      <c r="BT182" s="1432"/>
      <c r="BU182" s="1263"/>
    </row>
    <row r="183" spans="1:73" s="1014" customFormat="1" ht="12.75" hidden="1" customHeight="1" outlineLevel="1">
      <c r="A183" s="1951" t="s">
        <v>507</v>
      </c>
      <c r="B183" s="1939"/>
      <c r="C183" s="1940"/>
      <c r="D183" s="1940"/>
      <c r="E183" s="1941"/>
      <c r="F183" s="1939"/>
      <c r="G183" s="1940"/>
      <c r="H183" s="1940"/>
      <c r="I183" s="1941"/>
      <c r="J183" s="1939"/>
      <c r="K183" s="1940"/>
      <c r="L183" s="1940"/>
      <c r="M183" s="1941"/>
      <c r="N183" s="1939"/>
      <c r="O183" s="1940"/>
      <c r="P183" s="1940"/>
      <c r="Q183" s="1941"/>
      <c r="R183" s="1942"/>
      <c r="S183" s="1942"/>
      <c r="T183" s="1942"/>
      <c r="U183" s="1943"/>
      <c r="V183" s="1942"/>
      <c r="W183" s="1942"/>
      <c r="X183" s="1942"/>
      <c r="Y183" s="1943"/>
      <c r="Z183" s="1944"/>
      <c r="AA183" s="1942"/>
      <c r="AB183" s="1942"/>
      <c r="AC183" s="1943"/>
      <c r="AD183" s="1944"/>
      <c r="AE183" s="1942"/>
      <c r="AF183" s="1942"/>
      <c r="AG183" s="1943"/>
      <c r="AH183" s="1942"/>
      <c r="AI183" s="1942"/>
      <c r="AJ183" s="1942"/>
      <c r="AK183" s="1943"/>
      <c r="AL183" s="1942">
        <f>IF(ISERROR(AL182/AH182-1),"NA",AL182/AH182-1)</f>
        <v>-4.5918367346938771E-2</v>
      </c>
      <c r="AM183" s="1942">
        <f t="shared" ref="AM183" si="1685">IF(ISERROR(AM182/AI182-1),"NA",AM182/AI182-1)</f>
        <v>3.5856573705179251E-2</v>
      </c>
      <c r="AN183" s="1942">
        <f t="shared" ref="AN183" si="1686">IF(ISERROR(AN182/AJ182-1),"NA",AN182/AJ182-1)</f>
        <v>0.10694896851248648</v>
      </c>
      <c r="AO183" s="1943">
        <f t="shared" ref="AO183" si="1687">IF(ISERROR(AO182/AK182-1),"NA",AO182/AK182-1)</f>
        <v>0.17460317460317465</v>
      </c>
      <c r="AP183" s="1942">
        <f>IF(ISERROR(AP182/AL182-1),"NA",AP182/AL182-1)</f>
        <v>5.8823529411764719E-2</v>
      </c>
      <c r="AQ183" s="1942">
        <f t="shared" ref="AQ183" si="1688">IF(ISERROR(AQ182/AM182-1),"NA",AQ182/AM182-1)</f>
        <v>0</v>
      </c>
      <c r="AR183" s="1942">
        <f t="shared" ref="AR183" si="1689">IF(ISERROR(AR182/AN182-1),"NA",AR182/AN182-1)</f>
        <v>8.2034210001813213E-2</v>
      </c>
      <c r="AS183" s="1943">
        <f t="shared" ref="AS183" si="1690">IF(ISERROR(AS182/AO182-1),"NA",AS182/AO182-1)</f>
        <v>4.7141189193152799E-2</v>
      </c>
      <c r="AT183" s="1942">
        <f t="shared" ref="AT183" si="1691">IF(ISERROR(AT182/AP182-1),"NA",AT182/AP182-1)</f>
        <v>0.13455229217686404</v>
      </c>
      <c r="AU183" s="1942">
        <f t="shared" ref="AU183" si="1692">IF(ISERROR(AU182/AQ182-1),"NA",AU182/AQ182-1)</f>
        <v>0.24546196886885618</v>
      </c>
      <c r="AV183" s="1942">
        <f t="shared" ref="AV183" si="1693">IF(ISERROR(AV182/AR182-1),"NA",AV182/AR182-1)</f>
        <v>7.8587965142601801E-2</v>
      </c>
      <c r="AW183" s="1943">
        <f t="shared" ref="AW183" si="1694">IF(ISERROR(AW182/AS182-1),"NA",AW182/AS182-1)</f>
        <v>6.0234157953537037E-2</v>
      </c>
      <c r="AX183" s="1942">
        <f t="shared" ref="AX183" si="1695">IF(ISERROR(AX182/AT182-1),"NA",AX182/AT182-1)</f>
        <v>0.12342558867294562</v>
      </c>
      <c r="AY183" s="1942">
        <f t="shared" ref="AY183" si="1696">IF(ISERROR(AY182/AU182-1),"NA",AY182/AU182-1)</f>
        <v>7.6525927793396287E-2</v>
      </c>
      <c r="AZ183" s="1942">
        <f t="shared" ref="AZ183" si="1697">IF(ISERROR(AZ182/AV182-1),"NA",AZ182/AV182-1)</f>
        <v>7.2756378410282263E-2</v>
      </c>
      <c r="BA183" s="1943">
        <f t="shared" ref="BA183" si="1698">IF(ISERROR(BA182/AW182-1),"NA",BA182/AW182-1)</f>
        <v>0.15242357169639309</v>
      </c>
      <c r="BB183" s="1945"/>
      <c r="BC183" s="1946"/>
      <c r="BD183" s="1947" t="str">
        <f>IF(ISERROR(BD182/BB182-1),"NA",BD182/BB182-1)</f>
        <v>NA</v>
      </c>
      <c r="BE183" s="1947" t="str">
        <f t="shared" ref="BE183:BJ183" si="1699">IF(ISERROR(BE182/BD182-1),"NA",BE182/BD182-1)</f>
        <v>NA</v>
      </c>
      <c r="BF183" s="1947" t="str">
        <f t="shared" si="1699"/>
        <v>NA</v>
      </c>
      <c r="BG183" s="1947" t="str">
        <f t="shared" si="1699"/>
        <v>NA</v>
      </c>
      <c r="BH183" s="1947" t="str">
        <f t="shared" si="1699"/>
        <v>NA</v>
      </c>
      <c r="BI183" s="1947" t="str">
        <f t="shared" si="1699"/>
        <v>NA</v>
      </c>
      <c r="BJ183" s="1947" t="str">
        <f t="shared" si="1699"/>
        <v>NA</v>
      </c>
      <c r="BK183" s="1947"/>
      <c r="BL183" s="1947"/>
      <c r="BM183" s="1947">
        <f>IF(ISERROR(BM182/BL182-1),"NA",BM182/BL182-1)</f>
        <v>9.4276841171251125E-2</v>
      </c>
      <c r="BN183" s="1948">
        <f>IF(ISERROR(BN182/BM182-1),"NA",BN182/BM182-1)</f>
        <v>7.1460045487123702E-2</v>
      </c>
      <c r="BO183" s="1948">
        <f>IF(ISERROR(BO182/BN182-1),"NA",BO182/BN182-1)</f>
        <v>9.6563706254022552E-2</v>
      </c>
      <c r="BP183" s="1948">
        <f>IF(ISERROR(BP182/BO182-1),"NA",BP182/BO182-1)</f>
        <v>7.7400000049514972E-2</v>
      </c>
      <c r="BR183" s="1425"/>
      <c r="BS183" s="1425"/>
      <c r="BT183" s="1425"/>
      <c r="BU183" s="1263"/>
    </row>
    <row r="184" spans="1:73" s="1014" customFormat="1" ht="12" hidden="1" customHeight="1" outlineLevel="2">
      <c r="A184" s="1695"/>
      <c r="B184" s="1008"/>
      <c r="C184" s="1008"/>
      <c r="D184" s="1008"/>
      <c r="E184" s="1009"/>
      <c r="F184" s="1008"/>
      <c r="G184" s="1008"/>
      <c r="H184" s="1008"/>
      <c r="I184" s="1009"/>
      <c r="J184" s="1010"/>
      <c r="K184" s="1008"/>
      <c r="L184" s="1010"/>
      <c r="M184" s="1009"/>
      <c r="N184" s="1008"/>
      <c r="O184" s="1008"/>
      <c r="P184" s="1008"/>
      <c r="Q184" s="1009"/>
      <c r="R184" s="984"/>
      <c r="S184" s="984"/>
      <c r="T184" s="984"/>
      <c r="U184" s="985"/>
      <c r="V184" s="984"/>
      <c r="W184" s="984"/>
      <c r="X184" s="984"/>
      <c r="Y184" s="985"/>
      <c r="Z184" s="1270"/>
      <c r="AA184" s="1015"/>
      <c r="AB184" s="1015"/>
      <c r="AC184" s="1016"/>
      <c r="AD184" s="1015"/>
      <c r="AE184" s="1015"/>
      <c r="AF184" s="1015"/>
      <c r="AG184" s="1016"/>
      <c r="AH184" s="1015"/>
      <c r="AI184" s="1015"/>
      <c r="AJ184" s="1015"/>
      <c r="AK184" s="1016"/>
      <c r="AL184" s="1015"/>
      <c r="AM184" s="1015"/>
      <c r="AN184" s="1015"/>
      <c r="AO184" s="1016"/>
      <c r="AP184" s="1015"/>
      <c r="AQ184" s="1015"/>
      <c r="AR184" s="1015"/>
      <c r="AS184" s="1016"/>
      <c r="AT184" s="1015"/>
      <c r="AU184" s="1015"/>
      <c r="AV184" s="1015"/>
      <c r="AW184" s="1016"/>
      <c r="AX184" s="1015"/>
      <c r="AY184" s="1015"/>
      <c r="AZ184" s="1015"/>
      <c r="BA184" s="1016"/>
      <c r="BB184" s="1013"/>
      <c r="BC184" s="846"/>
      <c r="BD184" s="1011"/>
      <c r="BE184" s="1011"/>
      <c r="BF184" s="1017"/>
      <c r="BG184" s="1017"/>
      <c r="BH184" s="1017"/>
      <c r="BI184" s="1017"/>
      <c r="BJ184" s="1017"/>
      <c r="BK184" s="1017"/>
      <c r="BL184" s="1062"/>
      <c r="BM184" s="1062"/>
      <c r="BN184" s="1368"/>
      <c r="BO184" s="1368"/>
      <c r="BP184" s="1368"/>
      <c r="BR184" s="1425"/>
      <c r="BS184" s="1425"/>
      <c r="BT184" s="1425"/>
      <c r="BU184" s="1263"/>
    </row>
    <row r="185" spans="1:73" s="492" customFormat="1" ht="12" hidden="1" customHeight="1" outlineLevel="2">
      <c r="A185" s="2008" t="s">
        <v>66</v>
      </c>
      <c r="B185" s="1058"/>
      <c r="C185" s="1058"/>
      <c r="D185" s="1058"/>
      <c r="E185" s="1059"/>
      <c r="F185" s="1058">
        <v>11</v>
      </c>
      <c r="G185" s="1058">
        <v>12</v>
      </c>
      <c r="H185" s="1058">
        <v>192</v>
      </c>
      <c r="I185" s="1059">
        <v>-8</v>
      </c>
      <c r="J185" s="1058">
        <v>5</v>
      </c>
      <c r="K185" s="1058">
        <v>100</v>
      </c>
      <c r="L185" s="1058">
        <v>100</v>
      </c>
      <c r="M185" s="1059">
        <v>5</v>
      </c>
      <c r="N185" s="1058">
        <v>6</v>
      </c>
      <c r="O185" s="1058">
        <v>98</v>
      </c>
      <c r="P185" s="1058">
        <v>94</v>
      </c>
      <c r="Q185" s="1059">
        <v>3</v>
      </c>
      <c r="R185" s="1058">
        <v>6</v>
      </c>
      <c r="S185" s="1058">
        <v>90</v>
      </c>
      <c r="T185" s="1058">
        <v>83</v>
      </c>
      <c r="U185" s="1059">
        <v>24</v>
      </c>
      <c r="V185" s="1058">
        <v>7</v>
      </c>
      <c r="W185" s="1206">
        <v>66</v>
      </c>
      <c r="X185" s="1060">
        <v>110</v>
      </c>
      <c r="Y185" s="1061">
        <v>27</v>
      </c>
      <c r="Z185" s="1272">
        <v>7</v>
      </c>
      <c r="AA185" s="1060">
        <v>110.16000000000001</v>
      </c>
      <c r="AB185" s="1060">
        <f t="shared" ref="AB185:AO185" si="1700">+AB178*AB189</f>
        <v>147.14668856048166</v>
      </c>
      <c r="AC185" s="1061">
        <f t="shared" si="1700"/>
        <v>4.901408450704225</v>
      </c>
      <c r="AD185" s="1060">
        <f t="shared" si="1700"/>
        <v>8.8235294117647065</v>
      </c>
      <c r="AE185" s="1060">
        <f t="shared" si="1700"/>
        <v>93.06613226452906</v>
      </c>
      <c r="AF185" s="1060">
        <f t="shared" si="1700"/>
        <v>151.78051450465242</v>
      </c>
      <c r="AG185" s="1061">
        <f t="shared" si="1700"/>
        <v>4.3267605633802813</v>
      </c>
      <c r="AH185" s="1060">
        <f t="shared" si="1700"/>
        <v>11</v>
      </c>
      <c r="AI185" s="1060">
        <f t="shared" si="1700"/>
        <v>91.02</v>
      </c>
      <c r="AJ185" s="1060">
        <f t="shared" si="1700"/>
        <v>165.95457033388067</v>
      </c>
      <c r="AK185" s="1061">
        <f t="shared" si="1700"/>
        <v>3.8197183098591547</v>
      </c>
      <c r="AL185" s="1060">
        <f t="shared" si="1700"/>
        <v>5.2799999999999994</v>
      </c>
      <c r="AM185" s="1060">
        <f t="shared" si="1700"/>
        <v>85.257500000000007</v>
      </c>
      <c r="AN185" s="1060">
        <f t="shared" si="1700"/>
        <v>124.2736</v>
      </c>
      <c r="AO185" s="1061">
        <f t="shared" si="1700"/>
        <v>6.4390000000000001</v>
      </c>
      <c r="AP185" s="1060">
        <f>+AP171*AP189</f>
        <v>7.92</v>
      </c>
      <c r="AQ185" s="1060">
        <f>+AQ171*AQ189</f>
        <v>99.931999999999988</v>
      </c>
      <c r="AR185" s="1060">
        <f t="shared" ref="AR185:BA185" si="1701">+AR171*AR189</f>
        <v>199.5270935960591</v>
      </c>
      <c r="AS185" s="1061">
        <f t="shared" si="1701"/>
        <v>5.1718309859154923</v>
      </c>
      <c r="AT185" s="1060">
        <f t="shared" si="1701"/>
        <v>14.705882352941176</v>
      </c>
      <c r="AU185" s="1060">
        <f t="shared" si="1701"/>
        <v>110.92184368737476</v>
      </c>
      <c r="AV185" s="1060">
        <f t="shared" si="1701"/>
        <v>212.79255610290093</v>
      </c>
      <c r="AW185" s="1061">
        <f t="shared" si="1701"/>
        <v>5.7464788732394361</v>
      </c>
      <c r="AX185" s="1060">
        <f t="shared" si="1701"/>
        <v>15.411764705882353</v>
      </c>
      <c r="AY185" s="1060">
        <f t="shared" si="1701"/>
        <v>120.30060120240482</v>
      </c>
      <c r="AZ185" s="1060">
        <f t="shared" si="1701"/>
        <v>228.783798576902</v>
      </c>
      <c r="BA185" s="1061">
        <f t="shared" si="1701"/>
        <v>6.3211267605633799</v>
      </c>
      <c r="BB185" s="1005"/>
      <c r="BC185" s="981"/>
      <c r="BD185" s="1083"/>
      <c r="BE185" s="1083">
        <f>SUM(F185:I185)</f>
        <v>207</v>
      </c>
      <c r="BF185" s="1083">
        <f>SUM(J185:M185)</f>
        <v>210</v>
      </c>
      <c r="BG185" s="1083">
        <f>SUM(N185:Q185)</f>
        <v>201</v>
      </c>
      <c r="BH185" s="1083">
        <f>SUM(R185:U185)</f>
        <v>203</v>
      </c>
      <c r="BI185" s="1083">
        <f>SUM(V185:Y185)</f>
        <v>210</v>
      </c>
      <c r="BJ185" s="1083">
        <f>SUM(Z185:AC185)</f>
        <v>269.20809701118594</v>
      </c>
      <c r="BK185" s="1083">
        <f>SUM(AD185:AG185)</f>
        <v>257.99693674432649</v>
      </c>
      <c r="BL185" s="1083">
        <f>SUM(AH185:AK185)</f>
        <v>271.79428864373978</v>
      </c>
      <c r="BM185" s="1083">
        <f>SUM(AL185:AO185)</f>
        <v>221.2501</v>
      </c>
      <c r="BN185" s="1364">
        <f>SUM(AP185:AS185)</f>
        <v>312.55092458197458</v>
      </c>
      <c r="BO185" s="1364">
        <f>SUM(AT185:AW185)</f>
        <v>344.16676101645629</v>
      </c>
      <c r="BP185" s="1364">
        <f>SUM(AX185:BA185)</f>
        <v>370.81729124575259</v>
      </c>
      <c r="BR185" s="1429"/>
      <c r="BS185" s="1429"/>
      <c r="BT185" s="1429"/>
      <c r="BU185" s="1263"/>
    </row>
    <row r="186" spans="1:73" s="1014" customFormat="1" ht="12" hidden="1" customHeight="1" outlineLevel="2">
      <c r="A186" s="1293" t="s">
        <v>181</v>
      </c>
      <c r="B186" s="987"/>
      <c r="C186" s="987"/>
      <c r="D186" s="987"/>
      <c r="E186" s="998"/>
      <c r="F186" s="999" t="str">
        <f t="shared" ref="F186:AQ186" si="1702">IF(ISERROR(F185/B185-1),"NA",F185/B185-1)</f>
        <v>NA</v>
      </c>
      <c r="G186" s="987" t="str">
        <f t="shared" si="1702"/>
        <v>NA</v>
      </c>
      <c r="H186" s="987" t="str">
        <f t="shared" si="1702"/>
        <v>NA</v>
      </c>
      <c r="I186" s="998" t="str">
        <f t="shared" si="1702"/>
        <v>NA</v>
      </c>
      <c r="J186" s="999">
        <f t="shared" si="1702"/>
        <v>-0.54545454545454541</v>
      </c>
      <c r="K186" s="987">
        <f t="shared" si="1702"/>
        <v>7.3333333333333339</v>
      </c>
      <c r="L186" s="987">
        <f t="shared" si="1702"/>
        <v>-0.47916666666666663</v>
      </c>
      <c r="M186" s="998">
        <f t="shared" si="1702"/>
        <v>-1.625</v>
      </c>
      <c r="N186" s="999">
        <f t="shared" si="1702"/>
        <v>0.19999999999999996</v>
      </c>
      <c r="O186" s="987">
        <f t="shared" si="1702"/>
        <v>-2.0000000000000018E-2</v>
      </c>
      <c r="P186" s="987">
        <f t="shared" si="1702"/>
        <v>-6.0000000000000053E-2</v>
      </c>
      <c r="Q186" s="998">
        <f t="shared" si="1702"/>
        <v>-0.4</v>
      </c>
      <c r="R186" s="984">
        <f t="shared" si="1702"/>
        <v>0</v>
      </c>
      <c r="S186" s="984">
        <f t="shared" si="1702"/>
        <v>-8.1632653061224469E-2</v>
      </c>
      <c r="T186" s="984">
        <f t="shared" si="1702"/>
        <v>-0.11702127659574468</v>
      </c>
      <c r="U186" s="985">
        <f t="shared" si="1702"/>
        <v>7</v>
      </c>
      <c r="V186" s="984">
        <f t="shared" si="1702"/>
        <v>0.16666666666666674</v>
      </c>
      <c r="W186" s="987">
        <f t="shared" si="1702"/>
        <v>-0.26666666666666672</v>
      </c>
      <c r="X186" s="984">
        <f t="shared" si="1702"/>
        <v>0.32530120481927716</v>
      </c>
      <c r="Y186" s="985">
        <f t="shared" si="1702"/>
        <v>0.125</v>
      </c>
      <c r="Z186" s="1270">
        <f t="shared" si="1702"/>
        <v>0</v>
      </c>
      <c r="AA186" s="984">
        <f t="shared" si="1702"/>
        <v>0.66909090909090918</v>
      </c>
      <c r="AB186" s="984">
        <f t="shared" si="1702"/>
        <v>0.33769716873165145</v>
      </c>
      <c r="AC186" s="985">
        <f t="shared" si="1702"/>
        <v>-0.81846635367762133</v>
      </c>
      <c r="AD186" s="984">
        <f t="shared" si="1702"/>
        <v>0.26050420168067245</v>
      </c>
      <c r="AE186" s="984">
        <f t="shared" si="1702"/>
        <v>-0.15517309128060053</v>
      </c>
      <c r="AF186" s="984">
        <f t="shared" si="1702"/>
        <v>3.14912009879591E-2</v>
      </c>
      <c r="AG186" s="985">
        <f t="shared" si="1702"/>
        <v>-0.11724137931034484</v>
      </c>
      <c r="AH186" s="984">
        <f t="shared" si="1702"/>
        <v>0.24666666666666659</v>
      </c>
      <c r="AI186" s="984">
        <f t="shared" si="1702"/>
        <v>-2.1985788113695115E-2</v>
      </c>
      <c r="AJ186" s="984">
        <f t="shared" si="1702"/>
        <v>9.3385214007782213E-2</v>
      </c>
      <c r="AK186" s="985">
        <f t="shared" si="1702"/>
        <v>-0.1171875</v>
      </c>
      <c r="AL186" s="984">
        <f t="shared" si="1702"/>
        <v>-0.52</v>
      </c>
      <c r="AM186" s="984">
        <f t="shared" si="1702"/>
        <v>-6.3310261480993058E-2</v>
      </c>
      <c r="AN186" s="984">
        <f t="shared" si="1702"/>
        <v>-0.25115891807031021</v>
      </c>
      <c r="AO186" s="985">
        <f t="shared" si="1702"/>
        <v>0.6857264011799411</v>
      </c>
      <c r="AP186" s="984">
        <f t="shared" si="1702"/>
        <v>0.50000000000000022</v>
      </c>
      <c r="AQ186" s="984">
        <f t="shared" si="1702"/>
        <v>0.17211975486027598</v>
      </c>
      <c r="AR186" s="984">
        <f t="shared" ref="AR186" si="1703">IF(ISERROR(AR185/AN185-1),"NA",AR185/AN185-1)</f>
        <v>0.60554690293078428</v>
      </c>
      <c r="AS186" s="985">
        <f t="shared" ref="AS186" si="1704">IF(ISERROR(AS185/AO185-1),"NA",AS185/AO185-1)</f>
        <v>-0.19679593323256839</v>
      </c>
      <c r="AT186" s="984">
        <f t="shared" ref="AT186" si="1705">IF(ISERROR(AT185/AP185-1),"NA",AT185/AP185-1)</f>
        <v>0.85680332739156251</v>
      </c>
      <c r="AU186" s="984">
        <f t="shared" ref="AU186" si="1706">IF(ISERROR(AU185/AQ185-1),"NA",AU185/AQ185-1)</f>
        <v>0.10997321866243825</v>
      </c>
      <c r="AV186" s="984">
        <f t="shared" ref="AV186" si="1707">IF(ISERROR(AV185/AR185-1),"NA",AV185/AR185-1)</f>
        <v>6.6484517304189472E-2</v>
      </c>
      <c r="AW186" s="985">
        <f t="shared" ref="AW186" si="1708">IF(ISERROR(AW185/AS185-1),"NA",AW185/AS185-1)</f>
        <v>0.11111111111111116</v>
      </c>
      <c r="AX186" s="984">
        <f t="shared" ref="AX186" si="1709">IF(ISERROR(AX185/AT185-1),"NA",AX185/AT185-1)</f>
        <v>4.8000000000000043E-2</v>
      </c>
      <c r="AY186" s="984">
        <f t="shared" ref="AY186" si="1710">IF(ISERROR(AY185/AU185-1),"NA",AY185/AU185-1)</f>
        <v>8.4552845528455212E-2</v>
      </c>
      <c r="AZ186" s="984">
        <f t="shared" ref="AZ186" si="1711">IF(ISERROR(AZ185/AV185-1),"NA",AZ185/AV185-1)</f>
        <v>7.5149444918872543E-2</v>
      </c>
      <c r="BA186" s="985">
        <f t="shared" ref="BA186" si="1712">IF(ISERROR(BA185/AW185-1),"NA",BA185/AW185-1)</f>
        <v>0.10000000000000009</v>
      </c>
      <c r="BB186" s="1013"/>
      <c r="BC186" s="841"/>
      <c r="BD186" s="842"/>
      <c r="BE186" s="842" t="str">
        <f t="shared" ref="BE186" si="1713">IF(ISERROR(BE185/BD185-1),"NA",BE185/BD185-1)</f>
        <v>NA</v>
      </c>
      <c r="BF186" s="842">
        <f t="shared" ref="BF186" si="1714">IF(ISERROR(BF185/BE185-1),"NA",BF185/BE185-1)</f>
        <v>1.449275362318847E-2</v>
      </c>
      <c r="BG186" s="842">
        <f t="shared" ref="BG186" si="1715">IF(ISERROR(BG185/BF185-1),"NA",BG185/BF185-1)</f>
        <v>-4.2857142857142816E-2</v>
      </c>
      <c r="BH186" s="842">
        <f t="shared" ref="BH186" si="1716">IF(ISERROR(BH185/BG185-1),"NA",BH185/BG185-1)</f>
        <v>9.9502487562188602E-3</v>
      </c>
      <c r="BI186" s="842">
        <f t="shared" ref="BI186" si="1717">IF(ISERROR(BI185/BH185-1),"NA",BI185/BH185-1)</f>
        <v>3.4482758620689724E-2</v>
      </c>
      <c r="BJ186" s="842">
        <f t="shared" ref="BJ186" si="1718">IF(ISERROR(BJ185/BI185-1),"NA",BJ185/BI185-1)</f>
        <v>0.28194331910088533</v>
      </c>
      <c r="BK186" s="842">
        <f t="shared" ref="BK186" si="1719">IF(ISERROR(BK185/BJ185-1),"NA",BK185/BJ185-1)</f>
        <v>-4.1644959387657665E-2</v>
      </c>
      <c r="BL186" s="842">
        <f t="shared" ref="BL186:BP186" si="1720">IF(ISERROR(BL185/BK185-1),"NA",BL185/BK185-1)</f>
        <v>5.3478743094869996E-2</v>
      </c>
      <c r="BM186" s="842">
        <f t="shared" si="1720"/>
        <v>-0.18596486664954048</v>
      </c>
      <c r="BN186" s="1187">
        <f t="shared" si="1720"/>
        <v>0.4126589076433167</v>
      </c>
      <c r="BO186" s="1187">
        <f t="shared" si="1720"/>
        <v>0.10115419263842118</v>
      </c>
      <c r="BP186" s="1187">
        <f t="shared" si="1720"/>
        <v>7.7434933433394582E-2</v>
      </c>
      <c r="BR186" s="1425"/>
      <c r="BS186" s="1425"/>
      <c r="BT186" s="1425"/>
      <c r="BU186" s="1263"/>
    </row>
    <row r="187" spans="1:73" s="1014" customFormat="1" ht="12" hidden="1" customHeight="1" outlineLevel="2">
      <c r="A187" s="1293" t="s">
        <v>291</v>
      </c>
      <c r="B187" s="987"/>
      <c r="C187" s="987"/>
      <c r="D187" s="987"/>
      <c r="E187" s="998"/>
      <c r="F187" s="999" t="str">
        <f t="shared" ref="F187:AQ187" si="1721">IF(ISERROR(F185/E185-1),"NA",F185/E185-1)</f>
        <v>NA</v>
      </c>
      <c r="G187" s="987">
        <f t="shared" si="1721"/>
        <v>9.0909090909090828E-2</v>
      </c>
      <c r="H187" s="987">
        <f t="shared" si="1721"/>
        <v>15</v>
      </c>
      <c r="I187" s="998">
        <f t="shared" si="1721"/>
        <v>-1.0416666666666667</v>
      </c>
      <c r="J187" s="999">
        <f t="shared" si="1721"/>
        <v>-1.625</v>
      </c>
      <c r="K187" s="987">
        <f t="shared" si="1721"/>
        <v>19</v>
      </c>
      <c r="L187" s="987">
        <f t="shared" si="1721"/>
        <v>0</v>
      </c>
      <c r="M187" s="998">
        <f t="shared" si="1721"/>
        <v>-0.95</v>
      </c>
      <c r="N187" s="999">
        <f t="shared" si="1721"/>
        <v>0.19999999999999996</v>
      </c>
      <c r="O187" s="987">
        <f t="shared" si="1721"/>
        <v>15.333333333333332</v>
      </c>
      <c r="P187" s="987">
        <f t="shared" si="1721"/>
        <v>-4.081632653061229E-2</v>
      </c>
      <c r="Q187" s="998">
        <f t="shared" si="1721"/>
        <v>-0.96808510638297873</v>
      </c>
      <c r="R187" s="984">
        <f t="shared" si="1721"/>
        <v>1</v>
      </c>
      <c r="S187" s="984">
        <f t="shared" si="1721"/>
        <v>14</v>
      </c>
      <c r="T187" s="984">
        <f t="shared" si="1721"/>
        <v>-7.7777777777777724E-2</v>
      </c>
      <c r="U187" s="985">
        <f t="shared" si="1721"/>
        <v>-0.71084337349397586</v>
      </c>
      <c r="V187" s="984">
        <f t="shared" si="1721"/>
        <v>-0.70833333333333326</v>
      </c>
      <c r="W187" s="987">
        <f t="shared" si="1721"/>
        <v>8.4285714285714288</v>
      </c>
      <c r="X187" s="984">
        <f t="shared" si="1721"/>
        <v>0.66666666666666674</v>
      </c>
      <c r="Y187" s="985">
        <f t="shared" si="1721"/>
        <v>-0.75454545454545452</v>
      </c>
      <c r="Z187" s="1270">
        <f t="shared" si="1721"/>
        <v>-0.7407407407407407</v>
      </c>
      <c r="AA187" s="984">
        <f t="shared" si="1721"/>
        <v>14.737142857142858</v>
      </c>
      <c r="AB187" s="984">
        <f t="shared" si="1721"/>
        <v>0.3357542534539002</v>
      </c>
      <c r="AC187" s="985">
        <f t="shared" si="1721"/>
        <v>-0.96669032447380154</v>
      </c>
      <c r="AD187" s="984">
        <f t="shared" si="1721"/>
        <v>0.80020283975659257</v>
      </c>
      <c r="AE187" s="984">
        <f t="shared" si="1721"/>
        <v>9.5474949899799597</v>
      </c>
      <c r="AF187" s="984">
        <f t="shared" si="1721"/>
        <v>0.63088881864387503</v>
      </c>
      <c r="AG187" s="985">
        <f t="shared" si="1721"/>
        <v>-0.9714933067824878</v>
      </c>
      <c r="AH187" s="984">
        <f t="shared" si="1721"/>
        <v>1.5423177083333335</v>
      </c>
      <c r="AI187" s="984">
        <f t="shared" si="1721"/>
        <v>7.2745454545454535</v>
      </c>
      <c r="AJ187" s="984">
        <f t="shared" si="1721"/>
        <v>0.82327587710262229</v>
      </c>
      <c r="AK187" s="985">
        <f t="shared" si="1721"/>
        <v>-0.9769833497072461</v>
      </c>
      <c r="AL187" s="984">
        <f t="shared" si="1721"/>
        <v>0.3823008849557521</v>
      </c>
      <c r="AM187" s="984">
        <f t="shared" si="1721"/>
        <v>15.147253787878793</v>
      </c>
      <c r="AN187" s="984">
        <f t="shared" si="1721"/>
        <v>0.45762660176524039</v>
      </c>
      <c r="AO187" s="985">
        <f t="shared" si="1721"/>
        <v>-0.94818690373498471</v>
      </c>
      <c r="AP187" s="984">
        <f t="shared" si="1721"/>
        <v>0.23000465910855716</v>
      </c>
      <c r="AQ187" s="984">
        <f t="shared" si="1721"/>
        <v>11.617676767676766</v>
      </c>
      <c r="AR187" s="984">
        <f t="shared" ref="AR187" si="1722">IF(ISERROR(AR185/AQ185-1),"NA",AR185/AQ185-1)</f>
        <v>0.99662864343812929</v>
      </c>
      <c r="AS187" s="985">
        <f t="shared" ref="AS187" si="1723">IF(ISERROR(AS185/AR185-1),"NA",AS185/AR185-1)</f>
        <v>-0.97407955534908042</v>
      </c>
      <c r="AT187" s="984">
        <f t="shared" ref="AT187" si="1724">IF(ISERROR(AT185/AS185-1),"NA",AT185/AS185-1)</f>
        <v>1.8434576444957069</v>
      </c>
      <c r="AU187" s="984">
        <f t="shared" ref="AU187" si="1725">IF(ISERROR(AU185/AT185-1),"NA",AU185/AT185-1)</f>
        <v>6.5426853707414843</v>
      </c>
      <c r="AV187" s="984">
        <f t="shared" ref="AV187" si="1726">IF(ISERROR(AV185/AU185-1),"NA",AV185/AU185-1)</f>
        <v>0.91840082195749861</v>
      </c>
      <c r="AW187" s="985">
        <f t="shared" ref="AW187" si="1727">IF(ISERROR(AW185/AV185-1),"NA",AW185/AV185-1)</f>
        <v>-0.97299492529963971</v>
      </c>
      <c r="AX187" s="984">
        <f t="shared" ref="AX187" si="1728">IF(ISERROR(AX185/AW185-1),"NA",AX185/AW185-1)</f>
        <v>1.6819492502883509</v>
      </c>
      <c r="AY187" s="984">
        <f t="shared" ref="AY187" si="1729">IF(ISERROR(AY185/AX185-1),"NA",AY185/AX185-1)</f>
        <v>6.8057642001560374</v>
      </c>
      <c r="AZ187" s="984">
        <f t="shared" ref="AZ187" si="1730">IF(ISERROR(AZ185/AY185-1),"NA",AZ185/AY185-1)</f>
        <v>0.90176770764407954</v>
      </c>
      <c r="BA187" s="985">
        <f t="shared" ref="BA187" si="1731">IF(ISERROR(BA185/AZ185-1),"NA",BA185/AZ185-1)</f>
        <v>-0.97237074128551704</v>
      </c>
      <c r="BB187" s="1013"/>
      <c r="BC187" s="846"/>
      <c r="BD187" s="989"/>
      <c r="BE187" s="989" t="s">
        <v>366</v>
      </c>
      <c r="BF187" s="989" t="s">
        <v>366</v>
      </c>
      <c r="BG187" s="841" t="s">
        <v>366</v>
      </c>
      <c r="BH187" s="841" t="s">
        <v>366</v>
      </c>
      <c r="BI187" s="989" t="s">
        <v>366</v>
      </c>
      <c r="BJ187" s="989" t="s">
        <v>366</v>
      </c>
      <c r="BK187" s="989" t="s">
        <v>366</v>
      </c>
      <c r="BL187" s="989" t="s">
        <v>366</v>
      </c>
      <c r="BM187" s="1046" t="s">
        <v>366</v>
      </c>
      <c r="BN187" s="1188" t="s">
        <v>366</v>
      </c>
      <c r="BO187" s="1188" t="s">
        <v>366</v>
      </c>
      <c r="BP187" s="1188" t="s">
        <v>366</v>
      </c>
      <c r="BR187" s="1425"/>
      <c r="BS187" s="1425"/>
      <c r="BT187" s="1425"/>
      <c r="BU187" s="1263"/>
    </row>
    <row r="188" spans="1:73" s="1014" customFormat="1" ht="12" hidden="1" customHeight="1" outlineLevel="2">
      <c r="A188" s="1293" t="s">
        <v>153</v>
      </c>
      <c r="B188" s="1008"/>
      <c r="C188" s="1008"/>
      <c r="D188" s="1008"/>
      <c r="E188" s="1009"/>
      <c r="F188" s="1008">
        <f t="shared" ref="F188:BA188" si="1732">+F185/F$6</f>
        <v>1.4138817480719794E-2</v>
      </c>
      <c r="G188" s="1008">
        <f t="shared" si="1732"/>
        <v>1.1811023622047244E-2</v>
      </c>
      <c r="H188" s="1008">
        <f t="shared" si="1732"/>
        <v>7.5560802833530102E-2</v>
      </c>
      <c r="I188" s="1009">
        <f t="shared" si="1732"/>
        <v>-9.5011876484560574E-3</v>
      </c>
      <c r="J188" s="1010">
        <f t="shared" si="1732"/>
        <v>5.4945054945054949E-3</v>
      </c>
      <c r="K188" s="1008">
        <f t="shared" si="1732"/>
        <v>7.468259895444361E-2</v>
      </c>
      <c r="L188" s="1010">
        <f t="shared" si="1732"/>
        <v>3.4340659340659344E-2</v>
      </c>
      <c r="M188" s="1009">
        <f t="shared" si="1732"/>
        <v>5.7870370370370367E-3</v>
      </c>
      <c r="N188" s="1008">
        <f t="shared" si="1732"/>
        <v>5.905511811023622E-3</v>
      </c>
      <c r="O188" s="1008">
        <f t="shared" si="1732"/>
        <v>6.5246338215712379E-2</v>
      </c>
      <c r="P188" s="1008">
        <f t="shared" si="1732"/>
        <v>2.8728606356968216E-2</v>
      </c>
      <c r="Q188" s="1009">
        <f t="shared" si="1732"/>
        <v>3.0181086519114686E-3</v>
      </c>
      <c r="R188" s="984">
        <f t="shared" si="1732"/>
        <v>5.1502145922746783E-3</v>
      </c>
      <c r="S188" s="984">
        <f t="shared" si="1732"/>
        <v>5.3066037735849059E-2</v>
      </c>
      <c r="T188" s="984">
        <f t="shared" si="1732"/>
        <v>2.7648234510326448E-2</v>
      </c>
      <c r="U188" s="985">
        <f t="shared" si="1732"/>
        <v>1.3215859030837005E-2</v>
      </c>
      <c r="V188" s="984">
        <f t="shared" si="1732"/>
        <v>5.2910052910052907E-3</v>
      </c>
      <c r="W188" s="987">
        <f t="shared" si="1732"/>
        <v>4.1878172588832488E-2</v>
      </c>
      <c r="X188" s="984">
        <f t="shared" si="1732"/>
        <v>2.6359932901988976E-2</v>
      </c>
      <c r="Y188" s="985">
        <f t="shared" si="1732"/>
        <v>1.0542756735650137E-2</v>
      </c>
      <c r="Z188" s="1270">
        <f t="shared" si="1732"/>
        <v>3.4877927254608871E-3</v>
      </c>
      <c r="AA188" s="984">
        <f t="shared" si="1732"/>
        <v>4.1212121212121214E-2</v>
      </c>
      <c r="AB188" s="984">
        <f t="shared" si="1732"/>
        <v>2.6126897826790074E-2</v>
      </c>
      <c r="AC188" s="985">
        <f t="shared" si="1732"/>
        <v>2.0304094659089581E-3</v>
      </c>
      <c r="AD188" s="984">
        <f t="shared" si="1732"/>
        <v>3.3975854492740497E-3</v>
      </c>
      <c r="AE188" s="984">
        <f t="shared" si="1732"/>
        <v>3.0603792260614621E-2</v>
      </c>
      <c r="AF188" s="984">
        <f t="shared" si="1732"/>
        <v>2.5221089149992094E-2</v>
      </c>
      <c r="AG188" s="985">
        <f t="shared" si="1732"/>
        <v>1.5954131870871244E-3</v>
      </c>
      <c r="AH188" s="984">
        <f t="shared" si="1732"/>
        <v>3.6937541974479517E-3</v>
      </c>
      <c r="AI188" s="984">
        <f t="shared" si="1732"/>
        <v>2.6881275841701122E-2</v>
      </c>
      <c r="AJ188" s="984">
        <f t="shared" si="1732"/>
        <v>2.4633304190868441E-2</v>
      </c>
      <c r="AK188" s="985">
        <f t="shared" si="1732"/>
        <v>1.1996602731969704E-3</v>
      </c>
      <c r="AL188" s="984">
        <f t="shared" si="1732"/>
        <v>1.6082851050868107E-3</v>
      </c>
      <c r="AM188" s="984">
        <f t="shared" si="1732"/>
        <v>2.151337370678779E-2</v>
      </c>
      <c r="AN188" s="984">
        <f t="shared" si="1732"/>
        <v>1.6027031209698221E-2</v>
      </c>
      <c r="AO188" s="985">
        <f t="shared" si="1732"/>
        <v>1.6807622030801357E-3</v>
      </c>
      <c r="AP188" s="984">
        <f t="shared" ref="AP188:AQ188" si="1733">+AP185/AP$6</f>
        <v>2.0386100386100385E-3</v>
      </c>
      <c r="AQ188" s="984">
        <f t="shared" si="1733"/>
        <v>2.1486132014620508E-2</v>
      </c>
      <c r="AR188" s="984">
        <f t="shared" si="1732"/>
        <v>2.3505383544702947E-2</v>
      </c>
      <c r="AS188" s="985">
        <f t="shared" si="1732"/>
        <v>1.2161495418809884E-3</v>
      </c>
      <c r="AT188" s="984">
        <f t="shared" si="1732"/>
        <v>3.3291563518305697E-3</v>
      </c>
      <c r="AU188" s="984">
        <f t="shared" si="1732"/>
        <v>2.0923536866994514E-2</v>
      </c>
      <c r="AV188" s="984">
        <f t="shared" si="1732"/>
        <v>2.28728831730328E-2</v>
      </c>
      <c r="AW188" s="985">
        <f t="shared" si="1732"/>
        <v>1.2109388040619895E-3</v>
      </c>
      <c r="AX188" s="984">
        <f t="shared" si="1732"/>
        <v>3.0957069868195993E-3</v>
      </c>
      <c r="AY188" s="984">
        <f t="shared" si="1732"/>
        <v>1.9973388051849832E-2</v>
      </c>
      <c r="AZ188" s="984">
        <f t="shared" si="1732"/>
        <v>2.2347919959627871E-2</v>
      </c>
      <c r="BA188" s="985">
        <f t="shared" si="1732"/>
        <v>1.1853137190201222E-3</v>
      </c>
      <c r="BB188" s="1013"/>
      <c r="BC188" s="846"/>
      <c r="BD188" s="1011"/>
      <c r="BE188" s="1011">
        <f t="shared" ref="BE188:BP188" si="1734">+BE185/BE$6</f>
        <v>3.9984547034962334E-2</v>
      </c>
      <c r="BF188" s="1017">
        <f t="shared" si="1734"/>
        <v>3.4854771784232366E-2</v>
      </c>
      <c r="BG188" s="1017">
        <f t="shared" si="1734"/>
        <v>2.9628537735849055E-2</v>
      </c>
      <c r="BH188" s="1017">
        <f t="shared" si="1734"/>
        <v>2.6435733819507749E-2</v>
      </c>
      <c r="BI188" s="1017">
        <f t="shared" si="1734"/>
        <v>2.1800062285892246E-2</v>
      </c>
      <c r="BJ188" s="1017">
        <f t="shared" si="1734"/>
        <v>2.1154180183182929E-2</v>
      </c>
      <c r="BK188" s="1017">
        <f t="shared" si="1734"/>
        <v>1.7956356956036087E-2</v>
      </c>
      <c r="BL188" s="1017">
        <f t="shared" si="1734"/>
        <v>1.6689854998080428E-2</v>
      </c>
      <c r="BM188" s="1062">
        <f t="shared" si="1734"/>
        <v>1.1749248579470023E-2</v>
      </c>
      <c r="BN188" s="1368">
        <f t="shared" si="1734"/>
        <v>1.4689478000191266E-2</v>
      </c>
      <c r="BO188" s="1368">
        <f t="shared" si="1734"/>
        <v>1.4480661424666353E-2</v>
      </c>
      <c r="BP188" s="1368">
        <f t="shared" si="1734"/>
        <v>1.395534042325559E-2</v>
      </c>
      <c r="BR188" s="1425"/>
      <c r="BS188" s="1425"/>
      <c r="BT188" s="1425"/>
      <c r="BU188" s="1263"/>
    </row>
    <row r="189" spans="1:73" s="1014" customFormat="1" ht="12" hidden="1" customHeight="1" outlineLevel="2">
      <c r="A189" s="1293" t="s">
        <v>371</v>
      </c>
      <c r="B189" s="1008"/>
      <c r="C189" s="1008"/>
      <c r="D189" s="1008"/>
      <c r="E189" s="1009"/>
      <c r="F189" s="1008">
        <f>+F185/F178</f>
        <v>0.15068493150684931</v>
      </c>
      <c r="G189" s="1008">
        <f t="shared" ref="G189:V189" si="1735">+G185/G178</f>
        <v>4.0133779264214048E-2</v>
      </c>
      <c r="H189" s="1008">
        <f t="shared" si="1735"/>
        <v>0.10853589598643301</v>
      </c>
      <c r="I189" s="1009">
        <f t="shared" si="1735"/>
        <v>-0.13333333333333333</v>
      </c>
      <c r="J189" s="1010">
        <f t="shared" si="1735"/>
        <v>6.7567567567567571E-2</v>
      </c>
      <c r="K189" s="1008">
        <f t="shared" si="1735"/>
        <v>0.24038461538461539</v>
      </c>
      <c r="L189" s="1010">
        <f t="shared" si="1735"/>
        <v>5.1308363263211906E-2</v>
      </c>
      <c r="M189" s="1009">
        <f t="shared" si="1735"/>
        <v>7.2463768115942032E-2</v>
      </c>
      <c r="N189" s="1008">
        <f t="shared" si="1735"/>
        <v>6.6666666666666666E-2</v>
      </c>
      <c r="O189" s="1008">
        <f t="shared" si="1735"/>
        <v>0.21258134490238612</v>
      </c>
      <c r="P189" s="1008">
        <f t="shared" si="1735"/>
        <v>4.3720930232558138E-2</v>
      </c>
      <c r="Q189" s="1009">
        <f t="shared" si="1735"/>
        <v>4.0540540540540543E-2</v>
      </c>
      <c r="R189" s="984">
        <f t="shared" si="1735"/>
        <v>0.06</v>
      </c>
      <c r="S189" s="984">
        <f t="shared" si="1735"/>
        <v>0.18036072144288579</v>
      </c>
      <c r="T189" s="984">
        <f t="shared" si="1735"/>
        <v>4.5429666119321289E-2</v>
      </c>
      <c r="U189" s="985">
        <f t="shared" si="1735"/>
        <v>3.3802816901408447E-2</v>
      </c>
      <c r="V189" s="984">
        <f t="shared" si="1735"/>
        <v>5.8823529411764705E-2</v>
      </c>
      <c r="W189" s="987">
        <f t="shared" ref="W189:X189" si="1736">+W185/W178</f>
        <v>0.44897959183673469</v>
      </c>
      <c r="X189" s="984">
        <f t="shared" si="1736"/>
        <v>4.4989775051124746E-2</v>
      </c>
      <c r="Y189" s="985">
        <f>1-Y195</f>
        <v>3.169014084507038E-2</v>
      </c>
      <c r="Z189" s="1270">
        <f>1-Z195</f>
        <v>5.8333333333333348E-2</v>
      </c>
      <c r="AA189" s="984">
        <f t="shared" ref="AA189" si="1737">+AA185/AA178</f>
        <v>0.26802919708029199</v>
      </c>
      <c r="AB189" s="1963">
        <v>4.5429666119321289E-2</v>
      </c>
      <c r="AC189" s="1964">
        <v>3.3802816901408447E-2</v>
      </c>
      <c r="AD189" s="1963">
        <v>5.8823529411764705E-2</v>
      </c>
      <c r="AE189" s="1963">
        <v>0.18036072144288579</v>
      </c>
      <c r="AF189" s="1963">
        <v>4.5429666119321289E-2</v>
      </c>
      <c r="AG189" s="1964">
        <v>3.3802816901408447E-2</v>
      </c>
      <c r="AH189" s="1963">
        <v>5.8823529411764705E-2</v>
      </c>
      <c r="AI189" s="1963">
        <v>0.185</v>
      </c>
      <c r="AJ189" s="1963">
        <v>4.5429666119321289E-2</v>
      </c>
      <c r="AK189" s="1964">
        <v>3.3802816901408447E-2</v>
      </c>
      <c r="AL189" s="1963">
        <v>0.03</v>
      </c>
      <c r="AM189" s="1963">
        <v>0.16750000000000001</v>
      </c>
      <c r="AN189" s="1963">
        <v>3.0700000000000002E-2</v>
      </c>
      <c r="AO189" s="1964">
        <v>4.7E-2</v>
      </c>
      <c r="AP189" s="1963">
        <v>0.04</v>
      </c>
      <c r="AQ189" s="1963">
        <v>0.17199999999999999</v>
      </c>
      <c r="AR189" s="1069">
        <v>4.5429666119321289E-2</v>
      </c>
      <c r="AS189" s="1070">
        <v>3.3802816901408447E-2</v>
      </c>
      <c r="AT189" s="1069">
        <v>5.8823529411764705E-2</v>
      </c>
      <c r="AU189" s="1069">
        <v>0.18036072144288579</v>
      </c>
      <c r="AV189" s="1069">
        <v>4.5429666119321289E-2</v>
      </c>
      <c r="AW189" s="1070">
        <v>3.3802816901408447E-2</v>
      </c>
      <c r="AX189" s="1069">
        <v>5.8823529411764705E-2</v>
      </c>
      <c r="AY189" s="1069">
        <v>0.18036072144288579</v>
      </c>
      <c r="AZ189" s="1069">
        <v>4.5429666119321289E-2</v>
      </c>
      <c r="BA189" s="1070">
        <v>3.3802816901408447E-2</v>
      </c>
      <c r="BB189" s="1013"/>
      <c r="BC189" s="846"/>
      <c r="BD189" s="1011"/>
      <c r="BE189" s="1011">
        <f t="shared" ref="BE189:BM189" si="1738">+BE185/BE178</f>
        <v>9.4048159927305766E-2</v>
      </c>
      <c r="BF189" s="1017">
        <f t="shared" si="1738"/>
        <v>8.3732057416267949E-2</v>
      </c>
      <c r="BG189" s="1017">
        <f t="shared" si="1738"/>
        <v>7.2432432432432428E-2</v>
      </c>
      <c r="BH189" s="1017">
        <f t="shared" si="1738"/>
        <v>6.4732142857142863E-2</v>
      </c>
      <c r="BI189" s="1017">
        <f t="shared" si="1738"/>
        <v>5.8939096267190572E-2</v>
      </c>
      <c r="BJ189" s="1017">
        <f t="shared" si="1738"/>
        <v>6.8763243170162441E-2</v>
      </c>
      <c r="BK189" s="1017">
        <f t="shared" si="1738"/>
        <v>6.2393455077225268E-2</v>
      </c>
      <c r="BL189" s="1062">
        <f t="shared" si="1738"/>
        <v>6.1146071685880717E-2</v>
      </c>
      <c r="BM189" s="1062">
        <f t="shared" si="1738"/>
        <v>4.5431232032854207E-2</v>
      </c>
      <c r="BN189" s="1368">
        <f t="shared" ref="BN189:BO189" si="1739">+BN185/BN178</f>
        <v>5.9499509724343154E-2</v>
      </c>
      <c r="BO189" s="1368">
        <f t="shared" si="1739"/>
        <v>6.1022475357527708E-2</v>
      </c>
      <c r="BP189" s="1368">
        <f t="shared" ref="BP189" si="1740">+BP185/BP178</f>
        <v>6.1140526174072972E-2</v>
      </c>
      <c r="BR189" s="1425"/>
      <c r="BS189" s="1425"/>
      <c r="BT189" s="1425"/>
      <c r="BU189" s="1263"/>
    </row>
    <row r="190" spans="1:73" s="1014" customFormat="1" ht="12" hidden="1" customHeight="1" outlineLevel="2">
      <c r="A190" s="2009"/>
      <c r="B190" s="1008"/>
      <c r="C190" s="1008"/>
      <c r="D190" s="1008"/>
      <c r="E190" s="1009"/>
      <c r="F190" s="1008"/>
      <c r="G190" s="1008"/>
      <c r="H190" s="1008"/>
      <c r="I190" s="1009"/>
      <c r="J190" s="1010"/>
      <c r="K190" s="1008"/>
      <c r="L190" s="1010"/>
      <c r="M190" s="1009"/>
      <c r="N190" s="1008"/>
      <c r="O190" s="1008"/>
      <c r="P190" s="1008"/>
      <c r="Q190" s="1009"/>
      <c r="R190" s="984"/>
      <c r="S190" s="984"/>
      <c r="T190" s="984"/>
      <c r="U190" s="985"/>
      <c r="V190" s="984"/>
      <c r="W190" s="987"/>
      <c r="X190" s="984"/>
      <c r="Y190" s="985"/>
      <c r="Z190" s="1270"/>
      <c r="AA190" s="1015"/>
      <c r="AB190" s="1015"/>
      <c r="AC190" s="1016"/>
      <c r="AD190" s="1015"/>
      <c r="AE190" s="1015"/>
      <c r="AF190" s="1015"/>
      <c r="AG190" s="1016"/>
      <c r="AH190" s="1015"/>
      <c r="AI190" s="1015"/>
      <c r="AJ190" s="1015"/>
      <c r="AK190" s="1016"/>
      <c r="AL190" s="1015"/>
      <c r="AM190" s="1015"/>
      <c r="AN190" s="1015"/>
      <c r="AO190" s="1016"/>
      <c r="AP190" s="1015"/>
      <c r="AQ190" s="1015"/>
      <c r="AR190" s="1015"/>
      <c r="AS190" s="1016"/>
      <c r="AT190" s="1015"/>
      <c r="AU190" s="1015"/>
      <c r="AV190" s="1015"/>
      <c r="AW190" s="1016"/>
      <c r="AX190" s="1015"/>
      <c r="AY190" s="1015"/>
      <c r="AZ190" s="1015"/>
      <c r="BA190" s="1016"/>
      <c r="BB190" s="1013"/>
      <c r="BC190" s="846"/>
      <c r="BD190" s="1011"/>
      <c r="BE190" s="1011"/>
      <c r="BF190" s="1017"/>
      <c r="BG190" s="1017"/>
      <c r="BH190" s="1017"/>
      <c r="BI190" s="1017"/>
      <c r="BJ190" s="1017"/>
      <c r="BK190" s="1017"/>
      <c r="BL190" s="1062"/>
      <c r="BM190" s="1062"/>
      <c r="BN190" s="1368"/>
      <c r="BO190" s="1368"/>
      <c r="BP190" s="1368"/>
      <c r="BR190" s="1425"/>
      <c r="BS190" s="1425"/>
      <c r="BT190" s="1425"/>
      <c r="BU190" s="1263"/>
    </row>
    <row r="191" spans="1:73" s="492" customFormat="1" ht="12" hidden="1" customHeight="1" outlineLevel="2">
      <c r="A191" s="2008" t="s">
        <v>269</v>
      </c>
      <c r="B191" s="1058"/>
      <c r="C191" s="1058"/>
      <c r="D191" s="1058"/>
      <c r="E191" s="1059"/>
      <c r="F191" s="1058">
        <v>62</v>
      </c>
      <c r="G191" s="1058">
        <v>287</v>
      </c>
      <c r="H191" s="1058">
        <v>1578</v>
      </c>
      <c r="I191" s="1059">
        <v>48</v>
      </c>
      <c r="J191" s="1058">
        <v>69</v>
      </c>
      <c r="K191" s="1058">
        <v>316</v>
      </c>
      <c r="L191" s="1058">
        <v>1849</v>
      </c>
      <c r="M191" s="1059">
        <v>64</v>
      </c>
      <c r="N191" s="1058">
        <v>84</v>
      </c>
      <c r="O191" s="1058">
        <v>363</v>
      </c>
      <c r="P191" s="1058">
        <v>2056</v>
      </c>
      <c r="Q191" s="1059">
        <v>71</v>
      </c>
      <c r="R191" s="1058">
        <v>94</v>
      </c>
      <c r="S191" s="1058">
        <v>409</v>
      </c>
      <c r="T191" s="1058">
        <v>1744</v>
      </c>
      <c r="U191" s="1059">
        <v>686</v>
      </c>
      <c r="V191" s="1058">
        <v>112</v>
      </c>
      <c r="W191" s="1206">
        <v>81</v>
      </c>
      <c r="X191" s="1060">
        <v>2335</v>
      </c>
      <c r="Y191" s="1061">
        <f>852-Y185</f>
        <v>825</v>
      </c>
      <c r="Z191" s="1272">
        <v>113</v>
      </c>
      <c r="AA191" s="1297">
        <f>+AA178-AA185</f>
        <v>300.83999999999997</v>
      </c>
      <c r="AB191" s="1060">
        <f t="shared" ref="AB191:AO191" si="1741">+AB178*AB195</f>
        <v>3091.8533114395182</v>
      </c>
      <c r="AC191" s="1061">
        <f t="shared" si="1741"/>
        <v>140.09859154929578</v>
      </c>
      <c r="AD191" s="1060">
        <f t="shared" si="1741"/>
        <v>141.1764705882353</v>
      </c>
      <c r="AE191" s="1060">
        <f t="shared" si="1741"/>
        <v>422.93386773547098</v>
      </c>
      <c r="AF191" s="1060">
        <f t="shared" si="1741"/>
        <v>3189.2194854953477</v>
      </c>
      <c r="AG191" s="1061">
        <f t="shared" si="1741"/>
        <v>123.67323943661972</v>
      </c>
      <c r="AH191" s="1060">
        <f t="shared" si="1741"/>
        <v>176</v>
      </c>
      <c r="AI191" s="1060">
        <f t="shared" si="1741"/>
        <v>400.97999999999996</v>
      </c>
      <c r="AJ191" s="1060">
        <f t="shared" si="1741"/>
        <v>3487.0454296661192</v>
      </c>
      <c r="AK191" s="1061">
        <f t="shared" si="1741"/>
        <v>109.18028169014084</v>
      </c>
      <c r="AL191" s="1060">
        <f t="shared" si="1741"/>
        <v>170.72</v>
      </c>
      <c r="AM191" s="1060">
        <f>+AM178*AM195</f>
        <v>423.74250000000001</v>
      </c>
      <c r="AN191" s="1060">
        <f t="shared" si="1741"/>
        <v>3923.7264</v>
      </c>
      <c r="AO191" s="1061">
        <f t="shared" si="1741"/>
        <v>130.56100000000001</v>
      </c>
      <c r="AP191" s="1060">
        <f>+AP171*AP195</f>
        <v>190.07999999999998</v>
      </c>
      <c r="AQ191" s="1060">
        <f>+AQ171*AQ195</f>
        <v>481.06800000000004</v>
      </c>
      <c r="AR191" s="1060">
        <f t="shared" ref="AR191:BA191" si="1742">+AR171*AR195</f>
        <v>4192.4729064039411</v>
      </c>
      <c r="AS191" s="1061">
        <f t="shared" si="1742"/>
        <v>147.82816901408452</v>
      </c>
      <c r="AT191" s="1060">
        <f t="shared" si="1742"/>
        <v>235.29411764705881</v>
      </c>
      <c r="AU191" s="1060">
        <f t="shared" si="1742"/>
        <v>504.07815631262525</v>
      </c>
      <c r="AV191" s="1060">
        <f t="shared" si="1742"/>
        <v>4471.2074438970985</v>
      </c>
      <c r="AW191" s="1061">
        <f t="shared" si="1742"/>
        <v>164.25352112676057</v>
      </c>
      <c r="AX191" s="1060">
        <f t="shared" si="1742"/>
        <v>246.58823529411765</v>
      </c>
      <c r="AY191" s="1060">
        <f t="shared" si="1742"/>
        <v>546.69939879759522</v>
      </c>
      <c r="AZ191" s="1060">
        <f t="shared" si="1742"/>
        <v>4807.216201423098</v>
      </c>
      <c r="BA191" s="1061">
        <f t="shared" si="1742"/>
        <v>180.67887323943663</v>
      </c>
      <c r="BB191" s="1005"/>
      <c r="BC191" s="981"/>
      <c r="BD191" s="1083"/>
      <c r="BE191" s="1083">
        <f>SUM(F191:I191)</f>
        <v>1975</v>
      </c>
      <c r="BF191" s="1083">
        <f>SUM(J191:M191)</f>
        <v>2298</v>
      </c>
      <c r="BG191" s="1083">
        <f>SUM(N191:Q191)</f>
        <v>2574</v>
      </c>
      <c r="BH191" s="1083">
        <f>SUM(R191:U191)</f>
        <v>2933</v>
      </c>
      <c r="BI191" s="1083">
        <f>SUM(V191:Y191)</f>
        <v>3353</v>
      </c>
      <c r="BJ191" s="1083">
        <f>SUM(Z191:AC191)</f>
        <v>3645.7919029888139</v>
      </c>
      <c r="BK191" s="1083">
        <f>SUM(AD191:AG191)</f>
        <v>3877.0030632556736</v>
      </c>
      <c r="BL191" s="1083">
        <f>SUM(AH191:AK191)</f>
        <v>4173.2057113562596</v>
      </c>
      <c r="BM191" s="1083">
        <f>SUM(AL191:AO191)</f>
        <v>4648.7498999999998</v>
      </c>
      <c r="BN191" s="1364">
        <f>SUM(AP191:AS191)</f>
        <v>5011.449075418026</v>
      </c>
      <c r="BO191" s="1364">
        <f>SUM(AT191:AW191)</f>
        <v>5374.8332389835432</v>
      </c>
      <c r="BP191" s="1364">
        <f>SUM(AX191:BA191)</f>
        <v>5781.1827087542479</v>
      </c>
      <c r="BR191" s="1429"/>
      <c r="BS191" s="1429"/>
      <c r="BT191" s="1429"/>
      <c r="BU191" s="1263"/>
    </row>
    <row r="192" spans="1:73" s="1014" customFormat="1" ht="12" hidden="1" customHeight="1" outlineLevel="2">
      <c r="A192" s="1293" t="s">
        <v>181</v>
      </c>
      <c r="B192" s="987"/>
      <c r="C192" s="987"/>
      <c r="D192" s="987"/>
      <c r="E192" s="998"/>
      <c r="F192" s="999" t="str">
        <f t="shared" ref="F192" si="1743">IF(ISERROR(F191/B191-1),"NA",F191/B191-1)</f>
        <v>NA</v>
      </c>
      <c r="G192" s="987" t="str">
        <f t="shared" ref="G192" si="1744">IF(ISERROR(G191/C191-1),"NA",G191/C191-1)</f>
        <v>NA</v>
      </c>
      <c r="H192" s="987" t="str">
        <f t="shared" ref="H192" si="1745">IF(ISERROR(H191/D191-1),"NA",H191/D191-1)</f>
        <v>NA</v>
      </c>
      <c r="I192" s="998" t="str">
        <f t="shared" ref="I192" si="1746">IF(ISERROR(I191/E191-1),"NA",I191/E191-1)</f>
        <v>NA</v>
      </c>
      <c r="J192" s="999">
        <f t="shared" ref="J192" si="1747">IF(ISERROR(J191/F191-1),"NA",J191/F191-1)</f>
        <v>0.11290322580645151</v>
      </c>
      <c r="K192" s="987">
        <f t="shared" ref="K192" si="1748">IF(ISERROR(K191/G191-1),"NA",K191/G191-1)</f>
        <v>0.10104529616724744</v>
      </c>
      <c r="L192" s="987">
        <f t="shared" ref="L192" si="1749">IF(ISERROR(L191/H191-1),"NA",L191/H191-1)</f>
        <v>0.17173637515842843</v>
      </c>
      <c r="M192" s="998">
        <f t="shared" ref="M192" si="1750">IF(ISERROR(M191/I191-1),"NA",M191/I191-1)</f>
        <v>0.33333333333333326</v>
      </c>
      <c r="N192" s="999">
        <f t="shared" ref="N192" si="1751">IF(ISERROR(N191/J191-1),"NA",N191/J191-1)</f>
        <v>0.21739130434782616</v>
      </c>
      <c r="O192" s="987">
        <f t="shared" ref="O192" si="1752">IF(ISERROR(O191/K191-1),"NA",O191/K191-1)</f>
        <v>0.14873417721518978</v>
      </c>
      <c r="P192" s="987">
        <f t="shared" ref="P192" si="1753">IF(ISERROR(P191/L191-1),"NA",P191/L191-1)</f>
        <v>0.11195240670632778</v>
      </c>
      <c r="Q192" s="998">
        <f t="shared" ref="Q192" si="1754">IF(ISERROR(Q191/M191-1),"NA",Q191/M191-1)</f>
        <v>0.109375</v>
      </c>
      <c r="R192" s="984">
        <f t="shared" ref="R192" si="1755">IF(ISERROR(R191/N191-1),"NA",R191/N191-1)</f>
        <v>0.11904761904761907</v>
      </c>
      <c r="S192" s="984">
        <f t="shared" ref="S192" si="1756">IF(ISERROR(S191/O191-1),"NA",S191/O191-1)</f>
        <v>0.1267217630853994</v>
      </c>
      <c r="T192" s="984">
        <f t="shared" ref="T192" si="1757">IF(ISERROR(T191/P191-1),"NA",T191/P191-1)</f>
        <v>-0.15175097276264593</v>
      </c>
      <c r="U192" s="985">
        <f t="shared" ref="U192" si="1758">IF(ISERROR(U191/Q191-1),"NA",U191/Q191-1)</f>
        <v>8.6619718309859159</v>
      </c>
      <c r="V192" s="984">
        <f t="shared" ref="V192:X192" si="1759">IF(ISERROR(V191/R191-1),"NA",V191/R191-1)</f>
        <v>0.1914893617021276</v>
      </c>
      <c r="W192" s="987">
        <f t="shared" si="1759"/>
        <v>-0.80195599022004893</v>
      </c>
      <c r="X192" s="984">
        <f t="shared" si="1759"/>
        <v>0.33887614678899092</v>
      </c>
      <c r="Y192" s="985">
        <f t="shared" ref="Y192:AA192" si="1760">IF(ISERROR(Y191/U191-1),"NA",Y191/U191-1)</f>
        <v>0.20262390670553931</v>
      </c>
      <c r="Z192" s="1270">
        <f t="shared" si="1760"/>
        <v>8.9285714285713969E-3</v>
      </c>
      <c r="AA192" s="987">
        <f t="shared" si="1760"/>
        <v>2.7140740740740736</v>
      </c>
      <c r="AB192" s="984">
        <f t="shared" ref="AB192" si="1761">IF(ISERROR(AB191/X191-1),"NA",AB191/X191-1)</f>
        <v>0.32413418048801645</v>
      </c>
      <c r="AC192" s="985">
        <f t="shared" ref="AC192" si="1762">IF(ISERROR(AC191/Y191-1),"NA",AC191/Y191-1)</f>
        <v>-0.83018352539479301</v>
      </c>
      <c r="AD192" s="984">
        <f t="shared" ref="AD192" si="1763">IF(ISERROR(AD191/Z191-1),"NA",AD191/Z191-1)</f>
        <v>0.24934929724102028</v>
      </c>
      <c r="AE192" s="984">
        <f t="shared" ref="AE192" si="1764">IF(ISERROR(AE191/AA191-1),"NA",AE191/AA191-1)</f>
        <v>0.40584319816337922</v>
      </c>
      <c r="AF192" s="984">
        <f t="shared" ref="AF192" si="1765">IF(ISERROR(AF191/AB191-1),"NA",AF191/AB191-1)</f>
        <v>3.1491200987959322E-2</v>
      </c>
      <c r="AG192" s="985">
        <f t="shared" ref="AG192" si="1766">IF(ISERROR(AG191/AC191-1),"NA",AG191/AC191-1)</f>
        <v>-0.11724137931034484</v>
      </c>
      <c r="AH192" s="984">
        <f t="shared" ref="AH192" si="1767">IF(ISERROR(AH191/AD191-1),"NA",AH191/AD191-1)</f>
        <v>0.24666666666666659</v>
      </c>
      <c r="AI192" s="984">
        <f t="shared" ref="AI192" si="1768">IF(ISERROR(AI191/AE191-1),"NA",AI191/AE191-1)</f>
        <v>-5.1908511969068205E-2</v>
      </c>
      <c r="AJ192" s="984">
        <f t="shared" ref="AJ192" si="1769">IF(ISERROR(AJ191/AF191-1),"NA",AJ191/AF191-1)</f>
        <v>9.3385214007781991E-2</v>
      </c>
      <c r="AK192" s="985">
        <f t="shared" ref="AK192" si="1770">IF(ISERROR(AK191/AG191-1),"NA",AK191/AG191-1)</f>
        <v>-0.1171875</v>
      </c>
      <c r="AL192" s="984">
        <f t="shared" ref="AL192" si="1771">IF(ISERROR(AL191/AH191-1),"NA",AL191/AH191-1)</f>
        <v>-3.0000000000000027E-2</v>
      </c>
      <c r="AM192" s="984">
        <f t="shared" ref="AM192" si="1772">IF(ISERROR(AM191/AI191-1),"NA",AM191/AI191-1)</f>
        <v>5.6767170432440617E-2</v>
      </c>
      <c r="AN192" s="984">
        <f t="shared" ref="AN192" si="1773">IF(ISERROR(AN191/AJ191-1),"NA",AN191/AJ191-1)</f>
        <v>0.12522950421546208</v>
      </c>
      <c r="AO192" s="985">
        <f t="shared" ref="AO192:AQ192" si="1774">IF(ISERROR(AO191/AK191-1),"NA",AO191/AK191-1)</f>
        <v>0.19582948476482898</v>
      </c>
      <c r="AP192" s="984">
        <f t="shared" si="1774"/>
        <v>0.11340206185566992</v>
      </c>
      <c r="AQ192" s="984">
        <f t="shared" si="1774"/>
        <v>0.13528381033292636</v>
      </c>
      <c r="AR192" s="984">
        <f t="shared" ref="AR192" si="1775">IF(ISERROR(AR191/AN191-1),"NA",AR191/AN191-1)</f>
        <v>6.8492672272954858E-2</v>
      </c>
      <c r="AS192" s="985">
        <f t="shared" ref="AS192" si="1776">IF(ISERROR(AS191/AO191-1),"NA",AS191/AO191-1)</f>
        <v>0.13225365165772707</v>
      </c>
      <c r="AT192" s="984">
        <f t="shared" ref="AT192" si="1777">IF(ISERROR(AT191/AP191-1),"NA",AT191/AP191-1)</f>
        <v>0.23786888492770841</v>
      </c>
      <c r="AU192" s="984">
        <f t="shared" ref="AU192" si="1778">IF(ISERROR(AU191/AQ191-1),"NA",AU191/AQ191-1)</f>
        <v>4.7831400784556832E-2</v>
      </c>
      <c r="AV192" s="984">
        <f t="shared" ref="AV192" si="1779">IF(ISERROR(AV191/AR191-1),"NA",AV191/AR191-1)</f>
        <v>6.648451730418925E-2</v>
      </c>
      <c r="AW192" s="985">
        <f t="shared" ref="AW192" si="1780">IF(ISERROR(AW191/AS191-1),"NA",AW191/AS191-1)</f>
        <v>0.11111111111111116</v>
      </c>
      <c r="AX192" s="984">
        <f t="shared" ref="AX192" si="1781">IF(ISERROR(AX191/AT191-1),"NA",AX191/AT191-1)</f>
        <v>4.8000000000000043E-2</v>
      </c>
      <c r="AY192" s="984">
        <f t="shared" ref="AY192" si="1782">IF(ISERROR(AY191/AU191-1),"NA",AY191/AU191-1)</f>
        <v>8.4552845528455434E-2</v>
      </c>
      <c r="AZ192" s="984">
        <f t="shared" ref="AZ192" si="1783">IF(ISERROR(AZ191/AV191-1),"NA",AZ191/AV191-1)</f>
        <v>7.5149444918872987E-2</v>
      </c>
      <c r="BA192" s="985">
        <f t="shared" ref="BA192" si="1784">IF(ISERROR(BA191/AW191-1),"NA",BA191/AW191-1)</f>
        <v>9.9999999999999867E-2</v>
      </c>
      <c r="BB192" s="1013"/>
      <c r="BC192" s="841"/>
      <c r="BD192" s="842"/>
      <c r="BE192" s="842" t="str">
        <f t="shared" ref="BE192" si="1785">IF(ISERROR(BE191/BD191-1),"NA",BE191/BD191-1)</f>
        <v>NA</v>
      </c>
      <c r="BF192" s="842">
        <f t="shared" ref="BF192" si="1786">IF(ISERROR(BF191/BE191-1),"NA",BF191/BE191-1)</f>
        <v>0.16354430379746843</v>
      </c>
      <c r="BG192" s="842">
        <f t="shared" ref="BG192" si="1787">IF(ISERROR(BG191/BF191-1),"NA",BG191/BF191-1)</f>
        <v>0.12010443864229758</v>
      </c>
      <c r="BH192" s="842">
        <f t="shared" ref="BH192" si="1788">IF(ISERROR(BH191/BG191-1),"NA",BH191/BG191-1)</f>
        <v>0.13947163947163954</v>
      </c>
      <c r="BI192" s="842">
        <f t="shared" ref="BI192" si="1789">IF(ISERROR(BI191/BH191-1),"NA",BI191/BH191-1)</f>
        <v>0.14319809069212419</v>
      </c>
      <c r="BJ192" s="842">
        <f t="shared" ref="BJ192" si="1790">IF(ISERROR(BJ191/BI191-1),"NA",BJ191/BI191-1)</f>
        <v>8.7322368920015991E-2</v>
      </c>
      <c r="BK192" s="842">
        <f t="shared" ref="BK192" si="1791">IF(ISERROR(BK191/BJ191-1),"NA",BK191/BJ191-1)</f>
        <v>6.3418638918286252E-2</v>
      </c>
      <c r="BL192" s="842">
        <f t="shared" ref="BL192:BP192" si="1792">IF(ISERROR(BL191/BK191-1),"NA",BL191/BK191-1)</f>
        <v>7.6399900456063374E-2</v>
      </c>
      <c r="BM192" s="842">
        <f t="shared" si="1792"/>
        <v>0.11395177269830592</v>
      </c>
      <c r="BN192" s="1187">
        <f t="shared" si="1792"/>
        <v>7.8020797681119802E-2</v>
      </c>
      <c r="BO192" s="1187">
        <f t="shared" si="1792"/>
        <v>7.2510796397787569E-2</v>
      </c>
      <c r="BP192" s="1187">
        <f t="shared" si="1792"/>
        <v>7.5602246935488449E-2</v>
      </c>
      <c r="BR192" s="1425"/>
      <c r="BS192" s="1425"/>
      <c r="BT192" s="1425"/>
      <c r="BU192" s="1263"/>
    </row>
    <row r="193" spans="1:73" s="1014" customFormat="1" ht="12" hidden="1" customHeight="1" outlineLevel="2">
      <c r="A193" s="1293" t="s">
        <v>291</v>
      </c>
      <c r="B193" s="987"/>
      <c r="C193" s="987"/>
      <c r="D193" s="987"/>
      <c r="E193" s="998"/>
      <c r="F193" s="999" t="str">
        <f t="shared" ref="F193" si="1793">IF(ISERROR(F191/E191-1),"NA",F191/E191-1)</f>
        <v>NA</v>
      </c>
      <c r="G193" s="987">
        <f t="shared" ref="G193" si="1794">IF(ISERROR(G191/F191-1),"NA",G191/F191-1)</f>
        <v>3.629032258064516</v>
      </c>
      <c r="H193" s="987">
        <f t="shared" ref="H193" si="1795">IF(ISERROR(H191/G191-1),"NA",H191/G191-1)</f>
        <v>4.498257839721254</v>
      </c>
      <c r="I193" s="998">
        <f t="shared" ref="I193" si="1796">IF(ISERROR(I191/H191-1),"NA",I191/H191-1)</f>
        <v>-0.96958174904942962</v>
      </c>
      <c r="J193" s="999">
        <f t="shared" ref="J193" si="1797">IF(ISERROR(J191/I191-1),"NA",J191/I191-1)</f>
        <v>0.4375</v>
      </c>
      <c r="K193" s="987">
        <f t="shared" ref="K193" si="1798">IF(ISERROR(K191/J191-1),"NA",K191/J191-1)</f>
        <v>3.5797101449275361</v>
      </c>
      <c r="L193" s="987">
        <f t="shared" ref="L193" si="1799">IF(ISERROR(L191/K191-1),"NA",L191/K191-1)</f>
        <v>4.8512658227848098</v>
      </c>
      <c r="M193" s="998">
        <f t="shared" ref="M193" si="1800">IF(ISERROR(M191/L191-1),"NA",M191/L191-1)</f>
        <v>-0.96538669551108702</v>
      </c>
      <c r="N193" s="999">
        <f t="shared" ref="N193" si="1801">IF(ISERROR(N191/M191-1),"NA",N191/M191-1)</f>
        <v>0.3125</v>
      </c>
      <c r="O193" s="987">
        <f t="shared" ref="O193" si="1802">IF(ISERROR(O191/N191-1),"NA",O191/N191-1)</f>
        <v>3.3214285714285712</v>
      </c>
      <c r="P193" s="987">
        <f t="shared" ref="P193" si="1803">IF(ISERROR(P191/O191-1),"NA",P191/O191-1)</f>
        <v>4.6639118457300279</v>
      </c>
      <c r="Q193" s="998">
        <f t="shared" ref="Q193" si="1804">IF(ISERROR(Q191/P191-1),"NA",Q191/P191-1)</f>
        <v>-0.96546692607003892</v>
      </c>
      <c r="R193" s="984">
        <f t="shared" ref="R193" si="1805">IF(ISERROR(R191/Q191-1),"NA",R191/Q191-1)</f>
        <v>0.323943661971831</v>
      </c>
      <c r="S193" s="984">
        <f t="shared" ref="S193" si="1806">IF(ISERROR(S191/R191-1),"NA",S191/R191-1)</f>
        <v>3.3510638297872344</v>
      </c>
      <c r="T193" s="984">
        <f t="shared" ref="T193" si="1807">IF(ISERROR(T191/S191-1),"NA",T191/S191-1)</f>
        <v>3.2640586797066016</v>
      </c>
      <c r="U193" s="985">
        <f t="shared" ref="U193" si="1808">IF(ISERROR(U191/T191-1),"NA",U191/T191-1)</f>
        <v>-0.60665137614678899</v>
      </c>
      <c r="V193" s="984">
        <f t="shared" ref="V193:X193" si="1809">IF(ISERROR(V191/U191-1),"NA",V191/U191-1)</f>
        <v>-0.83673469387755106</v>
      </c>
      <c r="W193" s="984">
        <f t="shared" si="1809"/>
        <v>-0.2767857142857143</v>
      </c>
      <c r="X193" s="984">
        <f t="shared" si="1809"/>
        <v>27.827160493827162</v>
      </c>
      <c r="Y193" s="985">
        <f t="shared" ref="Y193:AA193" si="1810">IF(ISERROR(Y191/X191-1),"NA",Y191/X191-1)</f>
        <v>-0.64668094218415417</v>
      </c>
      <c r="Z193" s="1270">
        <f t="shared" si="1810"/>
        <v>-0.86303030303030304</v>
      </c>
      <c r="AA193" s="984">
        <f t="shared" si="1810"/>
        <v>1.6623008849557519</v>
      </c>
      <c r="AB193" s="984">
        <f t="shared" ref="AB193" si="1811">IF(ISERROR(AB191/AA191-1),"NA",AB191/AA191-1)</f>
        <v>9.2774009820486594</v>
      </c>
      <c r="AC193" s="985">
        <f t="shared" ref="AC193" si="1812">IF(ISERROR(AC191/AB191-1),"NA",AC191/AB191-1)</f>
        <v>-0.95468782719058942</v>
      </c>
      <c r="AD193" s="984">
        <f t="shared" ref="AD193" si="1813">IF(ISERROR(AD191/AC191-1),"NA",AD191/AC191-1)</f>
        <v>7.693717881241291E-3</v>
      </c>
      <c r="AE193" s="984">
        <f t="shared" ref="AE193" si="1814">IF(ISERROR(AE191/AD191-1),"NA",AE191/AD191-1)</f>
        <v>1.9957815631262528</v>
      </c>
      <c r="AF193" s="984">
        <f t="shared" ref="AF193" si="1815">IF(ISERROR(AF191/AE191-1),"NA",AF191/AE191-1)</f>
        <v>6.540704892165512</v>
      </c>
      <c r="AG193" s="985">
        <f t="shared" ref="AG193" si="1816">IF(ISERROR(AG191/AF191-1),"NA",AG191/AF191-1)</f>
        <v>-0.9612214712724888</v>
      </c>
      <c r="AH193" s="984">
        <f t="shared" ref="AH193" si="1817">IF(ISERROR(AH191/AG191-1),"NA",AH191/AG191-1)</f>
        <v>0.42310495626822142</v>
      </c>
      <c r="AI193" s="984">
        <f t="shared" ref="AI193" si="1818">IF(ISERROR(AI191/AH191-1),"NA",AI191/AH191-1)</f>
        <v>1.2782954545454541</v>
      </c>
      <c r="AJ193" s="984">
        <f t="shared" ref="AJ193" si="1819">IF(ISERROR(AJ191/AI191-1),"NA",AJ191/AI191-1)</f>
        <v>7.6963076204950855</v>
      </c>
      <c r="AK193" s="985">
        <f t="shared" ref="AK193" si="1820">IF(ISERROR(AK191/AJ191-1),"NA",AK191/AJ191-1)</f>
        <v>-0.96868974497398652</v>
      </c>
      <c r="AL193" s="984">
        <f t="shared" ref="AL193" si="1821">IF(ISERROR(AL191/AK191-1),"NA",AL191/AK191-1)</f>
        <v>0.56365231301117169</v>
      </c>
      <c r="AM193" s="984">
        <f t="shared" ref="AM193" si="1822">IF(ISERROR(AM191/AL191-1),"NA",AM191/AL191-1)</f>
        <v>1.4820905576382382</v>
      </c>
      <c r="AN193" s="984">
        <f t="shared" ref="AN193" si="1823">IF(ISERROR(AN191/AM191-1),"NA",AN191/AM191-1)</f>
        <v>8.2596952158445287</v>
      </c>
      <c r="AO193" s="985">
        <f t="shared" ref="AO193:AQ193" si="1824">IF(ISERROR(AO191/AN191-1),"NA",AO191/AN191-1)</f>
        <v>-0.96672525383013452</v>
      </c>
      <c r="AP193" s="984">
        <f t="shared" si="1824"/>
        <v>0.45587120196689646</v>
      </c>
      <c r="AQ193" s="984">
        <f t="shared" si="1824"/>
        <v>1.5308712121212125</v>
      </c>
      <c r="AR193" s="984">
        <f t="shared" ref="AR193" si="1825">IF(ISERROR(AR191/AQ191-1),"NA",AR191/AQ191-1)</f>
        <v>7.7149278405629573</v>
      </c>
      <c r="AS193" s="985">
        <f t="shared" ref="AS193" si="1826">IF(ISERROR(AS191/AR191-1),"NA",AS191/AR191-1)</f>
        <v>-0.96473962448552042</v>
      </c>
      <c r="AT193" s="984">
        <f t="shared" ref="AT193" si="1827">IF(ISERROR(AT191/AS191-1),"NA",AT191/AS191-1)</f>
        <v>0.5916730837993458</v>
      </c>
      <c r="AU193" s="984">
        <f t="shared" ref="AU193" si="1828">IF(ISERROR(AU191/AT191-1),"NA",AU191/AT191-1)</f>
        <v>1.1423321643286575</v>
      </c>
      <c r="AV193" s="984">
        <f t="shared" ref="AV193" si="1829">IF(ISERROR(AV191/AU191-1),"NA",AV191/AU191-1)</f>
        <v>7.87006784147197</v>
      </c>
      <c r="AW193" s="985">
        <f t="shared" ref="AW193" si="1830">IF(ISERROR(AW191/AV191-1),"NA",AW191/AV191-1)</f>
        <v>-0.96326416897722877</v>
      </c>
      <c r="AX193" s="984">
        <f t="shared" ref="AX193" si="1831">IF(ISERROR(AX191/AW191-1),"NA",AX191/AW191-1)</f>
        <v>0.50126605263954316</v>
      </c>
      <c r="AY193" s="984">
        <f t="shared" ref="AY193" si="1832">IF(ISERROR(AY191/AX191-1),"NA",AY191/AX191-1)</f>
        <v>1.2170538596276526</v>
      </c>
      <c r="AZ193" s="984">
        <f t="shared" ref="AZ193" si="1833">IF(ISERROR(AZ191/AY191-1),"NA",AZ191/AY191-1)</f>
        <v>7.7931616753119499</v>
      </c>
      <c r="BA193" s="985">
        <f t="shared" ref="BA193" si="1834">IF(ISERROR(BA191/AZ191-1),"NA",BA191/AZ191-1)</f>
        <v>-0.96241507232690104</v>
      </c>
      <c r="BB193" s="1013"/>
      <c r="BC193" s="846"/>
      <c r="BD193" s="989"/>
      <c r="BE193" s="989" t="s">
        <v>366</v>
      </c>
      <c r="BF193" s="989" t="s">
        <v>366</v>
      </c>
      <c r="BG193" s="841" t="s">
        <v>366</v>
      </c>
      <c r="BH193" s="841" t="s">
        <v>366</v>
      </c>
      <c r="BI193" s="989" t="s">
        <v>366</v>
      </c>
      <c r="BJ193" s="989" t="s">
        <v>366</v>
      </c>
      <c r="BK193" s="989" t="s">
        <v>366</v>
      </c>
      <c r="BL193" s="989" t="s">
        <v>366</v>
      </c>
      <c r="BM193" s="1046" t="s">
        <v>366</v>
      </c>
      <c r="BN193" s="1188" t="s">
        <v>366</v>
      </c>
      <c r="BO193" s="1188" t="s">
        <v>366</v>
      </c>
      <c r="BP193" s="1188" t="s">
        <v>366</v>
      </c>
      <c r="BR193" s="1425"/>
      <c r="BS193" s="1425"/>
      <c r="BT193" s="1425"/>
      <c r="BU193" s="1263"/>
    </row>
    <row r="194" spans="1:73" s="1014" customFormat="1" ht="12" hidden="1" customHeight="1" outlineLevel="2">
      <c r="A194" s="1293" t="s">
        <v>153</v>
      </c>
      <c r="B194" s="1008"/>
      <c r="C194" s="1008"/>
      <c r="D194" s="1008"/>
      <c r="E194" s="1009"/>
      <c r="F194" s="1008">
        <f t="shared" ref="F194:BA194" si="1835">+F191/F$6</f>
        <v>7.9691516709511565E-2</v>
      </c>
      <c r="G194" s="1008">
        <f t="shared" si="1835"/>
        <v>0.28248031496062992</v>
      </c>
      <c r="H194" s="1008">
        <f t="shared" si="1835"/>
        <v>0.62101534828807559</v>
      </c>
      <c r="I194" s="1009">
        <f t="shared" si="1835"/>
        <v>5.7007125890736345E-2</v>
      </c>
      <c r="J194" s="1010">
        <f t="shared" si="1835"/>
        <v>7.5824175824175818E-2</v>
      </c>
      <c r="K194" s="1008">
        <f t="shared" si="1835"/>
        <v>0.23599701269604181</v>
      </c>
      <c r="L194" s="1010">
        <f t="shared" si="1835"/>
        <v>0.63495879120879117</v>
      </c>
      <c r="M194" s="1009">
        <f t="shared" si="1835"/>
        <v>7.407407407407407E-2</v>
      </c>
      <c r="N194" s="1008">
        <f t="shared" si="1835"/>
        <v>8.2677165354330714E-2</v>
      </c>
      <c r="O194" s="1008">
        <f t="shared" si="1835"/>
        <v>0.24167776298268975</v>
      </c>
      <c r="P194" s="1008">
        <f t="shared" si="1835"/>
        <v>0.628361858190709</v>
      </c>
      <c r="Q194" s="1009">
        <f t="shared" si="1835"/>
        <v>7.1428571428571425E-2</v>
      </c>
      <c r="R194" s="984">
        <f t="shared" si="1835"/>
        <v>8.0686695278969961E-2</v>
      </c>
      <c r="S194" s="984">
        <f t="shared" si="1835"/>
        <v>0.2411556603773585</v>
      </c>
      <c r="T194" s="984">
        <f t="shared" si="1835"/>
        <v>0.58094603597601602</v>
      </c>
      <c r="U194" s="985">
        <f t="shared" si="1835"/>
        <v>0.3777533039647577</v>
      </c>
      <c r="V194" s="984">
        <f t="shared" si="1835"/>
        <v>8.4656084656084651E-2</v>
      </c>
      <c r="W194" s="984">
        <f t="shared" si="1835"/>
        <v>5.1395939086294418E-2</v>
      </c>
      <c r="X194" s="984">
        <f t="shared" si="1835"/>
        <v>0.5595494847831296</v>
      </c>
      <c r="Y194" s="985">
        <f t="shared" si="1835"/>
        <v>0.3221397891448653</v>
      </c>
      <c r="Z194" s="1270">
        <f t="shared" si="1835"/>
        <v>5.6302939711011461E-2</v>
      </c>
      <c r="AA194" s="984">
        <f t="shared" si="1835"/>
        <v>0.11254769921436587</v>
      </c>
      <c r="AB194" s="984">
        <f t="shared" si="1835"/>
        <v>0.54897963626411905</v>
      </c>
      <c r="AC194" s="985">
        <f t="shared" si="1835"/>
        <v>5.8035870567231057E-2</v>
      </c>
      <c r="AD194" s="984">
        <f t="shared" si="1835"/>
        <v>5.4361367188384795E-2</v>
      </c>
      <c r="AE194" s="984">
        <f t="shared" si="1835"/>
        <v>0.13907723371768202</v>
      </c>
      <c r="AF194" s="984">
        <f t="shared" si="1835"/>
        <v>0.52994674069380987</v>
      </c>
      <c r="AG194" s="985">
        <f t="shared" si="1835"/>
        <v>4.5602226930906979E-2</v>
      </c>
      <c r="AH194" s="984">
        <f t="shared" si="1835"/>
        <v>5.9100067159167227E-2</v>
      </c>
      <c r="AI194" s="984">
        <f t="shared" si="1835"/>
        <v>0.11842291789722385</v>
      </c>
      <c r="AJ194" s="984">
        <f t="shared" si="1835"/>
        <v>0.51759617480571762</v>
      </c>
      <c r="AK194" s="985">
        <f t="shared" si="1835"/>
        <v>3.4290289475546742E-2</v>
      </c>
      <c r="AL194" s="984">
        <f t="shared" si="1835"/>
        <v>5.2001218397806886E-2</v>
      </c>
      <c r="AM194" s="984">
        <f t="shared" si="1835"/>
        <v>0.10692467827403482</v>
      </c>
      <c r="AN194" s="984">
        <f t="shared" si="1835"/>
        <v>0.50602610265669334</v>
      </c>
      <c r="AO194" s="985">
        <f t="shared" si="1835"/>
        <v>3.4080135734795097E-2</v>
      </c>
      <c r="AP194" s="984">
        <f t="shared" ref="AP194:AQ194" si="1836">+AP191/AP$6</f>
        <v>4.8926640926640924E-2</v>
      </c>
      <c r="AQ194" s="984">
        <f t="shared" si="1836"/>
        <v>0.10343324016340573</v>
      </c>
      <c r="AR194" s="984">
        <f t="shared" si="1835"/>
        <v>0.49389625183086683</v>
      </c>
      <c r="AS194" s="985">
        <f t="shared" si="1835"/>
        <v>3.4761607738764924E-2</v>
      </c>
      <c r="AT194" s="984">
        <f t="shared" si="1835"/>
        <v>5.3266501629289115E-2</v>
      </c>
      <c r="AU194" s="984">
        <f t="shared" si="1835"/>
        <v>9.5085850873341718E-2</v>
      </c>
      <c r="AV194" s="984">
        <f t="shared" si="1835"/>
        <v>0.48060612353938792</v>
      </c>
      <c r="AW194" s="985">
        <f t="shared" si="1835"/>
        <v>3.4612667482771871E-2</v>
      </c>
      <c r="AX194" s="984">
        <f t="shared" si="1835"/>
        <v>4.9531311789113588E-2</v>
      </c>
      <c r="AY194" s="984">
        <f t="shared" si="1835"/>
        <v>9.0767952368962013E-2</v>
      </c>
      <c r="AZ194" s="984">
        <f t="shared" si="1835"/>
        <v>0.46957557119989168</v>
      </c>
      <c r="BA194" s="985">
        <f t="shared" si="1835"/>
        <v>3.3880217135325165E-2</v>
      </c>
      <c r="BB194" s="1013"/>
      <c r="BC194" s="846"/>
      <c r="BD194" s="1011"/>
      <c r="BE194" s="1011">
        <f t="shared" ref="BE194:BP194" si="1837">+BE191/BE$6</f>
        <v>0.38149507436739427</v>
      </c>
      <c r="BF194" s="1017">
        <f t="shared" si="1837"/>
        <v>0.38141078838174275</v>
      </c>
      <c r="BG194" s="1017">
        <f t="shared" si="1837"/>
        <v>0.37942216981132076</v>
      </c>
      <c r="BH194" s="1017">
        <f t="shared" si="1837"/>
        <v>0.38195077484047402</v>
      </c>
      <c r="BI194" s="1017">
        <f t="shared" si="1837"/>
        <v>0.34807432783141284</v>
      </c>
      <c r="BJ194" s="1017">
        <f t="shared" si="1837"/>
        <v>0.28648372646462472</v>
      </c>
      <c r="BK194" s="1017">
        <f t="shared" si="1837"/>
        <v>0.2698359593023158</v>
      </c>
      <c r="BL194" s="1017">
        <f t="shared" si="1837"/>
        <v>0.25626071300928827</v>
      </c>
      <c r="BM194" s="1062">
        <f t="shared" si="1837"/>
        <v>0.24686686315118686</v>
      </c>
      <c r="BN194" s="1368">
        <f t="shared" si="1837"/>
        <v>0.23553144512655044</v>
      </c>
      <c r="BO194" s="1368">
        <f t="shared" si="1837"/>
        <v>0.22614368719947947</v>
      </c>
      <c r="BP194" s="1368">
        <f t="shared" si="1837"/>
        <v>0.21756906879575971</v>
      </c>
      <c r="BR194" s="1425"/>
      <c r="BS194" s="1425"/>
      <c r="BT194" s="1425"/>
      <c r="BU194" s="1263"/>
    </row>
    <row r="195" spans="1:73" s="1014" customFormat="1" ht="12" hidden="1" customHeight="1" outlineLevel="2">
      <c r="A195" s="1293" t="s">
        <v>371</v>
      </c>
      <c r="B195" s="1008"/>
      <c r="C195" s="1008"/>
      <c r="D195" s="1008"/>
      <c r="E195" s="1009"/>
      <c r="F195" s="1008">
        <f>+F191/F178</f>
        <v>0.84931506849315064</v>
      </c>
      <c r="G195" s="1008">
        <f t="shared" ref="G195:V195" si="1838">+G191/G178</f>
        <v>0.95986622073578598</v>
      </c>
      <c r="H195" s="1008">
        <f t="shared" si="1838"/>
        <v>0.89202939513849633</v>
      </c>
      <c r="I195" s="1009">
        <f t="shared" si="1838"/>
        <v>0.8</v>
      </c>
      <c r="J195" s="1010">
        <f t="shared" si="1838"/>
        <v>0.93243243243243246</v>
      </c>
      <c r="K195" s="1008">
        <f t="shared" si="1838"/>
        <v>0.75961538461538458</v>
      </c>
      <c r="L195" s="1010">
        <f t="shared" si="1838"/>
        <v>0.94869163673678814</v>
      </c>
      <c r="M195" s="1009">
        <f t="shared" si="1838"/>
        <v>0.92753623188405798</v>
      </c>
      <c r="N195" s="1008">
        <f t="shared" si="1838"/>
        <v>0.93333333333333335</v>
      </c>
      <c r="O195" s="1008">
        <f t="shared" si="1838"/>
        <v>0.78741865509761388</v>
      </c>
      <c r="P195" s="1008">
        <f t="shared" si="1838"/>
        <v>0.95627906976744181</v>
      </c>
      <c r="Q195" s="1009">
        <f t="shared" si="1838"/>
        <v>0.95945945945945943</v>
      </c>
      <c r="R195" s="984">
        <f t="shared" si="1838"/>
        <v>0.94</v>
      </c>
      <c r="S195" s="984">
        <f t="shared" si="1838"/>
        <v>0.81963927855711427</v>
      </c>
      <c r="T195" s="984">
        <f t="shared" si="1838"/>
        <v>0.95457033388067869</v>
      </c>
      <c r="U195" s="985">
        <f t="shared" si="1838"/>
        <v>0.96619718309859159</v>
      </c>
      <c r="V195" s="984">
        <f t="shared" si="1838"/>
        <v>0.94117647058823528</v>
      </c>
      <c r="W195" s="984">
        <f t="shared" ref="W195:Y195" si="1839">+W191/W178</f>
        <v>0.55102040816326525</v>
      </c>
      <c r="X195" s="984">
        <f t="shared" si="1839"/>
        <v>0.95501022494887522</v>
      </c>
      <c r="Y195" s="985">
        <f t="shared" si="1839"/>
        <v>0.96830985915492962</v>
      </c>
      <c r="Z195" s="1270">
        <f t="shared" ref="Z195:AA195" si="1840">+Z191/Z178</f>
        <v>0.94166666666666665</v>
      </c>
      <c r="AA195" s="984">
        <f t="shared" si="1840"/>
        <v>0.73197080291970795</v>
      </c>
      <c r="AB195" s="1015">
        <f t="shared" ref="AB195:AO195" si="1841">1-AB189</f>
        <v>0.95457033388067869</v>
      </c>
      <c r="AC195" s="1016">
        <f t="shared" si="1841"/>
        <v>0.96619718309859159</v>
      </c>
      <c r="AD195" s="1015">
        <f t="shared" si="1841"/>
        <v>0.94117647058823528</v>
      </c>
      <c r="AE195" s="1015">
        <f t="shared" si="1841"/>
        <v>0.81963927855711427</v>
      </c>
      <c r="AF195" s="1015">
        <f t="shared" si="1841"/>
        <v>0.95457033388067869</v>
      </c>
      <c r="AG195" s="1016">
        <f t="shared" si="1841"/>
        <v>0.96619718309859159</v>
      </c>
      <c r="AH195" s="1015">
        <f t="shared" si="1841"/>
        <v>0.94117647058823528</v>
      </c>
      <c r="AI195" s="1015">
        <f t="shared" si="1841"/>
        <v>0.81499999999999995</v>
      </c>
      <c r="AJ195" s="1015">
        <f t="shared" si="1841"/>
        <v>0.95457033388067869</v>
      </c>
      <c r="AK195" s="1016">
        <f t="shared" si="1841"/>
        <v>0.96619718309859159</v>
      </c>
      <c r="AL195" s="1015">
        <f t="shared" si="1841"/>
        <v>0.97</v>
      </c>
      <c r="AM195" s="1015">
        <f t="shared" si="1841"/>
        <v>0.83250000000000002</v>
      </c>
      <c r="AN195" s="1015">
        <f t="shared" si="1841"/>
        <v>0.96930000000000005</v>
      </c>
      <c r="AO195" s="1016">
        <f t="shared" si="1841"/>
        <v>0.95299999999999996</v>
      </c>
      <c r="AP195" s="1015">
        <f t="shared" ref="AP195:AQ195" si="1842">1-AP189</f>
        <v>0.96</v>
      </c>
      <c r="AQ195" s="1015">
        <f t="shared" si="1842"/>
        <v>0.82800000000000007</v>
      </c>
      <c r="AR195" s="1015">
        <f t="shared" ref="AR195:AS195" si="1843">1-AR189</f>
        <v>0.95457033388067869</v>
      </c>
      <c r="AS195" s="1016">
        <f t="shared" si="1843"/>
        <v>0.96619718309859159</v>
      </c>
      <c r="AT195" s="1015">
        <f t="shared" ref="AT195:AW195" si="1844">1-AT189</f>
        <v>0.94117647058823528</v>
      </c>
      <c r="AU195" s="1015">
        <f t="shared" si="1844"/>
        <v>0.81963927855711427</v>
      </c>
      <c r="AV195" s="1015">
        <f t="shared" si="1844"/>
        <v>0.95457033388067869</v>
      </c>
      <c r="AW195" s="1016">
        <f t="shared" si="1844"/>
        <v>0.96619718309859159</v>
      </c>
      <c r="AX195" s="1015">
        <f t="shared" ref="AX195:BA195" si="1845">1-AX189</f>
        <v>0.94117647058823528</v>
      </c>
      <c r="AY195" s="1015">
        <f t="shared" si="1845"/>
        <v>0.81963927855711427</v>
      </c>
      <c r="AZ195" s="1015">
        <f t="shared" si="1845"/>
        <v>0.95457033388067869</v>
      </c>
      <c r="BA195" s="1016">
        <f t="shared" si="1845"/>
        <v>0.96619718309859159</v>
      </c>
      <c r="BB195" s="1013"/>
      <c r="BC195" s="846"/>
      <c r="BD195" s="1011"/>
      <c r="BE195" s="1011">
        <f t="shared" ref="BE195:BM195" si="1846">+BE191/BE178</f>
        <v>0.89731940027260337</v>
      </c>
      <c r="BF195" s="1017">
        <f t="shared" si="1846"/>
        <v>0.91626794258373201</v>
      </c>
      <c r="BG195" s="1017">
        <f t="shared" si="1846"/>
        <v>0.92756756756756753</v>
      </c>
      <c r="BH195" s="1017">
        <f t="shared" si="1846"/>
        <v>0.9352678571428571</v>
      </c>
      <c r="BI195" s="1017">
        <f t="shared" si="1846"/>
        <v>0.94106090373280948</v>
      </c>
      <c r="BJ195" s="1017">
        <f t="shared" si="1846"/>
        <v>0.93123675682983753</v>
      </c>
      <c r="BK195" s="1017">
        <f t="shared" si="1846"/>
        <v>0.93760654492277473</v>
      </c>
      <c r="BL195" s="1062">
        <f t="shared" si="1846"/>
        <v>0.93885392831411918</v>
      </c>
      <c r="BM195" s="1062">
        <f t="shared" si="1846"/>
        <v>0.95456876796714574</v>
      </c>
      <c r="BN195" s="1368">
        <f t="shared" ref="BN195:BO195" si="1847">+BN191/BN178</f>
        <v>0.95401657632172587</v>
      </c>
      <c r="BO195" s="1368">
        <f t="shared" si="1847"/>
        <v>0.95298461684105373</v>
      </c>
      <c r="BP195" s="1368">
        <f t="shared" ref="BP195" si="1848">+BP191/BP178</f>
        <v>0.95320407399080753</v>
      </c>
      <c r="BR195" s="1425"/>
      <c r="BS195" s="1425"/>
      <c r="BT195" s="1425"/>
      <c r="BU195" s="1263"/>
    </row>
    <row r="196" spans="1:73" s="1014" customFormat="1" ht="12" customHeight="1" collapsed="1">
      <c r="A196" s="1695"/>
      <c r="B196" s="1008"/>
      <c r="C196" s="1008"/>
      <c r="D196" s="1008"/>
      <c r="E196" s="1009"/>
      <c r="F196" s="1008"/>
      <c r="G196" s="1008"/>
      <c r="H196" s="1008"/>
      <c r="I196" s="1009"/>
      <c r="J196" s="1010"/>
      <c r="K196" s="1008"/>
      <c r="L196" s="1008"/>
      <c r="M196" s="1009"/>
      <c r="N196" s="1008"/>
      <c r="O196" s="1008"/>
      <c r="P196" s="1008"/>
      <c r="Q196" s="1009"/>
      <c r="R196" s="984"/>
      <c r="S196" s="984"/>
      <c r="T196" s="1008"/>
      <c r="U196" s="985"/>
      <c r="V196" s="984"/>
      <c r="W196" s="984"/>
      <c r="X196" s="1008"/>
      <c r="Y196" s="985"/>
      <c r="Z196" s="1270"/>
      <c r="AA196" s="1015"/>
      <c r="AB196" s="1008"/>
      <c r="AC196" s="1016"/>
      <c r="AD196" s="1015"/>
      <c r="AE196" s="1015"/>
      <c r="AF196" s="1008"/>
      <c r="AG196" s="1016"/>
      <c r="AH196" s="1015"/>
      <c r="AI196" s="1015"/>
      <c r="AJ196" s="1015"/>
      <c r="AK196" s="1016"/>
      <c r="AL196" s="1015"/>
      <c r="AM196" s="1015"/>
      <c r="AN196" s="1015"/>
      <c r="AO196" s="1016"/>
      <c r="AP196" s="1015"/>
      <c r="AQ196" s="1015"/>
      <c r="AR196" s="1015"/>
      <c r="AS196" s="1016"/>
      <c r="AT196" s="1015"/>
      <c r="AU196" s="1015"/>
      <c r="AV196" s="1015"/>
      <c r="AW196" s="1016"/>
      <c r="AX196" s="1015"/>
      <c r="AY196" s="1015"/>
      <c r="AZ196" s="1015"/>
      <c r="BA196" s="1016"/>
      <c r="BB196" s="1013"/>
      <c r="BC196" s="846"/>
      <c r="BD196" s="1011"/>
      <c r="BE196" s="1011"/>
      <c r="BF196" s="1017"/>
      <c r="BG196" s="1017"/>
      <c r="BH196" s="1017"/>
      <c r="BI196" s="1017"/>
      <c r="BJ196" s="1017"/>
      <c r="BK196" s="1017"/>
      <c r="BL196" s="1062"/>
      <c r="BM196" s="1062"/>
      <c r="BN196" s="1368"/>
      <c r="BO196" s="1368"/>
      <c r="BP196" s="1368"/>
      <c r="BR196" s="1425"/>
      <c r="BS196" s="1425"/>
      <c r="BT196" s="1425"/>
      <c r="BU196" s="1263"/>
    </row>
    <row r="197" spans="1:73" s="1014" customFormat="1" ht="12" customHeight="1">
      <c r="A197" s="1063" t="s">
        <v>719</v>
      </c>
      <c r="B197" s="1058"/>
      <c r="C197" s="1058"/>
      <c r="D197" s="1058"/>
      <c r="E197" s="1059"/>
      <c r="F197" s="1067"/>
      <c r="G197" s="1067"/>
      <c r="H197" s="1067"/>
      <c r="I197" s="1068"/>
      <c r="J197" s="1067"/>
      <c r="K197" s="1067"/>
      <c r="L197" s="1067"/>
      <c r="M197" s="1068"/>
      <c r="N197" s="1067"/>
      <c r="O197" s="1067"/>
      <c r="P197" s="1067"/>
      <c r="Q197" s="1068"/>
      <c r="R197" s="1067"/>
      <c r="S197" s="1067"/>
      <c r="T197" s="1067"/>
      <c r="U197" s="1068"/>
      <c r="V197" s="1058"/>
      <c r="W197" s="1959"/>
      <c r="X197" s="1959"/>
      <c r="Y197" s="1960"/>
      <c r="Z197" s="1961"/>
      <c r="AA197" s="1959"/>
      <c r="AB197" s="1959"/>
      <c r="AC197" s="1960"/>
      <c r="AD197" s="1959">
        <v>419</v>
      </c>
      <c r="AE197" s="1959">
        <v>368</v>
      </c>
      <c r="AF197" s="1959">
        <v>390</v>
      </c>
      <c r="AG197" s="1960">
        <v>414</v>
      </c>
      <c r="AH197" s="1959">
        <v>396</v>
      </c>
      <c r="AI197" s="1959">
        <v>365</v>
      </c>
      <c r="AJ197" s="1959">
        <v>412</v>
      </c>
      <c r="AK197" s="1960">
        <v>472</v>
      </c>
      <c r="AL197" s="1959">
        <v>513</v>
      </c>
      <c r="AM197" s="1959">
        <v>500</v>
      </c>
      <c r="AN197" s="1959">
        <v>549</v>
      </c>
      <c r="AO197" s="1960">
        <v>638</v>
      </c>
      <c r="AP197" s="1959">
        <v>651</v>
      </c>
      <c r="AQ197" s="1959">
        <v>616</v>
      </c>
      <c r="AR197" s="1058">
        <f t="shared" ref="AR197:BA197" si="1849">AR202-AR176</f>
        <v>581.74</v>
      </c>
      <c r="AS197" s="1059">
        <f>AS202-AS176</f>
        <v>674.94</v>
      </c>
      <c r="AT197" s="1058">
        <f t="shared" si="1849"/>
        <v>688.84000000000015</v>
      </c>
      <c r="AU197" s="1058">
        <f t="shared" si="1849"/>
        <v>649.98040000000015</v>
      </c>
      <c r="AV197" s="1058">
        <f t="shared" si="1849"/>
        <v>613.18503818283011</v>
      </c>
      <c r="AW197" s="1059">
        <f t="shared" si="1849"/>
        <v>708.81051716388106</v>
      </c>
      <c r="AX197" s="1058">
        <f t="shared" si="1849"/>
        <v>721.73004750804114</v>
      </c>
      <c r="AY197" s="1058">
        <f t="shared" si="1849"/>
        <v>679.09731344101078</v>
      </c>
      <c r="AZ197" s="1058">
        <f t="shared" si="1849"/>
        <v>639.72899698014942</v>
      </c>
      <c r="BA197" s="1059">
        <f t="shared" si="1849"/>
        <v>737.04470396176066</v>
      </c>
      <c r="BB197" s="1013"/>
      <c r="BC197" s="846"/>
      <c r="BD197" s="1083"/>
      <c r="BE197" s="1083"/>
      <c r="BF197" s="1083"/>
      <c r="BG197" s="1083"/>
      <c r="BH197" s="1083"/>
      <c r="BI197" s="1083">
        <f>SUM(V197:Y197)</f>
        <v>0</v>
      </c>
      <c r="BJ197" s="1083">
        <f>SUM(Z197:AC197)</f>
        <v>0</v>
      </c>
      <c r="BK197" s="1083">
        <f>SUM(AD197:AG197)</f>
        <v>1591</v>
      </c>
      <c r="BL197" s="1083">
        <f>SUM(AH197:AK197)</f>
        <v>1645</v>
      </c>
      <c r="BM197" s="1083">
        <f>SUM(AL197:AO197)</f>
        <v>2200</v>
      </c>
      <c r="BN197" s="1364">
        <f>SUM(AP197:AS197)</f>
        <v>2523.6800000000003</v>
      </c>
      <c r="BO197" s="1364">
        <f>SUM(AT197:AW197)</f>
        <v>2660.8159553467112</v>
      </c>
      <c r="BP197" s="1364">
        <f>SUM(AX197:BA197)</f>
        <v>2777.6010618909622</v>
      </c>
      <c r="BR197" s="1425"/>
      <c r="BS197" s="1425"/>
      <c r="BT197" s="1425"/>
      <c r="BU197" s="1263"/>
    </row>
    <row r="198" spans="1:73" s="1014" customFormat="1" ht="12" customHeight="1">
      <c r="A198" s="983" t="s">
        <v>181</v>
      </c>
      <c r="B198" s="999"/>
      <c r="C198" s="987"/>
      <c r="D198" s="987"/>
      <c r="E198" s="998"/>
      <c r="F198" s="999"/>
      <c r="G198" s="987"/>
      <c r="H198" s="987"/>
      <c r="I198" s="998"/>
      <c r="J198" s="999"/>
      <c r="K198" s="987"/>
      <c r="L198" s="987"/>
      <c r="M198" s="998"/>
      <c r="N198" s="999"/>
      <c r="O198" s="987"/>
      <c r="P198" s="987"/>
      <c r="Q198" s="998"/>
      <c r="R198" s="984"/>
      <c r="S198" s="984"/>
      <c r="T198" s="984"/>
      <c r="U198" s="985"/>
      <c r="V198" s="984"/>
      <c r="W198" s="984"/>
      <c r="X198" s="984"/>
      <c r="Y198" s="985"/>
      <c r="Z198" s="1270"/>
      <c r="AA198" s="984"/>
      <c r="AB198" s="984"/>
      <c r="AC198" s="985"/>
      <c r="AD198" s="984" t="str">
        <f t="shared" ref="AD198" si="1850">IF(ISERROR(AD197/Z197-1),"NA",AD197/Z197-1)</f>
        <v>NA</v>
      </c>
      <c r="AE198" s="984" t="str">
        <f t="shared" ref="AE198" si="1851">IF(ISERROR(AE197/AA197-1),"NA",AE197/AA197-1)</f>
        <v>NA</v>
      </c>
      <c r="AF198" s="984" t="str">
        <f t="shared" ref="AF198" si="1852">IF(ISERROR(AF197/AB197-1),"NA",AF197/AB197-1)</f>
        <v>NA</v>
      </c>
      <c r="AG198" s="985" t="str">
        <f t="shared" ref="AG198" si="1853">IF(ISERROR(AG197/AC197-1),"NA",AG197/AC197-1)</f>
        <v>NA</v>
      </c>
      <c r="AH198" s="984">
        <f t="shared" ref="AH198" si="1854">IF(ISERROR(AH197/AD197-1),"NA",AH197/AD197-1)</f>
        <v>-5.4892601431980936E-2</v>
      </c>
      <c r="AI198" s="984">
        <f t="shared" ref="AI198" si="1855">IF(ISERROR(AI197/AE197-1),"NA",AI197/AE197-1)</f>
        <v>-8.152173913043459E-3</v>
      </c>
      <c r="AJ198" s="990">
        <f t="shared" ref="AJ198" si="1856">IF(ISERROR(AJ197/AF197-1),"NA",AJ197/AF197-1)</f>
        <v>5.6410256410256432E-2</v>
      </c>
      <c r="AK198" s="985">
        <f t="shared" ref="AK198" si="1857">IF(ISERROR(AK197/AG197-1),"NA",AK197/AG197-1)</f>
        <v>0.14009661835748788</v>
      </c>
      <c r="AL198" s="984">
        <f t="shared" ref="AL198" si="1858">IF(ISERROR(AL197/AH197-1),"NA",AL197/AH197-1)</f>
        <v>0.29545454545454541</v>
      </c>
      <c r="AM198" s="984">
        <f t="shared" ref="AM198" si="1859">IF(ISERROR(AM197/AI197-1),"NA",AM197/AI197-1)</f>
        <v>0.36986301369863006</v>
      </c>
      <c r="AN198" s="984">
        <f t="shared" ref="AN198" si="1860">IF(ISERROR(AN197/AJ197-1),"NA",AN197/AJ197-1)</f>
        <v>0.33252427184466016</v>
      </c>
      <c r="AO198" s="985">
        <f t="shared" ref="AO198:AQ198" si="1861">IF(ISERROR(AO197/AK197-1),"NA",AO197/AK197-1)</f>
        <v>0.35169491525423724</v>
      </c>
      <c r="AP198" s="984">
        <f t="shared" si="1861"/>
        <v>0.26900584795321647</v>
      </c>
      <c r="AQ198" s="984">
        <f t="shared" si="1861"/>
        <v>0.23199999999999998</v>
      </c>
      <c r="AR198" s="984">
        <f>IF(ISERROR(AR197/AN197-1),"NA",AR197/AN197-1)</f>
        <v>5.9635701275045472E-2</v>
      </c>
      <c r="AS198" s="985">
        <f>IF(ISERROR(AS197/AO197-1),"NA",AS197/AO197-1)</f>
        <v>5.7899686520376248E-2</v>
      </c>
      <c r="AT198" s="984">
        <f t="shared" ref="AT198" si="1862">IF(ISERROR(AT197/AP197-1),"NA",AT197/AP197-1)</f>
        <v>5.8125960061444104E-2</v>
      </c>
      <c r="AU198" s="984">
        <f t="shared" ref="AU198" si="1863">IF(ISERROR(AU197/AQ197-1),"NA",AU197/AQ197-1)</f>
        <v>5.5162987012987275E-2</v>
      </c>
      <c r="AV198" s="984">
        <f t="shared" ref="AV198" si="1864">IF(ISERROR(AV197/AR197-1),"NA",AV197/AR197-1)</f>
        <v>5.4053422805428797E-2</v>
      </c>
      <c r="AW198" s="985">
        <f t="shared" ref="AW198" si="1865">IF(ISERROR(AW197/AS197-1),"NA",AW197/AS197-1)</f>
        <v>5.0183004658015617E-2</v>
      </c>
      <c r="AX198" s="984">
        <f t="shared" ref="AX198" si="1866">IF(ISERROR(AX197/AT197-1),"NA",AX197/AT197-1)</f>
        <v>4.77470058475713E-2</v>
      </c>
      <c r="AY198" s="984">
        <f t="shared" ref="AY198" si="1867">IF(ISERROR(AY197/AU197-1),"NA",AY197/AU197-1)</f>
        <v>4.4796602237560768E-2</v>
      </c>
      <c r="AZ198" s="984">
        <f t="shared" ref="AZ198" si="1868">IF(ISERROR(AZ197/AV197-1),"NA",AZ197/AV197-1)</f>
        <v>4.3288660264741763E-2</v>
      </c>
      <c r="BA198" s="985">
        <f t="shared" ref="BA198" si="1869">IF(ISERROR(BA197/AW197-1),"NA",BA197/AW197-1)</f>
        <v>3.9833193941381184E-2</v>
      </c>
      <c r="BB198" s="1013"/>
      <c r="BC198" s="846"/>
      <c r="BD198" s="842"/>
      <c r="BE198" s="842"/>
      <c r="BF198" s="842"/>
      <c r="BG198" s="842"/>
      <c r="BH198" s="842"/>
      <c r="BI198" s="842" t="str">
        <f t="shared" ref="BI198" si="1870">IF(ISERROR(BI197/BH197-1),"NA",BI197/BH197-1)</f>
        <v>NA</v>
      </c>
      <c r="BJ198" s="842" t="str">
        <f t="shared" ref="BJ198" si="1871">IF(ISERROR(BJ197/BI197-1),"NA",BJ197/BI197-1)</f>
        <v>NA</v>
      </c>
      <c r="BK198" s="841" t="str">
        <f t="shared" ref="BK198" si="1872">IF(ISERROR(BK197/BJ197-1),"NA",BK197/BJ197-1)</f>
        <v>NA</v>
      </c>
      <c r="BL198" s="841">
        <f t="shared" ref="BL198" si="1873">IF(ISERROR(BL197/BK197-1),"NA",BL197/BK197-1)</f>
        <v>3.3940917661847925E-2</v>
      </c>
      <c r="BM198" s="841">
        <f t="shared" ref="BM198" si="1874">IF(ISERROR(BM197/BL197-1),"NA",BM197/BL197-1)</f>
        <v>0.33738601823708203</v>
      </c>
      <c r="BN198" s="1170">
        <f t="shared" ref="BN198" si="1875">IF(ISERROR(BN197/BM197-1),"NA",BN197/BM197-1)</f>
        <v>0.14712727272727277</v>
      </c>
      <c r="BO198" s="1170">
        <f t="shared" ref="BO198" si="1876">IF(ISERROR(BO197/BN197-1),"NA",BO197/BN197-1)</f>
        <v>5.4339676720785102E-2</v>
      </c>
      <c r="BP198" s="1170">
        <f t="shared" ref="BP198" si="1877">IF(ISERROR(BP197/BO197-1),"NA",BP197/BO197-1)</f>
        <v>4.3890711910975932E-2</v>
      </c>
      <c r="BR198" s="1425"/>
      <c r="BS198" s="1425"/>
      <c r="BT198" s="1425"/>
      <c r="BU198" s="1263"/>
    </row>
    <row r="199" spans="1:73" s="1014" customFormat="1" ht="12" customHeight="1">
      <c r="A199" s="983" t="s">
        <v>291</v>
      </c>
      <c r="B199" s="999"/>
      <c r="C199" s="987"/>
      <c r="D199" s="987"/>
      <c r="E199" s="998"/>
      <c r="F199" s="999"/>
      <c r="G199" s="987"/>
      <c r="H199" s="987"/>
      <c r="I199" s="998"/>
      <c r="J199" s="999"/>
      <c r="K199" s="987"/>
      <c r="L199" s="987"/>
      <c r="M199" s="998"/>
      <c r="N199" s="999"/>
      <c r="O199" s="987"/>
      <c r="P199" s="987"/>
      <c r="Q199" s="998"/>
      <c r="R199" s="984"/>
      <c r="S199" s="984"/>
      <c r="T199" s="984"/>
      <c r="U199" s="985"/>
      <c r="V199" s="984"/>
      <c r="W199" s="984"/>
      <c r="X199" s="984"/>
      <c r="Y199" s="985"/>
      <c r="Z199" s="1270"/>
      <c r="AA199" s="984"/>
      <c r="AB199" s="984"/>
      <c r="AC199" s="985"/>
      <c r="AD199" s="984" t="str">
        <f t="shared" ref="AD199" si="1878">IF(ISERROR(AD197/AC197-1),"NA",AD197/AC197-1)</f>
        <v>NA</v>
      </c>
      <c r="AE199" s="984">
        <f t="shared" ref="AE199" si="1879">IF(ISERROR(AE197/AD197-1),"NA",AE197/AD197-1)</f>
        <v>-0.12171837708830546</v>
      </c>
      <c r="AF199" s="984">
        <f t="shared" ref="AF199" si="1880">IF(ISERROR(AF197/AE197-1),"NA",AF197/AE197-1)</f>
        <v>5.9782608695652106E-2</v>
      </c>
      <c r="AG199" s="985">
        <f t="shared" ref="AG199" si="1881">IF(ISERROR(AG197/AF197-1),"NA",AG197/AF197-1)</f>
        <v>6.1538461538461542E-2</v>
      </c>
      <c r="AH199" s="984">
        <f t="shared" ref="AH199" si="1882">IF(ISERROR(AH197/AG197-1),"NA",AH197/AG197-1)</f>
        <v>-4.3478260869565188E-2</v>
      </c>
      <c r="AI199" s="984">
        <f t="shared" ref="AI199" si="1883">IF(ISERROR(AI197/AH197-1),"NA",AI197/AH197-1)</f>
        <v>-7.8282828282828287E-2</v>
      </c>
      <c r="AJ199" s="984">
        <f t="shared" ref="AJ199" si="1884">IF(ISERROR(AJ197/AI197-1),"NA",AJ197/AI197-1)</f>
        <v>0.12876712328767126</v>
      </c>
      <c r="AK199" s="985">
        <f t="shared" ref="AK199" si="1885">IF(ISERROR(AK197/AJ197-1),"NA",AK197/AJ197-1)</f>
        <v>0.14563106796116498</v>
      </c>
      <c r="AL199" s="984">
        <f t="shared" ref="AL199" si="1886">IF(ISERROR(AL197/AK197-1),"NA",AL197/AK197-1)</f>
        <v>8.6864406779661119E-2</v>
      </c>
      <c r="AM199" s="984">
        <f t="shared" ref="AM199" si="1887">IF(ISERROR(AM197/AL197-1),"NA",AM197/AL197-1)</f>
        <v>-2.5341130604288553E-2</v>
      </c>
      <c r="AN199" s="984">
        <f t="shared" ref="AN199" si="1888">IF(ISERROR(AN197/AM197-1),"NA",AN197/AM197-1)</f>
        <v>9.8000000000000087E-2</v>
      </c>
      <c r="AO199" s="985">
        <f t="shared" ref="AO199:AQ199" si="1889">IF(ISERROR(AO197/AN197-1),"NA",AO197/AN197-1)</f>
        <v>0.16211293260473592</v>
      </c>
      <c r="AP199" s="984">
        <f t="shared" si="1889"/>
        <v>2.0376175548589393E-2</v>
      </c>
      <c r="AQ199" s="984">
        <f t="shared" si="1889"/>
        <v>-5.3763440860215006E-2</v>
      </c>
      <c r="AR199" s="984">
        <f t="shared" ref="AR199" si="1890">IF(ISERROR(AR197/AQ197-1),"NA",AR197/AQ197-1)</f>
        <v>-5.5616883116883065E-2</v>
      </c>
      <c r="AS199" s="985">
        <f t="shared" ref="AS199" si="1891">IF(ISERROR(AS197/AR197-1),"NA",AS197/AR197-1)</f>
        <v>0.16020902808814941</v>
      </c>
      <c r="AT199" s="984">
        <f t="shared" ref="AT199" si="1892">IF(ISERROR(AT197/AS197-1),"NA",AT197/AS197-1)</f>
        <v>2.0594423207989099E-2</v>
      </c>
      <c r="AU199" s="984">
        <f t="shared" ref="AU199" si="1893">IF(ISERROR(AU197/AT197-1),"NA",AU197/AT197-1)</f>
        <v>-5.6413100284536277E-2</v>
      </c>
      <c r="AV199" s="984">
        <f t="shared" ref="AV199" si="1894">IF(ISERROR(AV197/AU197-1),"NA",AV197/AU197-1)</f>
        <v>-5.6609955957395042E-2</v>
      </c>
      <c r="AW199" s="985">
        <f t="shared" ref="AW199" si="1895">IF(ISERROR(AW197/AV197-1),"NA",AW197/AV197-1)</f>
        <v>0.15594881320724396</v>
      </c>
      <c r="AX199" s="984">
        <f t="shared" ref="AX199" si="1896">IF(ISERROR(AX197/AW197-1),"NA",AX197/AW197-1)</f>
        <v>1.8227057910842115E-2</v>
      </c>
      <c r="AY199" s="984">
        <f t="shared" ref="AY199" si="1897">IF(ISERROR(AY197/AX197-1),"NA",AY197/AX197-1)</f>
        <v>-5.9070194201046311E-2</v>
      </c>
      <c r="AZ199" s="984">
        <f t="shared" ref="AZ199" si="1898">IF(ISERROR(AZ197/AY197-1),"NA",AZ197/AY197-1)</f>
        <v>-5.7971539102961045E-2</v>
      </c>
      <c r="BA199" s="985">
        <f t="shared" ref="BA199" si="1899">IF(ISERROR(BA197/AZ197-1),"NA",BA197/AZ197-1)</f>
        <v>0.15212020627639444</v>
      </c>
      <c r="BB199" s="1013"/>
      <c r="BC199" s="846"/>
      <c r="BD199" s="989"/>
      <c r="BE199" s="989"/>
      <c r="BF199" s="989"/>
      <c r="BG199" s="841"/>
      <c r="BH199" s="841"/>
      <c r="BI199" s="989" t="s">
        <v>366</v>
      </c>
      <c r="BJ199" s="989" t="s">
        <v>366</v>
      </c>
      <c r="BK199" s="989" t="s">
        <v>366</v>
      </c>
      <c r="BL199" s="989" t="s">
        <v>366</v>
      </c>
      <c r="BM199" s="1046" t="s">
        <v>366</v>
      </c>
      <c r="BN199" s="1188" t="s">
        <v>366</v>
      </c>
      <c r="BO199" s="1188" t="s">
        <v>366</v>
      </c>
      <c r="BP199" s="1188" t="s">
        <v>366</v>
      </c>
      <c r="BR199" s="1425"/>
      <c r="BS199" s="1425"/>
      <c r="BT199" s="1425"/>
      <c r="BU199" s="1263"/>
    </row>
    <row r="200" spans="1:73" s="1014" customFormat="1" ht="12" customHeight="1">
      <c r="A200" s="983" t="s">
        <v>153</v>
      </c>
      <c r="B200" s="1008"/>
      <c r="C200" s="1008"/>
      <c r="D200" s="1008"/>
      <c r="E200" s="1009"/>
      <c r="F200" s="1008"/>
      <c r="G200" s="1008"/>
      <c r="H200" s="1008"/>
      <c r="I200" s="1009"/>
      <c r="J200" s="1010"/>
      <c r="K200" s="1008"/>
      <c r="L200" s="1010"/>
      <c r="M200" s="1009"/>
      <c r="N200" s="1008"/>
      <c r="O200" s="1008"/>
      <c r="P200" s="1008"/>
      <c r="Q200" s="1009"/>
      <c r="R200" s="984"/>
      <c r="S200" s="984"/>
      <c r="T200" s="984"/>
      <c r="U200" s="985"/>
      <c r="V200" s="984"/>
      <c r="W200" s="984"/>
      <c r="X200" s="984"/>
      <c r="Y200" s="985"/>
      <c r="Z200" s="1270"/>
      <c r="AA200" s="984"/>
      <c r="AB200" s="984"/>
      <c r="AC200" s="985"/>
      <c r="AD200" s="984">
        <f t="shared" ref="AD200:AO200" si="1900">+AD197/AD$6</f>
        <v>0.16134000770119369</v>
      </c>
      <c r="AE200" s="984">
        <f t="shared" si="1900"/>
        <v>0.12101282472870767</v>
      </c>
      <c r="AF200" s="984">
        <f t="shared" si="1900"/>
        <v>6.4805583250249252E-2</v>
      </c>
      <c r="AG200" s="985">
        <f t="shared" si="1900"/>
        <v>0.15265486725663716</v>
      </c>
      <c r="AH200" s="984">
        <f t="shared" si="1900"/>
        <v>0.13297515110812627</v>
      </c>
      <c r="AI200" s="984">
        <f t="shared" si="1900"/>
        <v>0.10779681039574719</v>
      </c>
      <c r="AJ200" s="984">
        <f t="shared" si="1900"/>
        <v>6.1154816683983974E-2</v>
      </c>
      <c r="AK200" s="985">
        <f t="shared" si="1900"/>
        <v>0.14824120603015073</v>
      </c>
      <c r="AL200" s="984">
        <f t="shared" si="1900"/>
        <v>0.15625951873286628</v>
      </c>
      <c r="AM200" s="984">
        <f t="shared" si="1900"/>
        <v>0.12616704516780217</v>
      </c>
      <c r="AN200" s="984">
        <f t="shared" si="1900"/>
        <v>7.0802166623678095E-2</v>
      </c>
      <c r="AO200" s="985">
        <f t="shared" si="1900"/>
        <v>0.16653615244061604</v>
      </c>
      <c r="AP200" s="984">
        <f t="shared" ref="AP200:AQ200" si="1901">+AP197/AP$6</f>
        <v>0.16756756756756758</v>
      </c>
      <c r="AQ200" s="984">
        <f t="shared" si="1901"/>
        <v>0.13244463556224467</v>
      </c>
      <c r="AR200" s="984">
        <f t="shared" ref="AR200:BA200" si="1902">+AR197/AR$6</f>
        <v>6.8532155592755911E-2</v>
      </c>
      <c r="AS200" s="985">
        <f t="shared" si="1902"/>
        <v>0.15871129084313171</v>
      </c>
      <c r="AT200" s="984">
        <f t="shared" si="1902"/>
        <v>0.15594141217485796</v>
      </c>
      <c r="AU200" s="984">
        <f t="shared" si="1902"/>
        <v>0.12260785080848595</v>
      </c>
      <c r="AV200" s="984">
        <f t="shared" si="1902"/>
        <v>6.5910716045091605E-2</v>
      </c>
      <c r="AW200" s="985">
        <f t="shared" si="1902"/>
        <v>0.14936558175791748</v>
      </c>
      <c r="AX200" s="984">
        <f t="shared" si="1902"/>
        <v>0.14497137695175888</v>
      </c>
      <c r="AY200" s="984">
        <f t="shared" si="1902"/>
        <v>0.11274984522733093</v>
      </c>
      <c r="AZ200" s="984">
        <f t="shared" si="1902"/>
        <v>6.248961906085243E-2</v>
      </c>
      <c r="BA200" s="985">
        <f t="shared" si="1902"/>
        <v>0.1382078278492134</v>
      </c>
      <c r="BB200" s="1013"/>
      <c r="BC200" s="846"/>
      <c r="BD200" s="1011"/>
      <c r="BE200" s="1011"/>
      <c r="BF200" s="1017"/>
      <c r="BG200" s="1017"/>
      <c r="BH200" s="1017"/>
      <c r="BI200" s="1017">
        <f t="shared" ref="BI200:BP200" si="1903">+BI197/BI$6</f>
        <v>0</v>
      </c>
      <c r="BJ200" s="1017">
        <f t="shared" si="1903"/>
        <v>0</v>
      </c>
      <c r="BK200" s="1017">
        <f t="shared" si="1903"/>
        <v>0.11073218262806236</v>
      </c>
      <c r="BL200" s="1017">
        <f t="shared" si="1903"/>
        <v>0.10101320233343568</v>
      </c>
      <c r="BM200" s="1062">
        <f t="shared" si="1903"/>
        <v>0.11682863363602571</v>
      </c>
      <c r="BN200" s="1368">
        <f t="shared" si="1903"/>
        <v>0.11860960542383463</v>
      </c>
      <c r="BO200" s="1368">
        <f t="shared" si="1903"/>
        <v>0.11195263263927903</v>
      </c>
      <c r="BP200" s="1368">
        <f t="shared" si="1903"/>
        <v>0.10453225697340938</v>
      </c>
      <c r="BR200" s="1425"/>
      <c r="BS200" s="1425"/>
      <c r="BT200" s="1425"/>
      <c r="BU200" s="1263"/>
    </row>
    <row r="201" spans="1:73" s="1014" customFormat="1" ht="12" customHeight="1">
      <c r="A201" s="1695"/>
      <c r="B201" s="1008"/>
      <c r="C201" s="1008"/>
      <c r="D201" s="1008"/>
      <c r="E201" s="1009"/>
      <c r="F201" s="1008"/>
      <c r="G201" s="1008"/>
      <c r="H201" s="1008"/>
      <c r="I201" s="1009"/>
      <c r="J201" s="1010"/>
      <c r="K201" s="1008"/>
      <c r="L201" s="1010"/>
      <c r="M201" s="1009"/>
      <c r="N201" s="1008"/>
      <c r="O201" s="1008"/>
      <c r="P201" s="1008"/>
      <c r="Q201" s="1009"/>
      <c r="R201" s="984"/>
      <c r="S201" s="984"/>
      <c r="T201" s="984"/>
      <c r="U201" s="985"/>
      <c r="V201" s="984"/>
      <c r="W201" s="984"/>
      <c r="X201" s="984"/>
      <c r="Y201" s="985"/>
      <c r="Z201" s="1270"/>
      <c r="AA201" s="1015"/>
      <c r="AB201" s="1015"/>
      <c r="AC201" s="1016"/>
      <c r="AD201" s="1015"/>
      <c r="AE201" s="1015"/>
      <c r="AF201" s="1015"/>
      <c r="AG201" s="1016"/>
      <c r="AH201" s="1015"/>
      <c r="AI201" s="1015"/>
      <c r="AJ201" s="1015"/>
      <c r="AK201" s="1016"/>
      <c r="AL201" s="1015"/>
      <c r="AM201" s="1015"/>
      <c r="AN201" s="1015"/>
      <c r="AO201" s="1016"/>
      <c r="AP201" s="1015"/>
      <c r="AQ201" s="1015"/>
      <c r="AR201" s="1015"/>
      <c r="AS201" s="1016"/>
      <c r="AT201" s="1015"/>
      <c r="AU201" s="1015"/>
      <c r="AV201" s="1015"/>
      <c r="AW201" s="1016"/>
      <c r="AX201" s="1015"/>
      <c r="AY201" s="1015"/>
      <c r="AZ201" s="1015"/>
      <c r="BA201" s="1016"/>
      <c r="BB201" s="1013"/>
      <c r="BC201" s="846"/>
      <c r="BD201" s="1011"/>
      <c r="BE201" s="1011"/>
      <c r="BF201" s="1017"/>
      <c r="BG201" s="1017"/>
      <c r="BH201" s="1017"/>
      <c r="BI201" s="1017"/>
      <c r="BJ201" s="1017"/>
      <c r="BK201" s="1017"/>
      <c r="BL201" s="1062"/>
      <c r="BM201" s="1062"/>
      <c r="BN201" s="1368"/>
      <c r="BO201" s="1368"/>
      <c r="BP201" s="1368"/>
      <c r="BR201" s="1425"/>
      <c r="BS201" s="1425"/>
      <c r="BT201" s="1425"/>
      <c r="BU201" s="1263"/>
    </row>
    <row r="202" spans="1:73" s="1014" customFormat="1" ht="12" customHeight="1">
      <c r="A202" s="2006" t="s">
        <v>716</v>
      </c>
      <c r="B202" s="1058"/>
      <c r="C202" s="1058"/>
      <c r="D202" s="1058"/>
      <c r="E202" s="1059"/>
      <c r="F202" s="1067"/>
      <c r="G202" s="1067"/>
      <c r="H202" s="1067"/>
      <c r="I202" s="1068"/>
      <c r="J202" s="1067"/>
      <c r="K202" s="1067"/>
      <c r="L202" s="1067"/>
      <c r="M202" s="1068"/>
      <c r="N202" s="1067"/>
      <c r="O202" s="1067"/>
      <c r="P202" s="1067"/>
      <c r="Q202" s="1068"/>
      <c r="R202" s="1067"/>
      <c r="S202" s="1067"/>
      <c r="T202" s="1067"/>
      <c r="U202" s="1068"/>
      <c r="V202" s="1058"/>
      <c r="W202" s="1959">
        <v>144</v>
      </c>
      <c r="X202" s="1959">
        <v>316</v>
      </c>
      <c r="Y202" s="1960">
        <v>405</v>
      </c>
      <c r="Z202" s="1961">
        <v>418</v>
      </c>
      <c r="AA202" s="1959">
        <v>444</v>
      </c>
      <c r="AB202" s="1959">
        <v>468</v>
      </c>
      <c r="AC202" s="1960">
        <v>475</v>
      </c>
      <c r="AD202" s="1959">
        <v>425</v>
      </c>
      <c r="AE202" s="1959">
        <v>375</v>
      </c>
      <c r="AF202" s="1959">
        <v>410</v>
      </c>
      <c r="AG202" s="1960">
        <v>424</v>
      </c>
      <c r="AH202" s="1959">
        <v>405</v>
      </c>
      <c r="AI202" s="1959">
        <v>375</v>
      </c>
      <c r="AJ202" s="1959">
        <v>443</v>
      </c>
      <c r="AK202" s="1960">
        <v>485</v>
      </c>
      <c r="AL202" s="1959">
        <v>524</v>
      </c>
      <c r="AM202" s="1959">
        <v>511</v>
      </c>
      <c r="AN202" s="1959">
        <v>579</v>
      </c>
      <c r="AO202" s="1960">
        <v>649</v>
      </c>
      <c r="AP202" s="1893">
        <f>AP197+AP176</f>
        <v>664</v>
      </c>
      <c r="AQ202" s="1058">
        <f>AQ197+AQ176</f>
        <v>629</v>
      </c>
      <c r="AR202" s="1058">
        <f t="shared" ref="AR202" si="1904">+AN202*(1+AR203)</f>
        <v>613.74</v>
      </c>
      <c r="AS202" s="1059">
        <f t="shared" ref="AS202" si="1905">+AO202*(1+AS203)</f>
        <v>687.94</v>
      </c>
      <c r="AT202" s="1058">
        <f>+AS202*(1+AT204)</f>
        <v>703.84000000000015</v>
      </c>
      <c r="AU202" s="1058">
        <f t="shared" ref="AU202:BA202" si="1906">+AT202*(1+AU204)</f>
        <v>664.98040000000015</v>
      </c>
      <c r="AV202" s="1058">
        <f t="shared" si="1906"/>
        <v>647.18503818283011</v>
      </c>
      <c r="AW202" s="1059">
        <f t="shared" si="1906"/>
        <v>723.81051716388106</v>
      </c>
      <c r="AX202" s="1058">
        <f t="shared" si="1906"/>
        <v>738.73004750804114</v>
      </c>
      <c r="AY202" s="1058">
        <f t="shared" si="1906"/>
        <v>696.09731344101078</v>
      </c>
      <c r="AZ202" s="1058">
        <f t="shared" si="1906"/>
        <v>675.72899698014942</v>
      </c>
      <c r="BA202" s="1059">
        <f t="shared" si="1906"/>
        <v>754.04470396176066</v>
      </c>
      <c r="BB202" s="1013"/>
      <c r="BC202" s="846"/>
      <c r="BD202" s="1083"/>
      <c r="BE202" s="1083"/>
      <c r="BF202" s="1083"/>
      <c r="BG202" s="1083"/>
      <c r="BH202" s="1083"/>
      <c r="BI202" s="1083">
        <f>SUM(V202:Y202)</f>
        <v>865</v>
      </c>
      <c r="BJ202" s="1083">
        <f>SUM(Z202:AC202)</f>
        <v>1805</v>
      </c>
      <c r="BK202" s="1083">
        <f>SUM(AD202:AG202)</f>
        <v>1634</v>
      </c>
      <c r="BL202" s="1083">
        <f>SUM(AH202:AK202)</f>
        <v>1708</v>
      </c>
      <c r="BM202" s="1083">
        <f>SUM(AL202:AO202)</f>
        <v>2263</v>
      </c>
      <c r="BN202" s="1364">
        <f>SUM(AP202:AS202)</f>
        <v>2594.6800000000003</v>
      </c>
      <c r="BO202" s="1364">
        <f>SUM(AT202:AW202)</f>
        <v>2739.8159553467112</v>
      </c>
      <c r="BP202" s="1364">
        <f>SUM(AX202:BA202)</f>
        <v>2864.6010618909622</v>
      </c>
      <c r="BR202" s="1425"/>
      <c r="BS202" s="1425"/>
      <c r="BT202" s="1425"/>
      <c r="BU202" s="1263"/>
    </row>
    <row r="203" spans="1:73" s="1014" customFormat="1" ht="12" customHeight="1">
      <c r="A203" s="1064" t="s">
        <v>181</v>
      </c>
      <c r="B203" s="999"/>
      <c r="C203" s="987"/>
      <c r="D203" s="987"/>
      <c r="E203" s="998"/>
      <c r="F203" s="999"/>
      <c r="G203" s="987"/>
      <c r="H203" s="987"/>
      <c r="I203" s="998"/>
      <c r="J203" s="999"/>
      <c r="K203" s="987"/>
      <c r="L203" s="987"/>
      <c r="M203" s="998"/>
      <c r="N203" s="999"/>
      <c r="O203" s="987"/>
      <c r="P203" s="987"/>
      <c r="Q203" s="998"/>
      <c r="R203" s="984"/>
      <c r="S203" s="984"/>
      <c r="T203" s="984"/>
      <c r="U203" s="985"/>
      <c r="V203" s="984"/>
      <c r="W203" s="984" t="str">
        <f t="shared" ref="W203" si="1907">IF(ISERROR(W202/S202-1),"NA",W202/S202-1)</f>
        <v>NA</v>
      </c>
      <c r="X203" s="984" t="str">
        <f t="shared" ref="X203" si="1908">IF(ISERROR(X202/T202-1),"NA",X202/T202-1)</f>
        <v>NA</v>
      </c>
      <c r="Y203" s="985" t="str">
        <f t="shared" ref="Y203:AQ203" si="1909">IF(ISERROR(Y202/U202-1),"NA",Y202/U202-1)</f>
        <v>NA</v>
      </c>
      <c r="Z203" s="1270" t="str">
        <f t="shared" si="1909"/>
        <v>NA</v>
      </c>
      <c r="AA203" s="984">
        <f t="shared" si="1909"/>
        <v>2.0833333333333335</v>
      </c>
      <c r="AB203" s="984">
        <f t="shared" si="1909"/>
        <v>0.481012658227848</v>
      </c>
      <c r="AC203" s="985">
        <f t="shared" si="1909"/>
        <v>0.17283950617283961</v>
      </c>
      <c r="AD203" s="984">
        <f t="shared" si="1909"/>
        <v>1.674641148325362E-2</v>
      </c>
      <c r="AE203" s="984">
        <f t="shared" si="1909"/>
        <v>-0.15540540540540537</v>
      </c>
      <c r="AF203" s="984">
        <f t="shared" si="1909"/>
        <v>-0.12393162393162394</v>
      </c>
      <c r="AG203" s="985">
        <f t="shared" si="1909"/>
        <v>-0.10736842105263156</v>
      </c>
      <c r="AH203" s="984">
        <f t="shared" si="1909"/>
        <v>-4.705882352941182E-2</v>
      </c>
      <c r="AI203" s="984">
        <f t="shared" si="1909"/>
        <v>0</v>
      </c>
      <c r="AJ203" s="990">
        <f t="shared" si="1909"/>
        <v>8.0487804878048852E-2</v>
      </c>
      <c r="AK203" s="985">
        <f t="shared" si="1909"/>
        <v>0.14386792452830188</v>
      </c>
      <c r="AL203" s="984">
        <f t="shared" si="1909"/>
        <v>0.29382716049382718</v>
      </c>
      <c r="AM203" s="984">
        <f t="shared" si="1909"/>
        <v>0.36266666666666669</v>
      </c>
      <c r="AN203" s="984">
        <f t="shared" si="1909"/>
        <v>0.30699774266365698</v>
      </c>
      <c r="AO203" s="985">
        <f t="shared" si="1909"/>
        <v>0.33814432989690713</v>
      </c>
      <c r="AP203" s="984">
        <f t="shared" si="1909"/>
        <v>0.26717557251908386</v>
      </c>
      <c r="AQ203" s="984">
        <f t="shared" si="1909"/>
        <v>0.23091976516634061</v>
      </c>
      <c r="AR203" s="1069">
        <v>0.06</v>
      </c>
      <c r="AS203" s="1070">
        <v>0.06</v>
      </c>
      <c r="AT203" s="1015">
        <f>IF(ISERROR(AT202/AP202-1),"NA",AT202/AP202-1)</f>
        <v>6.0000000000000275E-2</v>
      </c>
      <c r="AU203" s="1015">
        <f t="shared" ref="AU203" si="1910">IF(ISERROR(AU202/AQ202-1),"NA",AU202/AQ202-1)</f>
        <v>5.7202543720191068E-2</v>
      </c>
      <c r="AV203" s="1015">
        <f t="shared" ref="AV203" si="1911">IF(ISERROR(AV202/AR202-1),"NA",AV202/AR202-1)</f>
        <v>5.4493821785821517E-2</v>
      </c>
      <c r="AW203" s="1016">
        <f t="shared" ref="AW203" si="1912">IF(ISERROR(AW202/AS202-1),"NA",AW202/AS202-1)</f>
        <v>5.2141926859727628E-2</v>
      </c>
      <c r="AX203" s="1015">
        <f t="shared" ref="AX203" si="1913">IF(ISERROR(AX202/AT202-1),"NA",AX202/AT202-1)</f>
        <v>4.9570992708628303E-2</v>
      </c>
      <c r="AY203" s="1015">
        <f t="shared" ref="AY203" si="1914">IF(ISERROR(AY202/AU202-1),"NA",AY202/AU202-1)</f>
        <v>4.6793730222741248E-2</v>
      </c>
      <c r="AZ203" s="1015">
        <f t="shared" ref="AZ203" si="1915">IF(ISERROR(AZ202/AV202-1),"NA",AZ202/AV202-1)</f>
        <v>4.4104787832341064E-2</v>
      </c>
      <c r="BA203" s="1016">
        <f t="shared" ref="BA203" si="1916">IF(ISERROR(BA202/AW202-1),"NA",BA202/AW202-1)</f>
        <v>4.1770858644534004E-2</v>
      </c>
      <c r="BB203" s="1013"/>
      <c r="BC203" s="846"/>
      <c r="BD203" s="842"/>
      <c r="BE203" s="842"/>
      <c r="BF203" s="842"/>
      <c r="BG203" s="842"/>
      <c r="BH203" s="842"/>
      <c r="BI203" s="842" t="str">
        <f t="shared" ref="BI203" si="1917">IF(ISERROR(BI202/BH202-1),"NA",BI202/BH202-1)</f>
        <v>NA</v>
      </c>
      <c r="BJ203" s="842">
        <f t="shared" ref="BJ203" si="1918">IF(ISERROR(BJ202/BI202-1),"NA",BJ202/BI202-1)</f>
        <v>1.0867052023121389</v>
      </c>
      <c r="BK203" s="841">
        <f t="shared" ref="BK203" si="1919">IF(ISERROR(BK202/BJ202-1),"NA",BK202/BJ202-1)</f>
        <v>-9.4736842105263119E-2</v>
      </c>
      <c r="BL203" s="841">
        <f t="shared" ref="BL203:BP203" si="1920">IF(ISERROR(BL202/BK202-1),"NA",BL202/BK202-1)</f>
        <v>4.5287637698898431E-2</v>
      </c>
      <c r="BM203" s="841">
        <f t="shared" si="1920"/>
        <v>0.3249414519906324</v>
      </c>
      <c r="BN203" s="1170">
        <f t="shared" si="1920"/>
        <v>0.14656650463985876</v>
      </c>
      <c r="BO203" s="1170">
        <f t="shared" si="1920"/>
        <v>5.5935974897371121E-2</v>
      </c>
      <c r="BP203" s="1170">
        <f t="shared" si="1920"/>
        <v>4.5545068930902044E-2</v>
      </c>
      <c r="BR203" s="1425"/>
      <c r="BS203" s="1425"/>
      <c r="BT203" s="1425"/>
      <c r="BU203" s="1263"/>
    </row>
    <row r="204" spans="1:73" s="1014" customFormat="1" ht="12" customHeight="1">
      <c r="A204" s="1064" t="s">
        <v>291</v>
      </c>
      <c r="B204" s="999"/>
      <c r="C204" s="987"/>
      <c r="D204" s="987"/>
      <c r="E204" s="998"/>
      <c r="F204" s="999"/>
      <c r="G204" s="987"/>
      <c r="H204" s="987"/>
      <c r="I204" s="998"/>
      <c r="J204" s="999"/>
      <c r="K204" s="987"/>
      <c r="L204" s="987"/>
      <c r="M204" s="998"/>
      <c r="N204" s="999"/>
      <c r="O204" s="987"/>
      <c r="P204" s="987"/>
      <c r="Q204" s="998"/>
      <c r="R204" s="984"/>
      <c r="S204" s="984"/>
      <c r="T204" s="984"/>
      <c r="U204" s="985"/>
      <c r="V204" s="984"/>
      <c r="W204" s="984" t="str">
        <f t="shared" ref="W204" si="1921">IF(ISERROR(W202/V202-1),"NA",W202/V202-1)</f>
        <v>NA</v>
      </c>
      <c r="X204" s="984">
        <f t="shared" ref="X204" si="1922">IF(ISERROR(X202/W202-1),"NA",X202/W202-1)</f>
        <v>1.1944444444444446</v>
      </c>
      <c r="Y204" s="985">
        <f t="shared" ref="Y204:AQ204" si="1923">IF(ISERROR(Y202/X202-1),"NA",Y202/X202-1)</f>
        <v>0.28164556962025311</v>
      </c>
      <c r="Z204" s="1270">
        <f t="shared" si="1923"/>
        <v>3.2098765432098775E-2</v>
      </c>
      <c r="AA204" s="984">
        <f t="shared" si="1923"/>
        <v>6.2200956937799035E-2</v>
      </c>
      <c r="AB204" s="984">
        <f t="shared" si="1923"/>
        <v>5.4054054054053946E-2</v>
      </c>
      <c r="AC204" s="985">
        <f t="shared" si="1923"/>
        <v>1.4957264957264904E-2</v>
      </c>
      <c r="AD204" s="984">
        <f t="shared" ref="AD204" si="1924">IF(ISERROR(AD202/AC202-1),"NA",AD202/AC202-1)</f>
        <v>-0.10526315789473684</v>
      </c>
      <c r="AE204" s="984">
        <f t="shared" si="1923"/>
        <v>-0.11764705882352944</v>
      </c>
      <c r="AF204" s="984">
        <f t="shared" si="1923"/>
        <v>9.3333333333333268E-2</v>
      </c>
      <c r="AG204" s="985">
        <f t="shared" si="1923"/>
        <v>3.4146341463414664E-2</v>
      </c>
      <c r="AH204" s="984">
        <f t="shared" si="1923"/>
        <v>-4.4811320754716943E-2</v>
      </c>
      <c r="AI204" s="984">
        <f t="shared" si="1923"/>
        <v>-7.407407407407407E-2</v>
      </c>
      <c r="AJ204" s="984">
        <f t="shared" si="1923"/>
        <v>0.18133333333333335</v>
      </c>
      <c r="AK204" s="985">
        <f t="shared" si="1923"/>
        <v>9.4808126410835136E-2</v>
      </c>
      <c r="AL204" s="984">
        <f t="shared" si="1923"/>
        <v>8.0412371134020555E-2</v>
      </c>
      <c r="AM204" s="984">
        <f t="shared" ref="AM204" si="1925">IF(ISERROR(AM202/AL202-1),"NA",AM202/AL202-1)</f>
        <v>-2.4809160305343525E-2</v>
      </c>
      <c r="AN204" s="984">
        <f t="shared" si="1923"/>
        <v>0.13307240704500978</v>
      </c>
      <c r="AO204" s="985">
        <f t="shared" si="1923"/>
        <v>0.12089810017271163</v>
      </c>
      <c r="AP204" s="984">
        <f t="shared" si="1923"/>
        <v>2.3112480739599484E-2</v>
      </c>
      <c r="AQ204" s="984">
        <f t="shared" si="1923"/>
        <v>-5.2710843373493965E-2</v>
      </c>
      <c r="AR204" s="984">
        <f t="shared" ref="AR204" si="1926">IF(ISERROR(AR202/AQ202-1),"NA",AR202/AQ202-1)</f>
        <v>-2.4260731319554862E-2</v>
      </c>
      <c r="AS204" s="985">
        <f t="shared" ref="AS204" si="1927">IF(ISERROR(AS202/AR202-1),"NA",AS202/AR202-1)</f>
        <v>0.12089810017271163</v>
      </c>
      <c r="AT204" s="1069">
        <f>+AP204</f>
        <v>2.3112480739599484E-2</v>
      </c>
      <c r="AU204" s="1069">
        <f>+AQ204-0.0025</f>
        <v>-5.5210843373493967E-2</v>
      </c>
      <c r="AV204" s="1069">
        <f t="shared" ref="AV204:BA204" si="1928">+AR204-0.0025</f>
        <v>-2.6760731319554861E-2</v>
      </c>
      <c r="AW204" s="1070">
        <f t="shared" si="1928"/>
        <v>0.11839810017271163</v>
      </c>
      <c r="AX204" s="1069">
        <f t="shared" si="1928"/>
        <v>2.0612480739599485E-2</v>
      </c>
      <c r="AY204" s="1069">
        <f t="shared" si="1928"/>
        <v>-5.771084337349397E-2</v>
      </c>
      <c r="AZ204" s="1069">
        <f t="shared" si="1928"/>
        <v>-2.926073131955486E-2</v>
      </c>
      <c r="BA204" s="1070">
        <f t="shared" si="1928"/>
        <v>0.11589810017271163</v>
      </c>
      <c r="BB204" s="1013"/>
      <c r="BC204" s="846"/>
      <c r="BD204" s="989"/>
      <c r="BE204" s="989"/>
      <c r="BF204" s="989"/>
      <c r="BG204" s="841"/>
      <c r="BH204" s="841"/>
      <c r="BI204" s="989" t="s">
        <v>366</v>
      </c>
      <c r="BJ204" s="989" t="s">
        <v>366</v>
      </c>
      <c r="BK204" s="989" t="s">
        <v>366</v>
      </c>
      <c r="BL204" s="989" t="s">
        <v>366</v>
      </c>
      <c r="BM204" s="1046" t="s">
        <v>366</v>
      </c>
      <c r="BN204" s="1188" t="s">
        <v>366</v>
      </c>
      <c r="BO204" s="1188" t="s">
        <v>366</v>
      </c>
      <c r="BP204" s="1188" t="s">
        <v>366</v>
      </c>
      <c r="BR204" s="1425"/>
      <c r="BS204" s="1425"/>
      <c r="BT204" s="1425"/>
      <c r="BU204" s="1263"/>
    </row>
    <row r="205" spans="1:73" s="1014" customFormat="1" ht="12" customHeight="1">
      <c r="A205" s="1064" t="s">
        <v>153</v>
      </c>
      <c r="B205" s="1008"/>
      <c r="C205" s="1008"/>
      <c r="D205" s="1008"/>
      <c r="E205" s="1009"/>
      <c r="F205" s="1008"/>
      <c r="G205" s="1008"/>
      <c r="H205" s="1008"/>
      <c r="I205" s="1009"/>
      <c r="J205" s="1010"/>
      <c r="K205" s="1008"/>
      <c r="L205" s="1010"/>
      <c r="M205" s="1009"/>
      <c r="N205" s="1008"/>
      <c r="O205" s="1008"/>
      <c r="P205" s="1008"/>
      <c r="Q205" s="1009"/>
      <c r="R205" s="984"/>
      <c r="S205" s="984"/>
      <c r="T205" s="984"/>
      <c r="U205" s="985"/>
      <c r="V205" s="984"/>
      <c r="W205" s="984">
        <f t="shared" ref="W205:BA205" si="1929">+W202/W$6</f>
        <v>9.1370558375634514E-2</v>
      </c>
      <c r="X205" s="984">
        <f t="shared" si="1929"/>
        <v>7.5724898154804696E-2</v>
      </c>
      <c r="Y205" s="985">
        <f t="shared" si="1929"/>
        <v>0.15814135103475205</v>
      </c>
      <c r="Z205" s="1270">
        <f t="shared" si="1929"/>
        <v>0.20827105132037868</v>
      </c>
      <c r="AA205" s="984">
        <f t="shared" si="1929"/>
        <v>0.16610549943883277</v>
      </c>
      <c r="AB205" s="984">
        <f t="shared" si="1929"/>
        <v>8.3096590909090925E-2</v>
      </c>
      <c r="AC205" s="985">
        <f t="shared" si="1929"/>
        <v>0.19676884838442418</v>
      </c>
      <c r="AD205" s="984">
        <f t="shared" si="1929"/>
        <v>0.16365036580670003</v>
      </c>
      <c r="AE205" s="984">
        <f t="shared" si="1929"/>
        <v>0.12331469911213416</v>
      </c>
      <c r="AF205" s="984">
        <f t="shared" si="1929"/>
        <v>6.8128946493851775E-2</v>
      </c>
      <c r="AG205" s="985">
        <f t="shared" si="1929"/>
        <v>0.15634218289085547</v>
      </c>
      <c r="AH205" s="984">
        <f t="shared" si="1929"/>
        <v>0.13599731363331094</v>
      </c>
      <c r="AI205" s="984">
        <f t="shared" si="1929"/>
        <v>0.11075014766686356</v>
      </c>
      <c r="AJ205" s="984">
        <f t="shared" si="1929"/>
        <v>6.5756271337390537E-2</v>
      </c>
      <c r="AK205" s="985">
        <f t="shared" si="1929"/>
        <v>0.15232412060301506</v>
      </c>
      <c r="AL205" s="984">
        <f t="shared" si="1929"/>
        <v>0.15961011270179715</v>
      </c>
      <c r="AM205" s="984">
        <f t="shared" si="1929"/>
        <v>0.12894272016149383</v>
      </c>
      <c r="AN205" s="984">
        <f t="shared" si="1929"/>
        <v>7.467113747743101E-2</v>
      </c>
      <c r="AO205" s="985">
        <f t="shared" ref="AO205:AQ205" si="1930">+AO202/AO$6</f>
        <v>0.16940746541373009</v>
      </c>
      <c r="AP205" s="984">
        <f t="shared" si="1930"/>
        <v>0.17091377091377091</v>
      </c>
      <c r="AQ205" s="984">
        <f t="shared" si="1930"/>
        <v>0.13523973339066866</v>
      </c>
      <c r="AR205" s="984">
        <f t="shared" si="1929"/>
        <v>7.2301930713889392E-2</v>
      </c>
      <c r="AS205" s="985">
        <f t="shared" si="1929"/>
        <v>0.16176822446828465</v>
      </c>
      <c r="AT205" s="984">
        <f t="shared" si="1929"/>
        <v>0.15933715165372514</v>
      </c>
      <c r="AU205" s="984">
        <f t="shared" si="1929"/>
        <v>0.12543734807044538</v>
      </c>
      <c r="AV205" s="984">
        <f t="shared" si="1929"/>
        <v>6.9565345897402098E-2</v>
      </c>
      <c r="AW205" s="985">
        <f t="shared" si="1929"/>
        <v>0.15252648819499104</v>
      </c>
      <c r="AX205" s="984">
        <f t="shared" si="1929"/>
        <v>0.14838610717767822</v>
      </c>
      <c r="AY205" s="984">
        <f t="shared" si="1929"/>
        <v>0.1155723381615945</v>
      </c>
      <c r="AZ205" s="984">
        <f t="shared" si="1929"/>
        <v>6.6006149180340659E-2</v>
      </c>
      <c r="BA205" s="985">
        <f t="shared" si="1929"/>
        <v>0.14139560338142662</v>
      </c>
      <c r="BB205" s="1013"/>
      <c r="BC205" s="846"/>
      <c r="BD205" s="1011"/>
      <c r="BE205" s="1011"/>
      <c r="BF205" s="1017"/>
      <c r="BG205" s="1017"/>
      <c r="BH205" s="1017"/>
      <c r="BI205" s="1017">
        <f t="shared" ref="BI205:BP205" si="1931">+BI202/BI$6</f>
        <v>8.9795494653794244E-2</v>
      </c>
      <c r="BJ205" s="1017">
        <f t="shared" si="1931"/>
        <v>0.14183561213264184</v>
      </c>
      <c r="BK205" s="1017">
        <f t="shared" si="1931"/>
        <v>0.1137249443207127</v>
      </c>
      <c r="BL205" s="1017">
        <f t="shared" si="1931"/>
        <v>0.10488179306109917</v>
      </c>
      <c r="BM205" s="1062">
        <f t="shared" si="1931"/>
        <v>0.12017418087196644</v>
      </c>
      <c r="BN205" s="1368">
        <f t="shared" si="1931"/>
        <v>0.12194651104780131</v>
      </c>
      <c r="BO205" s="1368">
        <f t="shared" si="1931"/>
        <v>0.1152765220502438</v>
      </c>
      <c r="BP205" s="1368">
        <f t="shared" si="1931"/>
        <v>0.10780641555631808</v>
      </c>
      <c r="BR205" s="1425"/>
      <c r="BS205" s="1425"/>
      <c r="BT205" s="1425"/>
      <c r="BU205" s="1263"/>
    </row>
    <row r="206" spans="1:73" s="1014" customFormat="1" ht="12" customHeight="1">
      <c r="A206" s="1695"/>
      <c r="B206" s="1008"/>
      <c r="C206" s="1008"/>
      <c r="D206" s="1008"/>
      <c r="E206" s="1009"/>
      <c r="F206" s="1008"/>
      <c r="G206" s="1008"/>
      <c r="H206" s="1008"/>
      <c r="I206" s="1009"/>
      <c r="J206" s="1010"/>
      <c r="K206" s="1008"/>
      <c r="L206" s="1010"/>
      <c r="M206" s="1009"/>
      <c r="N206" s="1008"/>
      <c r="O206" s="1008"/>
      <c r="P206" s="1008"/>
      <c r="Q206" s="1009"/>
      <c r="R206" s="984"/>
      <c r="S206" s="984"/>
      <c r="T206" s="984"/>
      <c r="U206" s="985"/>
      <c r="V206" s="984"/>
      <c r="W206" s="984"/>
      <c r="X206" s="984"/>
      <c r="Y206" s="985"/>
      <c r="Z206" s="1270"/>
      <c r="AA206" s="1015"/>
      <c r="AB206" s="1015"/>
      <c r="AC206" s="1016"/>
      <c r="AD206" s="1015"/>
      <c r="AE206" s="1015"/>
      <c r="AF206" s="1015"/>
      <c r="AG206" s="1016"/>
      <c r="AH206" s="1015"/>
      <c r="AI206" s="1015"/>
      <c r="AJ206" s="1015"/>
      <c r="AK206" s="1016"/>
      <c r="AL206" s="1015"/>
      <c r="AM206" s="1015"/>
      <c r="AN206" s="1015"/>
      <c r="AO206" s="1016"/>
      <c r="AP206" s="1015"/>
      <c r="AQ206" s="1015"/>
      <c r="AR206" s="1015"/>
      <c r="AS206" s="1016"/>
      <c r="AT206" s="1015"/>
      <c r="AU206" s="1015"/>
      <c r="AV206" s="1015"/>
      <c r="AW206" s="1016"/>
      <c r="AX206" s="1015"/>
      <c r="AY206" s="1015"/>
      <c r="AZ206" s="1015"/>
      <c r="BA206" s="1016"/>
      <c r="BB206" s="1013"/>
      <c r="BC206" s="846"/>
      <c r="BD206" s="1011"/>
      <c r="BE206" s="1011"/>
      <c r="BF206" s="1017"/>
      <c r="BG206" s="1017"/>
      <c r="BH206" s="1017"/>
      <c r="BI206" s="1017"/>
      <c r="BJ206" s="1017"/>
      <c r="BK206" s="1017"/>
      <c r="BL206" s="1062"/>
      <c r="BM206" s="1062"/>
      <c r="BN206" s="1368"/>
      <c r="BO206" s="1368"/>
      <c r="BP206" s="1368"/>
      <c r="BR206" s="1425"/>
      <c r="BS206" s="1425"/>
      <c r="BT206" s="1425"/>
      <c r="BU206" s="1263"/>
    </row>
    <row r="207" spans="1:73" s="1014" customFormat="1" ht="12" customHeight="1">
      <c r="A207" s="1063" t="s">
        <v>731</v>
      </c>
      <c r="B207" s="1058">
        <v>110</v>
      </c>
      <c r="C207" s="1058">
        <v>84</v>
      </c>
      <c r="D207" s="1058">
        <v>126</v>
      </c>
      <c r="E207" s="1059">
        <v>108</v>
      </c>
      <c r="F207" s="1067">
        <f>+F212+F218</f>
        <v>112</v>
      </c>
      <c r="G207" s="1067">
        <f t="shared" ref="G207:V207" si="1932">+G212+G218</f>
        <v>99</v>
      </c>
      <c r="H207" s="1067">
        <f t="shared" si="1932"/>
        <v>116</v>
      </c>
      <c r="I207" s="1068">
        <f t="shared" si="1932"/>
        <v>113</v>
      </c>
      <c r="J207" s="1067">
        <f t="shared" si="1932"/>
        <v>17</v>
      </c>
      <c r="K207" s="1067">
        <f t="shared" si="1932"/>
        <v>210</v>
      </c>
      <c r="L207" s="1067">
        <f t="shared" si="1932"/>
        <v>216</v>
      </c>
      <c r="M207" s="1068">
        <f t="shared" si="1932"/>
        <v>13</v>
      </c>
      <c r="N207" s="1067">
        <f t="shared" si="1932"/>
        <v>18</v>
      </c>
      <c r="O207" s="1067">
        <f t="shared" si="1932"/>
        <v>208</v>
      </c>
      <c r="P207" s="1067">
        <f t="shared" si="1932"/>
        <v>235</v>
      </c>
      <c r="Q207" s="1068">
        <f t="shared" si="1932"/>
        <v>15</v>
      </c>
      <c r="R207" s="1067">
        <f t="shared" si="1932"/>
        <v>19</v>
      </c>
      <c r="S207" s="1067">
        <f t="shared" si="1932"/>
        <v>224</v>
      </c>
      <c r="T207" s="1067">
        <f t="shared" si="1932"/>
        <v>193</v>
      </c>
      <c r="U207" s="1068">
        <f t="shared" si="1932"/>
        <v>57</v>
      </c>
      <c r="V207" s="1959">
        <f t="shared" si="1932"/>
        <v>23</v>
      </c>
      <c r="W207" s="1962">
        <f t="shared" ref="W207" si="1933">+W212+W218</f>
        <v>207</v>
      </c>
      <c r="X207" s="1959">
        <v>235</v>
      </c>
      <c r="Y207" s="1960">
        <v>52</v>
      </c>
      <c r="Z207" s="1961">
        <v>26</v>
      </c>
      <c r="AA207" s="1959">
        <v>237</v>
      </c>
      <c r="AB207" s="1959">
        <v>258</v>
      </c>
      <c r="AC207" s="1960">
        <v>25</v>
      </c>
      <c r="AD207" s="1959">
        <v>34</v>
      </c>
      <c r="AE207" s="1959">
        <v>253</v>
      </c>
      <c r="AF207" s="1959">
        <v>246</v>
      </c>
      <c r="AG207" s="1960">
        <v>28</v>
      </c>
      <c r="AH207" s="1959">
        <v>42</v>
      </c>
      <c r="AI207" s="1959">
        <v>274</v>
      </c>
      <c r="AJ207" s="1959">
        <v>254</v>
      </c>
      <c r="AK207" s="1960">
        <v>29</v>
      </c>
      <c r="AL207" s="1959">
        <v>39</v>
      </c>
      <c r="AM207" s="1959">
        <v>272</v>
      </c>
      <c r="AN207" s="1959">
        <v>278</v>
      </c>
      <c r="AO207" s="1960">
        <v>32</v>
      </c>
      <c r="AP207" s="1959">
        <v>45</v>
      </c>
      <c r="AQ207" s="1959">
        <v>290</v>
      </c>
      <c r="AR207" s="1893">
        <f t="shared" ref="AR207" si="1934">+AN207*(1+AR208)</f>
        <v>283.56</v>
      </c>
      <c r="AS207" s="1894">
        <f t="shared" ref="AS207" si="1935">+AO207*(1+AS208)</f>
        <v>32.64</v>
      </c>
      <c r="AT207" s="1893">
        <f t="shared" ref="AT207" si="1936">+AP207*(1+AT208)</f>
        <v>46.124999999999993</v>
      </c>
      <c r="AU207" s="1893">
        <f t="shared" ref="AU207" si="1937">+AQ207*(1+AU208)</f>
        <v>297.25</v>
      </c>
      <c r="AV207" s="1893">
        <f t="shared" ref="AV207" si="1938">+AR207*(1+AV208)</f>
        <v>290.649</v>
      </c>
      <c r="AW207" s="1894">
        <f t="shared" ref="AW207" si="1939">+AS207*(1+AW208)</f>
        <v>33.455999999999996</v>
      </c>
      <c r="AX207" s="1893">
        <f t="shared" ref="AX207" si="1940">+AT207*(1+AX208)</f>
        <v>47.969999999999992</v>
      </c>
      <c r="AY207" s="1893">
        <f t="shared" ref="AY207" si="1941">+AU207*(1+AY208)</f>
        <v>309.14</v>
      </c>
      <c r="AZ207" s="1893">
        <f t="shared" ref="AZ207" si="1942">+AV207*(1+AZ208)</f>
        <v>302.27496000000002</v>
      </c>
      <c r="BA207" s="1894">
        <f t="shared" ref="BA207" si="1943">+AW207*(1+BA208)</f>
        <v>34.794239999999995</v>
      </c>
      <c r="BB207" s="1013"/>
      <c r="BC207" s="846"/>
      <c r="BD207" s="1083">
        <f>SUM(B207:E207)</f>
        <v>428</v>
      </c>
      <c r="BE207" s="1083">
        <f>SUM(F207:I207)</f>
        <v>440</v>
      </c>
      <c r="BF207" s="1083">
        <f>SUM(J207:M207)</f>
        <v>456</v>
      </c>
      <c r="BG207" s="1083">
        <f>SUM(N207:Q207)</f>
        <v>476</v>
      </c>
      <c r="BH207" s="1083">
        <f>SUM(R207:U207)</f>
        <v>493</v>
      </c>
      <c r="BI207" s="1083">
        <f>SUM(V207:Y207)</f>
        <v>517</v>
      </c>
      <c r="BJ207" s="1083">
        <f>SUM(Z207:AC207)</f>
        <v>546</v>
      </c>
      <c r="BK207" s="1083">
        <f>SUM(AD207:AG207)</f>
        <v>561</v>
      </c>
      <c r="BL207" s="1083">
        <f>SUM(AH207:AK207)</f>
        <v>599</v>
      </c>
      <c r="BM207" s="1083">
        <f>SUM(AL207:AO207)</f>
        <v>621</v>
      </c>
      <c r="BN207" s="1364">
        <f>SUM(AP207:AS207)</f>
        <v>651.19999999999993</v>
      </c>
      <c r="BO207" s="1364">
        <f>SUM(AT207:AW207)</f>
        <v>667.48</v>
      </c>
      <c r="BP207" s="1364">
        <f>SUM(AX207:BA207)</f>
        <v>694.17919999999992</v>
      </c>
      <c r="BR207" s="1425"/>
      <c r="BS207" s="1425"/>
      <c r="BT207" s="1425"/>
      <c r="BU207" s="1263"/>
    </row>
    <row r="208" spans="1:73" s="1014" customFormat="1" ht="12" customHeight="1">
      <c r="A208" s="983" t="s">
        <v>181</v>
      </c>
      <c r="B208" s="999" t="str">
        <f t="shared" ref="B208:D208" si="1944">IF(ISERROR(B207/#REF!-1),"NA",B207/#REF!-1)</f>
        <v>NA</v>
      </c>
      <c r="C208" s="987" t="str">
        <f t="shared" si="1944"/>
        <v>NA</v>
      </c>
      <c r="D208" s="987" t="str">
        <f t="shared" si="1944"/>
        <v>NA</v>
      </c>
      <c r="E208" s="998" t="str">
        <f t="shared" ref="E208" si="1945">IF(ISERROR(E207/A207-1),"NA",E207/A207-1)</f>
        <v>NA</v>
      </c>
      <c r="F208" s="999">
        <f t="shared" ref="F208" si="1946">IF(ISERROR(F207/B207-1),"NA",F207/B207-1)</f>
        <v>1.8181818181818077E-2</v>
      </c>
      <c r="G208" s="987">
        <f t="shared" ref="G208" si="1947">IF(ISERROR(G207/C207-1),"NA",G207/C207-1)</f>
        <v>0.1785714285714286</v>
      </c>
      <c r="H208" s="987">
        <f t="shared" ref="H208" si="1948">IF(ISERROR(H207/D207-1),"NA",H207/D207-1)</f>
        <v>-7.9365079365079416E-2</v>
      </c>
      <c r="I208" s="998">
        <f t="shared" ref="I208" si="1949">IF(ISERROR(I207/E207-1),"NA",I207/E207-1)</f>
        <v>4.629629629629628E-2</v>
      </c>
      <c r="J208" s="999">
        <f t="shared" ref="J208" si="1950">IF(ISERROR(J207/F207-1),"NA",J207/F207-1)</f>
        <v>-0.8482142857142857</v>
      </c>
      <c r="K208" s="987">
        <f t="shared" ref="K208" si="1951">IF(ISERROR(K207/G207-1),"NA",K207/G207-1)</f>
        <v>1.1212121212121211</v>
      </c>
      <c r="L208" s="987">
        <f t="shared" ref="L208" si="1952">IF(ISERROR(L207/H207-1),"NA",L207/H207-1)</f>
        <v>0.86206896551724133</v>
      </c>
      <c r="M208" s="998">
        <f t="shared" ref="M208" si="1953">IF(ISERROR(M207/I207-1),"NA",M207/I207-1)</f>
        <v>-0.88495575221238942</v>
      </c>
      <c r="N208" s="999">
        <f t="shared" ref="N208" si="1954">IF(ISERROR(N207/J207-1),"NA",N207/J207-1)</f>
        <v>5.8823529411764719E-2</v>
      </c>
      <c r="O208" s="987">
        <f t="shared" ref="O208" si="1955">IF(ISERROR(O207/K207-1),"NA",O207/K207-1)</f>
        <v>-9.52380952380949E-3</v>
      </c>
      <c r="P208" s="987">
        <f t="shared" ref="P208" si="1956">IF(ISERROR(P207/L207-1),"NA",P207/L207-1)</f>
        <v>8.7962962962963021E-2</v>
      </c>
      <c r="Q208" s="998">
        <f t="shared" ref="Q208" si="1957">IF(ISERROR(Q207/M207-1),"NA",Q207/M207-1)</f>
        <v>0.15384615384615374</v>
      </c>
      <c r="R208" s="984">
        <f t="shared" ref="R208" si="1958">IF(ISERROR(R207/N207-1),"NA",R207/N207-1)</f>
        <v>5.555555555555558E-2</v>
      </c>
      <c r="S208" s="984">
        <f t="shared" ref="S208" si="1959">IF(ISERROR(S207/O207-1),"NA",S207/O207-1)</f>
        <v>7.6923076923076872E-2</v>
      </c>
      <c r="T208" s="984">
        <f t="shared" ref="T208" si="1960">IF(ISERROR(T207/P207-1),"NA",T207/P207-1)</f>
        <v>-0.17872340425531918</v>
      </c>
      <c r="U208" s="985">
        <f t="shared" ref="U208" si="1961">IF(ISERROR(U207/Q207-1),"NA",U207/Q207-1)</f>
        <v>2.8</v>
      </c>
      <c r="V208" s="984">
        <f t="shared" ref="V208:AQ208" si="1962">IF(ISERROR(V207/R207-1),"NA",V207/R207-1)</f>
        <v>0.21052631578947367</v>
      </c>
      <c r="W208" s="987">
        <f t="shared" si="1962"/>
        <v>-7.5892857142857095E-2</v>
      </c>
      <c r="X208" s="984">
        <f t="shared" si="1962"/>
        <v>0.21761658031088094</v>
      </c>
      <c r="Y208" s="985">
        <f t="shared" si="1962"/>
        <v>-8.7719298245614086E-2</v>
      </c>
      <c r="Z208" s="1270">
        <f t="shared" si="1962"/>
        <v>0.13043478260869557</v>
      </c>
      <c r="AA208" s="987">
        <f t="shared" si="1962"/>
        <v>0.14492753623188404</v>
      </c>
      <c r="AB208" s="984">
        <f t="shared" si="1962"/>
        <v>9.7872340425531945E-2</v>
      </c>
      <c r="AC208" s="985">
        <f t="shared" si="1962"/>
        <v>-0.51923076923076916</v>
      </c>
      <c r="AD208" s="1270">
        <f t="shared" si="1962"/>
        <v>0.30769230769230771</v>
      </c>
      <c r="AE208" s="987">
        <f t="shared" si="1962"/>
        <v>6.7510548523206815E-2</v>
      </c>
      <c r="AF208" s="984">
        <f t="shared" si="1962"/>
        <v>-4.6511627906976716E-2</v>
      </c>
      <c r="AG208" s="985">
        <f t="shared" si="1962"/>
        <v>0.12000000000000011</v>
      </c>
      <c r="AH208" s="1270">
        <f t="shared" si="1962"/>
        <v>0.23529411764705888</v>
      </c>
      <c r="AI208" s="987">
        <f t="shared" si="1962"/>
        <v>8.3003952569169925E-2</v>
      </c>
      <c r="AJ208" s="984">
        <f t="shared" si="1962"/>
        <v>3.2520325203251987E-2</v>
      </c>
      <c r="AK208" s="985">
        <f t="shared" si="1962"/>
        <v>3.5714285714285809E-2</v>
      </c>
      <c r="AL208" s="1270">
        <f t="shared" si="1962"/>
        <v>-7.1428571428571397E-2</v>
      </c>
      <c r="AM208" s="987">
        <f t="shared" si="1962"/>
        <v>-7.2992700729926918E-3</v>
      </c>
      <c r="AN208" s="984">
        <f t="shared" si="1962"/>
        <v>9.4488188976378007E-2</v>
      </c>
      <c r="AO208" s="985">
        <f t="shared" si="1962"/>
        <v>0.10344827586206895</v>
      </c>
      <c r="AP208" s="1270">
        <f t="shared" si="1962"/>
        <v>0.15384615384615374</v>
      </c>
      <c r="AQ208" s="987">
        <f t="shared" si="1962"/>
        <v>6.6176470588235281E-2</v>
      </c>
      <c r="AR208" s="1069">
        <v>0.02</v>
      </c>
      <c r="AS208" s="1070">
        <v>0.02</v>
      </c>
      <c r="AT208" s="1069">
        <v>2.5000000000000001E-2</v>
      </c>
      <c r="AU208" s="1069">
        <v>2.5000000000000001E-2</v>
      </c>
      <c r="AV208" s="1069">
        <v>2.5000000000000001E-2</v>
      </c>
      <c r="AW208" s="1070">
        <v>2.5000000000000001E-2</v>
      </c>
      <c r="AX208" s="1069">
        <v>0.04</v>
      </c>
      <c r="AY208" s="1069">
        <v>0.04</v>
      </c>
      <c r="AZ208" s="1069">
        <v>0.04</v>
      </c>
      <c r="BA208" s="1070">
        <v>0.04</v>
      </c>
      <c r="BB208" s="1013"/>
      <c r="BC208" s="846"/>
      <c r="BD208" s="842" t="str">
        <f t="shared" ref="BD208" si="1963">IF(ISERROR(BD207/BB207-1),"NA",BD207/BB207-1)</f>
        <v>NA</v>
      </c>
      <c r="BE208" s="842">
        <f t="shared" ref="BE208" si="1964">IF(ISERROR(BE207/BD207-1),"NA",BE207/BD207-1)</f>
        <v>2.8037383177569986E-2</v>
      </c>
      <c r="BF208" s="842">
        <f t="shared" ref="BF208" si="1965">IF(ISERROR(BF207/BE207-1),"NA",BF207/BE207-1)</f>
        <v>3.6363636363636376E-2</v>
      </c>
      <c r="BG208" s="842">
        <f t="shared" ref="BG208" si="1966">IF(ISERROR(BG207/BF207-1),"NA",BG207/BF207-1)</f>
        <v>4.3859649122806932E-2</v>
      </c>
      <c r="BH208" s="842">
        <f t="shared" ref="BH208" si="1967">IF(ISERROR(BH207/BG207-1),"NA",BH207/BG207-1)</f>
        <v>3.5714285714285809E-2</v>
      </c>
      <c r="BI208" s="842">
        <f t="shared" ref="BI208" si="1968">IF(ISERROR(BI207/BH207-1),"NA",BI207/BH207-1)</f>
        <v>4.8681541582150212E-2</v>
      </c>
      <c r="BJ208" s="842">
        <f t="shared" ref="BJ208" si="1969">IF(ISERROR(BJ207/BI207-1),"NA",BJ207/BI207-1)</f>
        <v>5.6092843326885911E-2</v>
      </c>
      <c r="BK208" s="841">
        <f t="shared" ref="BK208" si="1970">IF(ISERROR(BK207/BJ207-1),"NA",BK207/BJ207-1)</f>
        <v>2.7472527472527375E-2</v>
      </c>
      <c r="BL208" s="841">
        <f t="shared" ref="BL208:BP208" si="1971">IF(ISERROR(BL207/BK207-1),"NA",BL207/BK207-1)</f>
        <v>6.7736185383244107E-2</v>
      </c>
      <c r="BM208" s="841">
        <f t="shared" si="1971"/>
        <v>3.6727879799666185E-2</v>
      </c>
      <c r="BN208" s="1187">
        <f t="shared" si="1971"/>
        <v>4.8631239935587711E-2</v>
      </c>
      <c r="BO208" s="1187">
        <f t="shared" si="1971"/>
        <v>2.5000000000000133E-2</v>
      </c>
      <c r="BP208" s="1187">
        <f t="shared" si="1971"/>
        <v>3.9999999999999813E-2</v>
      </c>
      <c r="BR208" s="1425"/>
      <c r="BS208" s="1425"/>
      <c r="BT208" s="1425"/>
      <c r="BU208" s="1263"/>
    </row>
    <row r="209" spans="1:73" s="1014" customFormat="1" ht="12" customHeight="1">
      <c r="A209" s="983" t="s">
        <v>291</v>
      </c>
      <c r="B209" s="999" t="str">
        <f t="shared" ref="B209" si="1972">IF(ISERROR(B207/A207-1),"NA",B207/A207-1)</f>
        <v>NA</v>
      </c>
      <c r="C209" s="987">
        <f t="shared" ref="C209" si="1973">IF(ISERROR(C207/B207-1),"NA",C207/B207-1)</f>
        <v>-0.23636363636363633</v>
      </c>
      <c r="D209" s="987">
        <f t="shared" ref="D209" si="1974">IF(ISERROR(D207/C207-1),"NA",D207/C207-1)</f>
        <v>0.5</v>
      </c>
      <c r="E209" s="998">
        <f t="shared" ref="E209" si="1975">IF(ISERROR(E207/D207-1),"NA",E207/D207-1)</f>
        <v>-0.1428571428571429</v>
      </c>
      <c r="F209" s="999">
        <f t="shared" ref="F209" si="1976">IF(ISERROR(F207/E207-1),"NA",F207/E207-1)</f>
        <v>3.7037037037036979E-2</v>
      </c>
      <c r="G209" s="987">
        <f t="shared" ref="G209" si="1977">IF(ISERROR(G207/F207-1),"NA",G207/F207-1)</f>
        <v>-0.1160714285714286</v>
      </c>
      <c r="H209" s="987">
        <f t="shared" ref="H209" si="1978">IF(ISERROR(H207/G207-1),"NA",H207/G207-1)</f>
        <v>0.17171717171717171</v>
      </c>
      <c r="I209" s="998">
        <f t="shared" ref="I209" si="1979">IF(ISERROR(I207/H207-1),"NA",I207/H207-1)</f>
        <v>-2.5862068965517238E-2</v>
      </c>
      <c r="J209" s="999">
        <f t="shared" ref="J209" si="1980">IF(ISERROR(J207/I207-1),"NA",J207/I207-1)</f>
        <v>-0.84955752212389379</v>
      </c>
      <c r="K209" s="987">
        <f t="shared" ref="K209" si="1981">IF(ISERROR(K207/J207-1),"NA",K207/J207-1)</f>
        <v>11.352941176470589</v>
      </c>
      <c r="L209" s="987">
        <f t="shared" ref="L209" si="1982">IF(ISERROR(L207/K207-1),"NA",L207/K207-1)</f>
        <v>2.857142857142847E-2</v>
      </c>
      <c r="M209" s="998">
        <f t="shared" ref="M209" si="1983">IF(ISERROR(M207/L207-1),"NA",M207/L207-1)</f>
        <v>-0.93981481481481477</v>
      </c>
      <c r="N209" s="999">
        <f t="shared" ref="N209" si="1984">IF(ISERROR(N207/M207-1),"NA",N207/M207-1)</f>
        <v>0.38461538461538458</v>
      </c>
      <c r="O209" s="987">
        <f t="shared" ref="O209" si="1985">IF(ISERROR(O207/N207-1),"NA",O207/N207-1)</f>
        <v>10.555555555555555</v>
      </c>
      <c r="P209" s="987">
        <f t="shared" ref="P209" si="1986">IF(ISERROR(P207/O207-1),"NA",P207/O207-1)</f>
        <v>0.12980769230769229</v>
      </c>
      <c r="Q209" s="998">
        <f t="shared" ref="Q209" si="1987">IF(ISERROR(Q207/P207-1),"NA",Q207/P207-1)</f>
        <v>-0.93617021276595747</v>
      </c>
      <c r="R209" s="984">
        <f t="shared" ref="R209" si="1988">IF(ISERROR(R207/Q207-1),"NA",R207/Q207-1)</f>
        <v>0.26666666666666661</v>
      </c>
      <c r="S209" s="984">
        <f t="shared" ref="S209" si="1989">IF(ISERROR(S207/R207-1),"NA",S207/R207-1)</f>
        <v>10.789473684210526</v>
      </c>
      <c r="T209" s="984">
        <f t="shared" ref="T209" si="1990">IF(ISERROR(T207/S207-1),"NA",T207/S207-1)</f>
        <v>-0.1383928571428571</v>
      </c>
      <c r="U209" s="985">
        <f t="shared" ref="U209" si="1991">IF(ISERROR(U207/T207-1),"NA",U207/T207-1)</f>
        <v>-0.70466321243523322</v>
      </c>
      <c r="V209" s="984">
        <f t="shared" ref="V209:X209" si="1992">IF(ISERROR(V207/U207-1),"NA",V207/U207-1)</f>
        <v>-0.59649122807017552</v>
      </c>
      <c r="W209" s="987">
        <f t="shared" si="1992"/>
        <v>8</v>
      </c>
      <c r="X209" s="984">
        <f t="shared" si="1992"/>
        <v>0.13526570048309172</v>
      </c>
      <c r="Y209" s="985">
        <f t="shared" ref="Y209:AQ209" si="1993">IF(ISERROR(Y207/X207-1),"NA",Y207/X207-1)</f>
        <v>-0.77872340425531916</v>
      </c>
      <c r="Z209" s="1270">
        <f t="shared" si="1993"/>
        <v>-0.5</v>
      </c>
      <c r="AA209" s="987">
        <f t="shared" si="1993"/>
        <v>8.115384615384615</v>
      </c>
      <c r="AB209" s="984">
        <f t="shared" ref="AB209" si="1994">IF(ISERROR(AB207/AA207-1),"NA",AB207/AA207-1)</f>
        <v>8.8607594936708889E-2</v>
      </c>
      <c r="AC209" s="985">
        <f t="shared" si="1993"/>
        <v>-0.9031007751937985</v>
      </c>
      <c r="AD209" s="1270">
        <f t="shared" si="1993"/>
        <v>0.3600000000000001</v>
      </c>
      <c r="AE209" s="987">
        <f t="shared" si="1993"/>
        <v>6.4411764705882355</v>
      </c>
      <c r="AF209" s="984">
        <f t="shared" si="1993"/>
        <v>-2.7667984189723271E-2</v>
      </c>
      <c r="AG209" s="985">
        <f t="shared" si="1993"/>
        <v>-0.88617886178861793</v>
      </c>
      <c r="AH209" s="1270">
        <f t="shared" si="1993"/>
        <v>0.5</v>
      </c>
      <c r="AI209" s="987">
        <f t="shared" si="1993"/>
        <v>5.5238095238095237</v>
      </c>
      <c r="AJ209" s="984">
        <f t="shared" si="1993"/>
        <v>-7.2992700729927029E-2</v>
      </c>
      <c r="AK209" s="985">
        <f t="shared" si="1993"/>
        <v>-0.88582677165354329</v>
      </c>
      <c r="AL209" s="1270">
        <f t="shared" si="1993"/>
        <v>0.34482758620689657</v>
      </c>
      <c r="AM209" s="987">
        <f t="shared" si="1993"/>
        <v>5.9743589743589745</v>
      </c>
      <c r="AN209" s="984">
        <f t="shared" si="1993"/>
        <v>2.2058823529411686E-2</v>
      </c>
      <c r="AO209" s="985">
        <f t="shared" si="1993"/>
        <v>-0.8848920863309353</v>
      </c>
      <c r="AP209" s="1270">
        <f t="shared" si="1993"/>
        <v>0.40625</v>
      </c>
      <c r="AQ209" s="987">
        <f t="shared" si="1993"/>
        <v>5.4444444444444446</v>
      </c>
      <c r="AR209" s="984">
        <f t="shared" ref="AR209" si="1995">IF(ISERROR(AR207/AQ207-1),"NA",AR207/AQ207-1)</f>
        <v>-2.2206896551724142E-2</v>
      </c>
      <c r="AS209" s="985">
        <f t="shared" ref="AS209" si="1996">IF(ISERROR(AS207/AR207-1),"NA",AS207/AR207-1)</f>
        <v>-0.8848920863309353</v>
      </c>
      <c r="AT209" s="984">
        <f t="shared" ref="AT209" si="1997">IF(ISERROR(AT207/AS207-1),"NA",AT207/AS207-1)</f>
        <v>0.4131433823529409</v>
      </c>
      <c r="AU209" s="984">
        <f t="shared" ref="AU209" si="1998">IF(ISERROR(AU207/AT207-1),"NA",AU207/AT207-1)</f>
        <v>5.4444444444444455</v>
      </c>
      <c r="AV209" s="984">
        <f t="shared" ref="AV209" si="1999">IF(ISERROR(AV207/AU207-1),"NA",AV207/AU207-1)</f>
        <v>-2.2206896551724142E-2</v>
      </c>
      <c r="AW209" s="985">
        <f t="shared" ref="AW209" si="2000">IF(ISERROR(AW207/AV207-1),"NA",AW207/AV207-1)</f>
        <v>-0.8848920863309353</v>
      </c>
      <c r="AX209" s="984">
        <f t="shared" ref="AX209" si="2001">IF(ISERROR(AX207/AW207-1),"NA",AX207/AW207-1)</f>
        <v>0.43382352941176472</v>
      </c>
      <c r="AY209" s="984">
        <f t="shared" ref="AY209" si="2002">IF(ISERROR(AY207/AX207-1),"NA",AY207/AX207-1)</f>
        <v>5.4444444444444455</v>
      </c>
      <c r="AZ209" s="984">
        <f t="shared" ref="AZ209" si="2003">IF(ISERROR(AZ207/AY207-1),"NA",AZ207/AY207-1)</f>
        <v>-2.2206896551724031E-2</v>
      </c>
      <c r="BA209" s="985">
        <f t="shared" ref="BA209" si="2004">IF(ISERROR(BA207/AZ207-1),"NA",BA207/AZ207-1)</f>
        <v>-0.8848920863309353</v>
      </c>
      <c r="BB209" s="1013"/>
      <c r="BC209" s="846"/>
      <c r="BD209" s="989" t="s">
        <v>366</v>
      </c>
      <c r="BE209" s="989" t="s">
        <v>366</v>
      </c>
      <c r="BF209" s="989" t="s">
        <v>366</v>
      </c>
      <c r="BG209" s="841" t="s">
        <v>366</v>
      </c>
      <c r="BH209" s="841" t="s">
        <v>366</v>
      </c>
      <c r="BI209" s="989" t="s">
        <v>366</v>
      </c>
      <c r="BJ209" s="989" t="s">
        <v>366</v>
      </c>
      <c r="BK209" s="989" t="s">
        <v>366</v>
      </c>
      <c r="BL209" s="989" t="s">
        <v>366</v>
      </c>
      <c r="BM209" s="1046" t="s">
        <v>366</v>
      </c>
      <c r="BN209" s="1188" t="s">
        <v>366</v>
      </c>
      <c r="BO209" s="1188" t="s">
        <v>366</v>
      </c>
      <c r="BP209" s="1188" t="s">
        <v>366</v>
      </c>
      <c r="BR209" s="1425"/>
      <c r="BS209" s="1425"/>
      <c r="BT209" s="1425"/>
      <c r="BU209" s="1263"/>
    </row>
    <row r="210" spans="1:73" s="1014" customFormat="1" ht="12" customHeight="1">
      <c r="A210" s="983" t="s">
        <v>153</v>
      </c>
      <c r="B210" s="1008">
        <f>+B207/B$6</f>
        <v>0.15427769985974754</v>
      </c>
      <c r="C210" s="1008">
        <f t="shared" ref="C210:E210" si="2005">+C207/C$6</f>
        <v>9.1007583965330444E-2</v>
      </c>
      <c r="D210" s="1008">
        <f t="shared" si="2005"/>
        <v>5.46875E-2</v>
      </c>
      <c r="E210" s="1009">
        <f t="shared" si="2005"/>
        <v>0.14323607427055704</v>
      </c>
      <c r="F210" s="1008">
        <f>+F207/F$6</f>
        <v>0.14395886889460155</v>
      </c>
      <c r="G210" s="1008">
        <f t="shared" ref="G210:U210" si="2006">+G207/G$6</f>
        <v>9.7440944881889757E-2</v>
      </c>
      <c r="H210" s="1008">
        <f t="shared" si="2006"/>
        <v>4.5651318378591106E-2</v>
      </c>
      <c r="I210" s="1009">
        <f t="shared" si="2006"/>
        <v>0.13420427553444181</v>
      </c>
      <c r="J210" s="1010">
        <f t="shared" si="2006"/>
        <v>1.8681318681318681E-2</v>
      </c>
      <c r="K210" s="1008">
        <f t="shared" si="2006"/>
        <v>0.15683345780433158</v>
      </c>
      <c r="L210" s="1010">
        <f t="shared" si="2006"/>
        <v>7.4175824175824176E-2</v>
      </c>
      <c r="M210" s="1009">
        <f t="shared" si="2006"/>
        <v>1.5046296296296295E-2</v>
      </c>
      <c r="N210" s="1008">
        <f t="shared" si="2006"/>
        <v>1.7716535433070866E-2</v>
      </c>
      <c r="O210" s="1008">
        <f t="shared" si="2006"/>
        <v>0.1384820239680426</v>
      </c>
      <c r="P210" s="1008">
        <f t="shared" si="2006"/>
        <v>7.1821515892420543E-2</v>
      </c>
      <c r="Q210" s="1009">
        <f t="shared" si="2006"/>
        <v>1.5090543259557344E-2</v>
      </c>
      <c r="R210" s="984">
        <f t="shared" si="2006"/>
        <v>1.6309012875536481E-2</v>
      </c>
      <c r="S210" s="984">
        <f t="shared" si="2006"/>
        <v>0.13207547169811321</v>
      </c>
      <c r="T210" s="984">
        <f t="shared" si="2006"/>
        <v>6.4290473017988015E-2</v>
      </c>
      <c r="U210" s="985">
        <f t="shared" si="2006"/>
        <v>3.1387665198237887E-2</v>
      </c>
      <c r="V210" s="984">
        <f t="shared" ref="V210:AB210" si="2007">+V207/V$6</f>
        <v>1.7384731670445956E-2</v>
      </c>
      <c r="W210" s="987">
        <f t="shared" si="2007"/>
        <v>0.13134517766497461</v>
      </c>
      <c r="X210" s="984">
        <f t="shared" si="2007"/>
        <v>5.6314402108794633E-2</v>
      </c>
      <c r="Y210" s="985">
        <f t="shared" si="2007"/>
        <v>2.030456852791878E-2</v>
      </c>
      <c r="Z210" s="1270">
        <f t="shared" ref="Z210:AA210" si="2008">+Z207/Z$6</f>
        <v>1.2954658694569009E-2</v>
      </c>
      <c r="AA210" s="987">
        <f t="shared" si="2008"/>
        <v>8.866442199775533E-2</v>
      </c>
      <c r="AB210" s="984">
        <f t="shared" si="2007"/>
        <v>4.5809659090909095E-2</v>
      </c>
      <c r="AC210" s="985">
        <f t="shared" ref="AC210:AF210" si="2009">+AC207/AC$6</f>
        <v>1.0356255178127589E-2</v>
      </c>
      <c r="AD210" s="1270">
        <f t="shared" si="2009"/>
        <v>1.3092029264536002E-2</v>
      </c>
      <c r="AE210" s="987">
        <f t="shared" si="2009"/>
        <v>8.3196317000986522E-2</v>
      </c>
      <c r="AF210" s="984">
        <f t="shared" si="2009"/>
        <v>4.0877367896311065E-2</v>
      </c>
      <c r="AG210" s="985">
        <f t="shared" ref="AG210:AJ210" si="2010">+AG207/AG$6</f>
        <v>1.0324483775811209E-2</v>
      </c>
      <c r="AH210" s="1270">
        <f t="shared" si="2010"/>
        <v>1.4103425117528543E-2</v>
      </c>
      <c r="AI210" s="987">
        <f t="shared" si="2010"/>
        <v>8.0921441228588312E-2</v>
      </c>
      <c r="AJ210" s="984">
        <f t="shared" si="2010"/>
        <v>3.7702241353718274E-2</v>
      </c>
      <c r="AK210" s="985">
        <f t="shared" ref="AK210:AN210" si="2011">+AK207/AK$6</f>
        <v>9.1080402010050247E-3</v>
      </c>
      <c r="AL210" s="1270">
        <f t="shared" si="2011"/>
        <v>1.1879378617118489E-2</v>
      </c>
      <c r="AM210" s="987">
        <f t="shared" si="2011"/>
        <v>6.863487257128438E-2</v>
      </c>
      <c r="AN210" s="984">
        <f t="shared" si="2011"/>
        <v>3.5852463244776887E-2</v>
      </c>
      <c r="AO210" s="985">
        <f t="shared" ref="AO210:AQ210" si="2012">+AO207/AO$6</f>
        <v>8.3529104672409298E-3</v>
      </c>
      <c r="AP210" s="1270">
        <f t="shared" si="2012"/>
        <v>1.1583011583011582E-2</v>
      </c>
      <c r="AQ210" s="987">
        <f t="shared" si="2012"/>
        <v>6.2352182326381421E-2</v>
      </c>
      <c r="AR210" s="984">
        <f t="shared" ref="AR210:AS210" si="2013">+AR207/AR$6</f>
        <v>3.3404919792144029E-2</v>
      </c>
      <c r="AS210" s="985">
        <f t="shared" si="2013"/>
        <v>7.675254886537794E-3</v>
      </c>
      <c r="AT210" s="984">
        <f t="shared" ref="AT210:AW210" si="2014">+AT207/AT$6</f>
        <v>1.044189889751658E-2</v>
      </c>
      <c r="AU210" s="984">
        <f t="shared" si="2014"/>
        <v>5.6071204074495846E-2</v>
      </c>
      <c r="AV210" s="984">
        <f t="shared" si="2014"/>
        <v>3.1241603292476171E-2</v>
      </c>
      <c r="AW210" s="985">
        <f t="shared" si="2014"/>
        <v>7.0500857172489028E-3</v>
      </c>
      <c r="AX210" s="984">
        <f t="shared" ref="AX210:BA210" si="2015">+AX207/AX$6</f>
        <v>9.6355652316088333E-3</v>
      </c>
      <c r="AY210" s="984">
        <f t="shared" si="2015"/>
        <v>5.1326203864602356E-2</v>
      </c>
      <c r="AZ210" s="984">
        <f t="shared" si="2015"/>
        <v>2.9526638922419409E-2</v>
      </c>
      <c r="BA210" s="985">
        <f t="shared" si="2015"/>
        <v>6.5244839372914157E-3</v>
      </c>
      <c r="BB210" s="1013"/>
      <c r="BC210" s="846"/>
      <c r="BD210" s="1011">
        <f t="shared" ref="BD210:BE210" si="2016">+BD207/BD$6</f>
        <v>9.1180230080954411E-2</v>
      </c>
      <c r="BE210" s="1011">
        <f t="shared" si="2016"/>
        <v>8.4991307707166314E-2</v>
      </c>
      <c r="BF210" s="1017">
        <f>+BF207/BF$6</f>
        <v>7.568464730290457E-2</v>
      </c>
      <c r="BG210" s="1017">
        <f>+BG207/BG$6</f>
        <v>7.0165094339622647E-2</v>
      </c>
      <c r="BH210" s="1017">
        <f>+BH207/BH$6</f>
        <v>6.4201067847375962E-2</v>
      </c>
      <c r="BI210" s="1017">
        <f t="shared" ref="BI210:BM210" si="2017">+BI207/BI$6</f>
        <v>5.3669677151458525E-2</v>
      </c>
      <c r="BJ210" s="1017">
        <f t="shared" si="2017"/>
        <v>4.2904290429042903E-2</v>
      </c>
      <c r="BK210" s="1017">
        <f t="shared" si="2017"/>
        <v>3.904510022271715E-2</v>
      </c>
      <c r="BL210" s="1017">
        <f t="shared" si="2017"/>
        <v>3.6782315013816395E-2</v>
      </c>
      <c r="BM210" s="1062">
        <f t="shared" si="2017"/>
        <v>3.2977537039987258E-2</v>
      </c>
      <c r="BN210" s="1368">
        <f t="shared" ref="BN210:BO210" si="2018">+BN207/BN$6</f>
        <v>3.0605534398973362E-2</v>
      </c>
      <c r="BO210" s="1368">
        <f t="shared" si="2018"/>
        <v>2.80839203041869E-2</v>
      </c>
      <c r="BP210" s="1368">
        <f t="shared" ref="BP210" si="2019">+BP207/BP$6</f>
        <v>2.6124744663870065E-2</v>
      </c>
      <c r="BR210" s="1425"/>
      <c r="BS210" s="1425"/>
      <c r="BT210" s="1425"/>
      <c r="BU210" s="1263"/>
    </row>
    <row r="211" spans="1:73" s="1014" customFormat="1" ht="12" hidden="1" customHeight="1" outlineLevel="2">
      <c r="A211" s="983"/>
      <c r="B211" s="1008"/>
      <c r="C211" s="1008"/>
      <c r="D211" s="1008"/>
      <c r="E211" s="1009"/>
      <c r="F211" s="1008"/>
      <c r="G211" s="1008"/>
      <c r="H211" s="1008"/>
      <c r="I211" s="1009"/>
      <c r="J211" s="1010"/>
      <c r="K211" s="1008"/>
      <c r="L211" s="1010"/>
      <c r="M211" s="1009"/>
      <c r="N211" s="1008"/>
      <c r="O211" s="1008"/>
      <c r="P211" s="1008"/>
      <c r="Q211" s="1009"/>
      <c r="R211" s="984"/>
      <c r="S211" s="984"/>
      <c r="T211" s="984"/>
      <c r="U211" s="985"/>
      <c r="V211" s="984"/>
      <c r="W211" s="987"/>
      <c r="X211" s="984"/>
      <c r="Y211" s="985"/>
      <c r="Z211" s="1015"/>
      <c r="AA211" s="1015"/>
      <c r="AB211" s="1015"/>
      <c r="AC211" s="1016"/>
      <c r="AD211" s="1015"/>
      <c r="AE211" s="1015"/>
      <c r="AF211" s="1015"/>
      <c r="AG211" s="1016"/>
      <c r="AH211" s="1015"/>
      <c r="AI211" s="1015"/>
      <c r="AJ211" s="1015"/>
      <c r="AK211" s="1016"/>
      <c r="AL211" s="1015"/>
      <c r="AM211" s="1015"/>
      <c r="AN211" s="1015"/>
      <c r="AO211" s="1016"/>
      <c r="AP211" s="1015"/>
      <c r="AQ211" s="1015"/>
      <c r="AR211" s="1015"/>
      <c r="AS211" s="1016"/>
      <c r="AT211" s="1015"/>
      <c r="AU211" s="1015"/>
      <c r="AV211" s="1015"/>
      <c r="AW211" s="1016"/>
      <c r="AX211" s="1015"/>
      <c r="AY211" s="1015"/>
      <c r="AZ211" s="1015"/>
      <c r="BA211" s="1016"/>
      <c r="BB211" s="1013"/>
      <c r="BC211" s="846"/>
      <c r="BD211" s="1011"/>
      <c r="BE211" s="1011"/>
      <c r="BF211" s="1017"/>
      <c r="BG211" s="1017"/>
      <c r="BH211" s="1017"/>
      <c r="BI211" s="1017"/>
      <c r="BJ211" s="1017"/>
      <c r="BK211" s="1017"/>
      <c r="BL211" s="1062"/>
      <c r="BM211" s="1062"/>
      <c r="BN211" s="1368"/>
      <c r="BO211" s="1368"/>
      <c r="BP211" s="1368"/>
      <c r="BR211" s="1425"/>
      <c r="BS211" s="1425"/>
      <c r="BT211" s="1425"/>
      <c r="BU211" s="1263"/>
    </row>
    <row r="212" spans="1:73" s="492" customFormat="1" ht="12" hidden="1" customHeight="1" outlineLevel="2">
      <c r="A212" s="1066" t="s">
        <v>66</v>
      </c>
      <c r="B212" s="1058"/>
      <c r="C212" s="1058"/>
      <c r="D212" s="1058"/>
      <c r="E212" s="1059"/>
      <c r="F212" s="1058">
        <v>98</v>
      </c>
      <c r="G212" s="1058">
        <v>86</v>
      </c>
      <c r="H212" s="1058">
        <v>83</v>
      </c>
      <c r="I212" s="1059">
        <v>101</v>
      </c>
      <c r="J212" s="1058">
        <v>11</v>
      </c>
      <c r="K212" s="1058">
        <v>206</v>
      </c>
      <c r="L212" s="1058">
        <v>151</v>
      </c>
      <c r="M212" s="1059">
        <v>8</v>
      </c>
      <c r="N212" s="1058">
        <v>12</v>
      </c>
      <c r="O212" s="1058">
        <v>204</v>
      </c>
      <c r="P212" s="1058">
        <v>161</v>
      </c>
      <c r="Q212" s="1059">
        <v>9</v>
      </c>
      <c r="R212" s="1058">
        <v>11</v>
      </c>
      <c r="S212" s="1058">
        <v>220</v>
      </c>
      <c r="T212" s="1058">
        <v>134</v>
      </c>
      <c r="U212" s="1059">
        <v>35</v>
      </c>
      <c r="V212" s="1965">
        <v>12</v>
      </c>
      <c r="W212" s="1966">
        <v>202</v>
      </c>
      <c r="X212" s="1967">
        <v>173</v>
      </c>
      <c r="Y212" s="1061">
        <f>+Y207*Y216</f>
        <v>32</v>
      </c>
      <c r="Z212" s="1060">
        <f t="shared" ref="Z212:AN212" si="2020">+Z207*Z216</f>
        <v>13.565217391304348</v>
      </c>
      <c r="AA212" s="1060">
        <f t="shared" si="2020"/>
        <v>231.27536231884059</v>
      </c>
      <c r="AB212" s="1060">
        <f t="shared" si="2020"/>
        <v>189.93191489361701</v>
      </c>
      <c r="AC212" s="1061">
        <f t="shared" si="2020"/>
        <v>15.384615384615385</v>
      </c>
      <c r="AD212" s="1060">
        <f t="shared" si="2020"/>
        <v>17.739130434782609</v>
      </c>
      <c r="AE212" s="1060">
        <f t="shared" si="2020"/>
        <v>246.88888888888889</v>
      </c>
      <c r="AF212" s="1060">
        <f t="shared" si="2020"/>
        <v>181.09787234042551</v>
      </c>
      <c r="AG212" s="1061">
        <f t="shared" si="2020"/>
        <v>17.230769230769234</v>
      </c>
      <c r="AH212" s="1060">
        <f t="shared" si="2020"/>
        <v>21.913043478260867</v>
      </c>
      <c r="AI212" s="1060">
        <f t="shared" si="2020"/>
        <v>263.03999999999996</v>
      </c>
      <c r="AJ212" s="1060">
        <f t="shared" si="2020"/>
        <v>186.98723404255318</v>
      </c>
      <c r="AK212" s="1061">
        <f t="shared" si="2020"/>
        <v>17.846153846153847</v>
      </c>
      <c r="AL212" s="1060">
        <f t="shared" si="2020"/>
        <v>12.870000000000001</v>
      </c>
      <c r="AM212" s="1060">
        <f t="shared" si="2020"/>
        <v>259.76</v>
      </c>
      <c r="AN212" s="1060">
        <f t="shared" si="2020"/>
        <v>171.52600000000001</v>
      </c>
      <c r="AO212" s="1061">
        <f t="shared" ref="AO212:AQ212" si="2021">+AO207*AO216</f>
        <v>13.6</v>
      </c>
      <c r="AP212" s="1060">
        <f t="shared" si="2021"/>
        <v>14.850000000000001</v>
      </c>
      <c r="AQ212" s="1060">
        <f t="shared" si="2021"/>
        <v>276.95</v>
      </c>
      <c r="AR212" s="1060">
        <f t="shared" ref="AR212:AS212" si="2022">+AR207*AR216</f>
        <v>174.95652000000001</v>
      </c>
      <c r="AS212" s="1061">
        <f t="shared" si="2022"/>
        <v>13.872</v>
      </c>
      <c r="AT212" s="1060">
        <f t="shared" ref="AT212:AW212" si="2023">+AT207*AT216</f>
        <v>15.221249999999998</v>
      </c>
      <c r="AU212" s="1060">
        <f t="shared" si="2023"/>
        <v>283.87374999999997</v>
      </c>
      <c r="AV212" s="1060">
        <f t="shared" si="2023"/>
        <v>179.330433</v>
      </c>
      <c r="AW212" s="1061">
        <f t="shared" si="2023"/>
        <v>14.218799999999998</v>
      </c>
      <c r="AX212" s="1060">
        <f t="shared" ref="AX212:BA212" si="2024">+AX207*AX216</f>
        <v>15.830099999999998</v>
      </c>
      <c r="AY212" s="1060">
        <f t="shared" si="2024"/>
        <v>295.22869999999995</v>
      </c>
      <c r="AZ212" s="1060">
        <f t="shared" si="2024"/>
        <v>186.50365032000002</v>
      </c>
      <c r="BA212" s="1061">
        <f t="shared" si="2024"/>
        <v>14.787551999999998</v>
      </c>
      <c r="BB212" s="1005"/>
      <c r="BC212" s="981"/>
      <c r="BD212" s="1083"/>
      <c r="BE212" s="1083">
        <f>SUM(F212:I212)</f>
        <v>368</v>
      </c>
      <c r="BF212" s="1083">
        <f>SUM(J212:M212)</f>
        <v>376</v>
      </c>
      <c r="BG212" s="1083">
        <f>SUM(N212:Q212)</f>
        <v>386</v>
      </c>
      <c r="BH212" s="1083">
        <f>SUM(R212:U212)</f>
        <v>400</v>
      </c>
      <c r="BI212" s="1083">
        <f>SUM(V212:Y212)</f>
        <v>419</v>
      </c>
      <c r="BJ212" s="1083">
        <f>SUM(Z212:AC212)</f>
        <v>450.15710998837733</v>
      </c>
      <c r="BK212" s="1083">
        <f>SUM(AD212:AG212)</f>
        <v>462.95666089486622</v>
      </c>
      <c r="BL212" s="1083">
        <f>SUM(AH212:AK212)</f>
        <v>489.78643136696786</v>
      </c>
      <c r="BM212" s="1083">
        <f>SUM(AL212:AO212)</f>
        <v>457.75600000000003</v>
      </c>
      <c r="BN212" s="1364">
        <f>SUM(AP212:AS212)</f>
        <v>480.62852000000004</v>
      </c>
      <c r="BO212" s="1364">
        <f>SUM(AT212:AW212)</f>
        <v>492.64423299999999</v>
      </c>
      <c r="BP212" s="1364">
        <f>SUM(AX212:BA212)</f>
        <v>512.35000231999993</v>
      </c>
      <c r="BR212" s="1429"/>
      <c r="BS212" s="1429"/>
      <c r="BT212" s="1429"/>
      <c r="BU212" s="1263"/>
    </row>
    <row r="213" spans="1:73" s="1014" customFormat="1" ht="12" hidden="1" customHeight="1" outlineLevel="2">
      <c r="A213" s="1064" t="s">
        <v>181</v>
      </c>
      <c r="B213" s="987"/>
      <c r="C213" s="987"/>
      <c r="D213" s="987"/>
      <c r="E213" s="998"/>
      <c r="F213" s="999" t="str">
        <f t="shared" ref="F213" si="2025">IF(ISERROR(F212/B212-1),"NA",F212/B212-1)</f>
        <v>NA</v>
      </c>
      <c r="G213" s="987" t="str">
        <f t="shared" ref="G213" si="2026">IF(ISERROR(G212/C212-1),"NA",G212/C212-1)</f>
        <v>NA</v>
      </c>
      <c r="H213" s="987" t="str">
        <f t="shared" ref="H213" si="2027">IF(ISERROR(H212/D212-1),"NA",H212/D212-1)</f>
        <v>NA</v>
      </c>
      <c r="I213" s="998" t="str">
        <f t="shared" ref="I213" si="2028">IF(ISERROR(I212/E212-1),"NA",I212/E212-1)</f>
        <v>NA</v>
      </c>
      <c r="J213" s="999">
        <f t="shared" ref="J213" si="2029">IF(ISERROR(J212/F212-1),"NA",J212/F212-1)</f>
        <v>-0.88775510204081631</v>
      </c>
      <c r="K213" s="987">
        <f t="shared" ref="K213" si="2030">IF(ISERROR(K212/G212-1),"NA",K212/G212-1)</f>
        <v>1.3953488372093021</v>
      </c>
      <c r="L213" s="987">
        <f t="shared" ref="L213" si="2031">IF(ISERROR(L212/H212-1),"NA",L212/H212-1)</f>
        <v>0.81927710843373491</v>
      </c>
      <c r="M213" s="998">
        <f t="shared" ref="M213" si="2032">IF(ISERROR(M212/I212-1),"NA",M212/I212-1)</f>
        <v>-0.92079207920792083</v>
      </c>
      <c r="N213" s="999">
        <f t="shared" ref="N213" si="2033">IF(ISERROR(N212/J212-1),"NA",N212/J212-1)</f>
        <v>9.0909090909090828E-2</v>
      </c>
      <c r="O213" s="987">
        <f t="shared" ref="O213" si="2034">IF(ISERROR(O212/K212-1),"NA",O212/K212-1)</f>
        <v>-9.7087378640776656E-3</v>
      </c>
      <c r="P213" s="987">
        <f t="shared" ref="P213" si="2035">IF(ISERROR(P212/L212-1),"NA",P212/L212-1)</f>
        <v>6.6225165562913801E-2</v>
      </c>
      <c r="Q213" s="998">
        <f t="shared" ref="Q213" si="2036">IF(ISERROR(Q212/M212-1),"NA",Q212/M212-1)</f>
        <v>0.125</v>
      </c>
      <c r="R213" s="984">
        <f t="shared" ref="R213" si="2037">IF(ISERROR(R212/N212-1),"NA",R212/N212-1)</f>
        <v>-8.333333333333337E-2</v>
      </c>
      <c r="S213" s="984">
        <f t="shared" ref="S213" si="2038">IF(ISERROR(S212/O212-1),"NA",S212/O212-1)</f>
        <v>7.8431372549019551E-2</v>
      </c>
      <c r="T213" s="984">
        <f t="shared" ref="T213" si="2039">IF(ISERROR(T212/P212-1),"NA",T212/P212-1)</f>
        <v>-0.16770186335403725</v>
      </c>
      <c r="U213" s="985">
        <f t="shared" ref="U213" si="2040">IF(ISERROR(U212/Q212-1),"NA",U212/Q212-1)</f>
        <v>2.8888888888888888</v>
      </c>
      <c r="V213" s="984">
        <f t="shared" ref="V213:X213" si="2041">IF(ISERROR(V212/R212-1),"NA",V212/R212-1)</f>
        <v>9.0909090909090828E-2</v>
      </c>
      <c r="W213" s="987">
        <f t="shared" si="2041"/>
        <v>-8.181818181818179E-2</v>
      </c>
      <c r="X213" s="984">
        <f t="shared" si="2041"/>
        <v>0.29104477611940305</v>
      </c>
      <c r="Y213" s="985">
        <f t="shared" ref="Y213" si="2042">IF(ISERROR(Y212/U212-1),"NA",Y212/U212-1)</f>
        <v>-8.5714285714285743E-2</v>
      </c>
      <c r="Z213" s="984">
        <f t="shared" ref="Z213" si="2043">IF(ISERROR(Z212/V212-1),"NA",Z212/V212-1)</f>
        <v>0.13043478260869557</v>
      </c>
      <c r="AA213" s="984">
        <f t="shared" ref="AA213" si="2044">IF(ISERROR(AA212/W212-1),"NA",AA212/W212-1)</f>
        <v>0.14492753623188404</v>
      </c>
      <c r="AB213" s="984">
        <f t="shared" ref="AB213" si="2045">IF(ISERROR(AB212/X212-1),"NA",AB212/X212-1)</f>
        <v>9.7872340425531723E-2</v>
      </c>
      <c r="AC213" s="985">
        <f t="shared" ref="AC213" si="2046">IF(ISERROR(AC212/Y212-1),"NA",AC212/Y212-1)</f>
        <v>-0.51923076923076916</v>
      </c>
      <c r="AD213" s="984">
        <f t="shared" ref="AD213" si="2047">IF(ISERROR(AD212/Z212-1),"NA",AD212/Z212-1)</f>
        <v>0.30769230769230771</v>
      </c>
      <c r="AE213" s="984">
        <f t="shared" ref="AE213" si="2048">IF(ISERROR(AE212/AA212-1),"NA",AE212/AA212-1)</f>
        <v>6.7510548523206593E-2</v>
      </c>
      <c r="AF213" s="984">
        <f t="shared" ref="AF213" si="2049">IF(ISERROR(AF212/AB212-1),"NA",AF212/AB212-1)</f>
        <v>-4.6511627906976827E-2</v>
      </c>
      <c r="AG213" s="985">
        <f t="shared" ref="AG213" si="2050">IF(ISERROR(AG212/AC212-1),"NA",AG212/AC212-1)</f>
        <v>0.12000000000000011</v>
      </c>
      <c r="AH213" s="984">
        <f t="shared" ref="AH213" si="2051">IF(ISERROR(AH212/AD212-1),"NA",AH212/AD212-1)</f>
        <v>0.23529411764705865</v>
      </c>
      <c r="AI213" s="984">
        <f t="shared" ref="AI213" si="2052">IF(ISERROR(AI212/AE212-1),"NA",AI212/AE212-1)</f>
        <v>6.5418541854185275E-2</v>
      </c>
      <c r="AJ213" s="984">
        <f t="shared" ref="AJ213" si="2053">IF(ISERROR(AJ212/AF212-1),"NA",AJ212/AF212-1)</f>
        <v>3.2520325203252209E-2</v>
      </c>
      <c r="AK213" s="985">
        <f t="shared" ref="AK213" si="2054">IF(ISERROR(AK212/AG212-1),"NA",AK212/AG212-1)</f>
        <v>3.5714285714285587E-2</v>
      </c>
      <c r="AL213" s="984">
        <f t="shared" ref="AL213" si="2055">IF(ISERROR(AL212/AH212-1),"NA",AL212/AH212-1)</f>
        <v>-0.41267857142857134</v>
      </c>
      <c r="AM213" s="984">
        <f t="shared" ref="AM213" si="2056">IF(ISERROR(AM212/AI212-1),"NA",AM212/AI212-1)</f>
        <v>-1.2469586374695751E-2</v>
      </c>
      <c r="AN213" s="984">
        <f t="shared" ref="AN213:AQ213" si="2057">IF(ISERROR(AN212/AJ212-1),"NA",AN212/AJ212-1)</f>
        <v>-8.2686040690000406E-2</v>
      </c>
      <c r="AO213" s="985">
        <f t="shared" si="2057"/>
        <v>-0.23793103448275865</v>
      </c>
      <c r="AP213" s="984">
        <f t="shared" si="2057"/>
        <v>0.15384615384615397</v>
      </c>
      <c r="AQ213" s="984">
        <f t="shared" si="2057"/>
        <v>6.6176470588235281E-2</v>
      </c>
      <c r="AR213" s="984">
        <f t="shared" ref="AR213" si="2058">IF(ISERROR(AR212/AN212-1),"NA",AR212/AN212-1)</f>
        <v>2.0000000000000018E-2</v>
      </c>
      <c r="AS213" s="985">
        <f t="shared" ref="AS213" si="2059">IF(ISERROR(AS212/AO212-1),"NA",AS212/AO212-1)</f>
        <v>2.0000000000000018E-2</v>
      </c>
      <c r="AT213" s="984">
        <f t="shared" ref="AT213" si="2060">IF(ISERROR(AT212/AP212-1),"NA",AT212/AP212-1)</f>
        <v>2.4999999999999689E-2</v>
      </c>
      <c r="AU213" s="984">
        <f t="shared" ref="AU213" si="2061">IF(ISERROR(AU212/AQ212-1),"NA",AU212/AQ212-1)</f>
        <v>2.4999999999999911E-2</v>
      </c>
      <c r="AV213" s="984">
        <f t="shared" ref="AV213" si="2062">IF(ISERROR(AV212/AR212-1),"NA",AV212/AR212-1)</f>
        <v>2.4999999999999911E-2</v>
      </c>
      <c r="AW213" s="985">
        <f t="shared" ref="AW213" si="2063">IF(ISERROR(AW212/AS212-1),"NA",AW212/AS212-1)</f>
        <v>2.4999999999999911E-2</v>
      </c>
      <c r="AX213" s="984">
        <f t="shared" ref="AX213" si="2064">IF(ISERROR(AX212/AT212-1),"NA",AX212/AT212-1)</f>
        <v>4.0000000000000036E-2</v>
      </c>
      <c r="AY213" s="984">
        <f t="shared" ref="AY213" si="2065">IF(ISERROR(AY212/AU212-1),"NA",AY212/AU212-1)</f>
        <v>3.9999999999999813E-2</v>
      </c>
      <c r="AZ213" s="984">
        <f t="shared" ref="AZ213" si="2066">IF(ISERROR(AZ212/AV212-1),"NA",AZ212/AV212-1)</f>
        <v>4.0000000000000036E-2</v>
      </c>
      <c r="BA213" s="985">
        <f t="shared" ref="BA213" si="2067">IF(ISERROR(BA212/AW212-1),"NA",BA212/AW212-1)</f>
        <v>4.0000000000000036E-2</v>
      </c>
      <c r="BB213" s="1013"/>
      <c r="BC213" s="841"/>
      <c r="BD213" s="842"/>
      <c r="BE213" s="842" t="str">
        <f t="shared" ref="BE213" si="2068">IF(ISERROR(BE212/BD212-1),"NA",BE212/BD212-1)</f>
        <v>NA</v>
      </c>
      <c r="BF213" s="842">
        <f t="shared" ref="BF213" si="2069">IF(ISERROR(BF212/BE212-1),"NA",BF212/BE212-1)</f>
        <v>2.1739130434782705E-2</v>
      </c>
      <c r="BG213" s="842">
        <f t="shared" ref="BG213" si="2070">IF(ISERROR(BG212/BF212-1),"NA",BG212/BF212-1)</f>
        <v>2.659574468085113E-2</v>
      </c>
      <c r="BH213" s="842">
        <f t="shared" ref="BH213" si="2071">IF(ISERROR(BH212/BG212-1),"NA",BH212/BG212-1)</f>
        <v>3.6269430051813378E-2</v>
      </c>
      <c r="BI213" s="842">
        <f t="shared" ref="BI213" si="2072">IF(ISERROR(BI212/BH212-1),"NA",BI212/BH212-1)</f>
        <v>4.7500000000000098E-2</v>
      </c>
      <c r="BJ213" s="842">
        <f t="shared" ref="BJ213" si="2073">IF(ISERROR(BJ212/BI212-1),"NA",BJ212/BI212-1)</f>
        <v>7.4360644363669071E-2</v>
      </c>
      <c r="BK213" s="842">
        <f t="shared" ref="BK213" si="2074">IF(ISERROR(BK212/BJ212-1),"NA",BK212/BJ212-1)</f>
        <v>2.8433519370202553E-2</v>
      </c>
      <c r="BL213" s="842">
        <f t="shared" ref="BL213:BP213" si="2075">IF(ISERROR(BL212/BK212-1),"NA",BL212/BK212-1)</f>
        <v>5.7953093104312181E-2</v>
      </c>
      <c r="BM213" s="842">
        <f t="shared" si="2075"/>
        <v>-6.5396730729294861E-2</v>
      </c>
      <c r="BN213" s="1187">
        <f t="shared" si="2075"/>
        <v>4.9966619771231846E-2</v>
      </c>
      <c r="BO213" s="1187">
        <f t="shared" si="2075"/>
        <v>2.4999999999999911E-2</v>
      </c>
      <c r="BP213" s="1187">
        <f t="shared" si="2075"/>
        <v>3.9999999999999813E-2</v>
      </c>
      <c r="BR213" s="1425"/>
      <c r="BS213" s="1425"/>
      <c r="BT213" s="1425"/>
      <c r="BU213" s="1263"/>
    </row>
    <row r="214" spans="1:73" s="1014" customFormat="1" ht="12" hidden="1" customHeight="1" outlineLevel="2">
      <c r="A214" s="1064" t="s">
        <v>291</v>
      </c>
      <c r="B214" s="987"/>
      <c r="C214" s="987"/>
      <c r="D214" s="987"/>
      <c r="E214" s="998"/>
      <c r="F214" s="999" t="str">
        <f t="shared" ref="F214" si="2076">IF(ISERROR(F212/E212-1),"NA",F212/E212-1)</f>
        <v>NA</v>
      </c>
      <c r="G214" s="987">
        <f t="shared" ref="G214" si="2077">IF(ISERROR(G212/F212-1),"NA",G212/F212-1)</f>
        <v>-0.12244897959183676</v>
      </c>
      <c r="H214" s="987">
        <f t="shared" ref="H214" si="2078">IF(ISERROR(H212/G212-1),"NA",H212/G212-1)</f>
        <v>-3.4883720930232509E-2</v>
      </c>
      <c r="I214" s="998">
        <f t="shared" ref="I214" si="2079">IF(ISERROR(I212/H212-1),"NA",I212/H212-1)</f>
        <v>0.2168674698795181</v>
      </c>
      <c r="J214" s="999">
        <f t="shared" ref="J214" si="2080">IF(ISERROR(J212/I212-1),"NA",J212/I212-1)</f>
        <v>-0.8910891089108911</v>
      </c>
      <c r="K214" s="987">
        <f t="shared" ref="K214" si="2081">IF(ISERROR(K212/J212-1),"NA",K212/J212-1)</f>
        <v>17.727272727272727</v>
      </c>
      <c r="L214" s="987">
        <f t="shared" ref="L214" si="2082">IF(ISERROR(L212/K212-1),"NA",L212/K212-1)</f>
        <v>-0.26699029126213591</v>
      </c>
      <c r="M214" s="998">
        <f t="shared" ref="M214" si="2083">IF(ISERROR(M212/L212-1),"NA",M212/L212-1)</f>
        <v>-0.94701986754966883</v>
      </c>
      <c r="N214" s="999">
        <f t="shared" ref="N214" si="2084">IF(ISERROR(N212/M212-1),"NA",N212/M212-1)</f>
        <v>0.5</v>
      </c>
      <c r="O214" s="987">
        <f t="shared" ref="O214" si="2085">IF(ISERROR(O212/N212-1),"NA",O212/N212-1)</f>
        <v>16</v>
      </c>
      <c r="P214" s="987">
        <f t="shared" ref="P214" si="2086">IF(ISERROR(P212/O212-1),"NA",P212/O212-1)</f>
        <v>-0.21078431372549022</v>
      </c>
      <c r="Q214" s="998">
        <f t="shared" ref="Q214" si="2087">IF(ISERROR(Q212/P212-1),"NA",Q212/P212-1)</f>
        <v>-0.94409937888198758</v>
      </c>
      <c r="R214" s="984">
        <f t="shared" ref="R214" si="2088">IF(ISERROR(R212/Q212-1),"NA",R212/Q212-1)</f>
        <v>0.22222222222222232</v>
      </c>
      <c r="S214" s="984">
        <f t="shared" ref="S214" si="2089">IF(ISERROR(S212/R212-1),"NA",S212/R212-1)</f>
        <v>19</v>
      </c>
      <c r="T214" s="984">
        <f t="shared" ref="T214" si="2090">IF(ISERROR(T212/S212-1),"NA",T212/S212-1)</f>
        <v>-0.39090909090909087</v>
      </c>
      <c r="U214" s="985">
        <f t="shared" ref="U214" si="2091">IF(ISERROR(U212/T212-1),"NA",U212/T212-1)</f>
        <v>-0.73880597014925375</v>
      </c>
      <c r="V214" s="984">
        <f t="shared" ref="V214:X214" si="2092">IF(ISERROR(V212/U212-1),"NA",V212/U212-1)</f>
        <v>-0.65714285714285714</v>
      </c>
      <c r="W214" s="987">
        <f t="shared" si="2092"/>
        <v>15.833333333333332</v>
      </c>
      <c r="X214" s="984">
        <f t="shared" si="2092"/>
        <v>-0.14356435643564358</v>
      </c>
      <c r="Y214" s="985">
        <f t="shared" ref="Y214" si="2093">IF(ISERROR(Y212/X212-1),"NA",Y212/X212-1)</f>
        <v>-0.81502890173410403</v>
      </c>
      <c r="Z214" s="984">
        <f t="shared" ref="Z214" si="2094">IF(ISERROR(Z212/Y212-1),"NA",Z212/Y212-1)</f>
        <v>-0.57608695652173914</v>
      </c>
      <c r="AA214" s="984">
        <f t="shared" ref="AA214" si="2095">IF(ISERROR(AA212/Z212-1),"NA",AA212/Z212-1)</f>
        <v>16.049145299145302</v>
      </c>
      <c r="AB214" s="984">
        <f t="shared" ref="AB214" si="2096">IF(ISERROR(AB212/AA212-1),"NA",AB212/AA212-1)</f>
        <v>-0.17876286955385556</v>
      </c>
      <c r="AC214" s="985">
        <f t="shared" ref="AC214" si="2097">IF(ISERROR(AC212/AB212-1),"NA",AC212/AB212-1)</f>
        <v>-0.91899931407929791</v>
      </c>
      <c r="AD214" s="984">
        <f t="shared" ref="AD214" si="2098">IF(ISERROR(AD212/AC212-1),"NA",AD212/AC212-1)</f>
        <v>0.15304347826086961</v>
      </c>
      <c r="AE214" s="984">
        <f t="shared" ref="AE214" si="2099">IF(ISERROR(AE212/AD212-1),"NA",AE212/AD212-1)</f>
        <v>12.917755991285402</v>
      </c>
      <c r="AF214" s="984">
        <f t="shared" ref="AF214" si="2100">IF(ISERROR(AF212/AE212-1),"NA",AF212/AE212-1)</f>
        <v>-0.26648026504778144</v>
      </c>
      <c r="AG214" s="985">
        <f t="shared" ref="AG214" si="2101">IF(ISERROR(AG212/AF212-1),"NA",AG212/AF212-1)</f>
        <v>-0.90485382844046314</v>
      </c>
      <c r="AH214" s="984">
        <f t="shared" ref="AH214" si="2102">IF(ISERROR(AH212/AG212-1),"NA",AH212/AG212-1)</f>
        <v>0.27173913043478226</v>
      </c>
      <c r="AI214" s="984">
        <f t="shared" ref="AI214" si="2103">IF(ISERROR(AI212/AH212-1),"NA",AI212/AH212-1)</f>
        <v>11.003809523809524</v>
      </c>
      <c r="AJ214" s="984">
        <f t="shared" ref="AJ214" si="2104">IF(ISERROR(AJ212/AI212-1),"NA",AJ212/AI212-1)</f>
        <v>-0.28913004089661953</v>
      </c>
      <c r="AK214" s="985">
        <f t="shared" ref="AK214" si="2105">IF(ISERROR(AK212/AJ212-1),"NA",AK212/AJ212-1)</f>
        <v>-0.90455950676241059</v>
      </c>
      <c r="AL214" s="984">
        <f t="shared" ref="AL214" si="2106">IF(ISERROR(AL212/AK212-1),"NA",AL212/AK212-1)</f>
        <v>-0.27883620689655164</v>
      </c>
      <c r="AM214" s="984">
        <f t="shared" ref="AM214" si="2107">IF(ISERROR(AM212/AL212-1),"NA",AM212/AL212-1)</f>
        <v>19.183372183372182</v>
      </c>
      <c r="AN214" s="984">
        <f t="shared" ref="AN214:AQ214" si="2108">IF(ISERROR(AN212/AM212-1),"NA",AN212/AM212-1)</f>
        <v>-0.33967508469356322</v>
      </c>
      <c r="AO214" s="985">
        <f t="shared" si="2108"/>
        <v>-0.92071172883411267</v>
      </c>
      <c r="AP214" s="984">
        <f t="shared" si="2108"/>
        <v>9.191176470588247E-2</v>
      </c>
      <c r="AQ214" s="984">
        <f t="shared" si="2108"/>
        <v>17.649831649831647</v>
      </c>
      <c r="AR214" s="984">
        <f t="shared" ref="AR214" si="2109">IF(ISERROR(AR212/AQ212-1),"NA",AR212/AQ212-1)</f>
        <v>-0.36827398447373161</v>
      </c>
      <c r="AS214" s="985">
        <f t="shared" ref="AS214" si="2110">IF(ISERROR(AS212/AR212-1),"NA",AS212/AR212-1)</f>
        <v>-0.92071172883411267</v>
      </c>
      <c r="AT214" s="984">
        <f t="shared" ref="AT214" si="2111">IF(ISERROR(AT212/AS212-1),"NA",AT212/AS212-1)</f>
        <v>9.726427335640131E-2</v>
      </c>
      <c r="AU214" s="984">
        <f t="shared" ref="AU214" si="2112">IF(ISERROR(AU212/AT212-1),"NA",AU212/AT212-1)</f>
        <v>17.649831649831651</v>
      </c>
      <c r="AV214" s="984">
        <f t="shared" ref="AV214" si="2113">IF(ISERROR(AV212/AU212-1),"NA",AV212/AU212-1)</f>
        <v>-0.36827398447373161</v>
      </c>
      <c r="AW214" s="985">
        <f t="shared" ref="AW214" si="2114">IF(ISERROR(AW212/AV212-1),"NA",AW212/AV212-1)</f>
        <v>-0.92071172883411267</v>
      </c>
      <c r="AX214" s="984">
        <f t="shared" ref="AX214" si="2115">IF(ISERROR(AX212/AW212-1),"NA",AX212/AW212-1)</f>
        <v>0.11332179930795849</v>
      </c>
      <c r="AY214" s="984">
        <f t="shared" ref="AY214" si="2116">IF(ISERROR(AY212/AX212-1),"NA",AY212/AX212-1)</f>
        <v>17.649831649831647</v>
      </c>
      <c r="AZ214" s="984">
        <f t="shared" ref="AZ214" si="2117">IF(ISERROR(AZ212/AY212-1),"NA",AZ212/AY212-1)</f>
        <v>-0.3682739844737315</v>
      </c>
      <c r="BA214" s="985">
        <f t="shared" ref="BA214" si="2118">IF(ISERROR(BA212/AZ212-1),"NA",BA212/AZ212-1)</f>
        <v>-0.92071172883411267</v>
      </c>
      <c r="BB214" s="1013"/>
      <c r="BC214" s="846"/>
      <c r="BD214" s="989"/>
      <c r="BE214" s="989" t="s">
        <v>366</v>
      </c>
      <c r="BF214" s="989" t="s">
        <v>366</v>
      </c>
      <c r="BG214" s="841" t="s">
        <v>366</v>
      </c>
      <c r="BH214" s="841" t="s">
        <v>366</v>
      </c>
      <c r="BI214" s="989" t="s">
        <v>366</v>
      </c>
      <c r="BJ214" s="989" t="s">
        <v>366</v>
      </c>
      <c r="BK214" s="989" t="s">
        <v>366</v>
      </c>
      <c r="BL214" s="989" t="s">
        <v>366</v>
      </c>
      <c r="BM214" s="1046" t="s">
        <v>366</v>
      </c>
      <c r="BN214" s="1188" t="s">
        <v>366</v>
      </c>
      <c r="BO214" s="1188" t="s">
        <v>366</v>
      </c>
      <c r="BP214" s="1188" t="s">
        <v>366</v>
      </c>
      <c r="BR214" s="1425"/>
      <c r="BS214" s="1425"/>
      <c r="BT214" s="1425"/>
      <c r="BU214" s="1263"/>
    </row>
    <row r="215" spans="1:73" s="1014" customFormat="1" ht="12" hidden="1" customHeight="1" outlineLevel="2">
      <c r="A215" s="1064" t="s">
        <v>153</v>
      </c>
      <c r="B215" s="1008"/>
      <c r="C215" s="1008"/>
      <c r="D215" s="1008"/>
      <c r="E215" s="1009"/>
      <c r="F215" s="1008">
        <f>+F212/F$6</f>
        <v>0.12596401028277635</v>
      </c>
      <c r="G215" s="1008">
        <f t="shared" ref="G215:U215" si="2119">+G212/G$6</f>
        <v>8.4645669291338585E-2</v>
      </c>
      <c r="H215" s="1008">
        <f t="shared" si="2119"/>
        <v>3.2664305391578122E-2</v>
      </c>
      <c r="I215" s="1009">
        <f t="shared" si="2119"/>
        <v>0.11995249406175772</v>
      </c>
      <c r="J215" s="1010">
        <f t="shared" si="2119"/>
        <v>1.2087912087912088E-2</v>
      </c>
      <c r="K215" s="1008">
        <f t="shared" si="2119"/>
        <v>0.15384615384615385</v>
      </c>
      <c r="L215" s="1010">
        <f t="shared" si="2119"/>
        <v>5.1854395604395608E-2</v>
      </c>
      <c r="M215" s="1009">
        <f t="shared" si="2119"/>
        <v>9.2592592592592587E-3</v>
      </c>
      <c r="N215" s="1008">
        <f t="shared" si="2119"/>
        <v>1.1811023622047244E-2</v>
      </c>
      <c r="O215" s="1008">
        <f t="shared" si="2119"/>
        <v>0.13581890812250333</v>
      </c>
      <c r="P215" s="1008">
        <f t="shared" si="2119"/>
        <v>4.9205378973105132E-2</v>
      </c>
      <c r="Q215" s="1009">
        <f t="shared" si="2119"/>
        <v>9.0543259557344068E-3</v>
      </c>
      <c r="R215" s="984">
        <f t="shared" si="2119"/>
        <v>9.4420600858369091E-3</v>
      </c>
      <c r="S215" s="984">
        <f t="shared" si="2119"/>
        <v>0.12971698113207547</v>
      </c>
      <c r="T215" s="984">
        <f t="shared" si="2119"/>
        <v>4.4636908727514989E-2</v>
      </c>
      <c r="U215" s="985">
        <f t="shared" si="2119"/>
        <v>1.9273127753303965E-2</v>
      </c>
      <c r="V215" s="984">
        <f t="shared" ref="V215:AN215" si="2120">+V212/V$6</f>
        <v>9.0702947845804991E-3</v>
      </c>
      <c r="W215" s="987">
        <f t="shared" si="2120"/>
        <v>0.12817258883248731</v>
      </c>
      <c r="X215" s="984">
        <f t="shared" si="2120"/>
        <v>4.1456985382219029E-2</v>
      </c>
      <c r="Y215" s="985">
        <f t="shared" si="2120"/>
        <v>1.2495119094103866E-2</v>
      </c>
      <c r="Z215" s="984">
        <f t="shared" si="2120"/>
        <v>6.7589523623838308E-3</v>
      </c>
      <c r="AA215" s="984">
        <f t="shared" si="2120"/>
        <v>8.6522769292495541E-2</v>
      </c>
      <c r="AB215" s="984">
        <f t="shared" si="2120"/>
        <v>3.3723706479690523E-2</v>
      </c>
      <c r="AC215" s="985">
        <f t="shared" si="2120"/>
        <v>6.3730801096169784E-3</v>
      </c>
      <c r="AD215" s="984">
        <f t="shared" si="2120"/>
        <v>6.8306239641057406E-3</v>
      </c>
      <c r="AE215" s="984">
        <f t="shared" si="2120"/>
        <v>8.1186744126566554E-2</v>
      </c>
      <c r="AF215" s="984">
        <f t="shared" si="2120"/>
        <v>3.0092700621539632E-2</v>
      </c>
      <c r="AG215" s="985">
        <f t="shared" si="2120"/>
        <v>6.3535284774222838E-3</v>
      </c>
      <c r="AH215" s="984">
        <f t="shared" si="2120"/>
        <v>7.3583087569714127E-3</v>
      </c>
      <c r="AI215" s="984">
        <f t="shared" si="2120"/>
        <v>7.7684583579444758E-2</v>
      </c>
      <c r="AJ215" s="984">
        <f t="shared" si="2120"/>
        <v>2.7755267039120263E-2</v>
      </c>
      <c r="AK215" s="985">
        <f t="shared" si="2120"/>
        <v>5.6049478160030914E-3</v>
      </c>
      <c r="AL215" s="984">
        <f t="shared" si="2120"/>
        <v>3.9201949436491017E-3</v>
      </c>
      <c r="AM215" s="984">
        <f t="shared" si="2120"/>
        <v>6.5546303305576578E-2</v>
      </c>
      <c r="AN215" s="984">
        <f t="shared" si="2120"/>
        <v>2.2120969822027343E-2</v>
      </c>
      <c r="AO215" s="985">
        <f t="shared" ref="AO215:AQ215" si="2121">+AO212/AO$6</f>
        <v>3.5499869485773948E-3</v>
      </c>
      <c r="AP215" s="984">
        <f t="shared" si="2121"/>
        <v>3.8223938223938226E-3</v>
      </c>
      <c r="AQ215" s="984">
        <f t="shared" si="2121"/>
        <v>5.9546334121694258E-2</v>
      </c>
      <c r="AR215" s="984">
        <f t="shared" ref="AR215:AS215" si="2122">+AR212/AR$6</f>
        <v>2.0610835511752867E-2</v>
      </c>
      <c r="AS215" s="985">
        <f t="shared" si="2122"/>
        <v>3.2619833267785625E-3</v>
      </c>
      <c r="AT215" s="984">
        <f t="shared" ref="AT215:AW215" si="2123">+AT212/AT$6</f>
        <v>3.4458266361804715E-3</v>
      </c>
      <c r="AU215" s="984">
        <f t="shared" si="2123"/>
        <v>5.3547999891143526E-2</v>
      </c>
      <c r="AV215" s="984">
        <f t="shared" si="2123"/>
        <v>1.9276069231457797E-2</v>
      </c>
      <c r="AW215" s="985">
        <f t="shared" si="2123"/>
        <v>2.9962864298307837E-3</v>
      </c>
      <c r="AX215" s="984">
        <f t="shared" ref="AX215:BA215" si="2124">+AX212/AX$6</f>
        <v>3.1797365264309152E-3</v>
      </c>
      <c r="AY215" s="984">
        <f t="shared" si="2124"/>
        <v>4.9016524690695243E-2</v>
      </c>
      <c r="AZ215" s="984">
        <f t="shared" si="2124"/>
        <v>1.8217936215132777E-2</v>
      </c>
      <c r="BA215" s="985">
        <f t="shared" si="2124"/>
        <v>2.7729056733488519E-3</v>
      </c>
      <c r="BB215" s="1013"/>
      <c r="BC215" s="846"/>
      <c r="BD215" s="1011"/>
      <c r="BE215" s="1011">
        <f t="shared" ref="BE215" si="2125">+BE212/BE$6</f>
        <v>7.1083639173266364E-2</v>
      </c>
      <c r="BF215" s="1017">
        <f>+BF212/BF$6</f>
        <v>6.2406639004149375E-2</v>
      </c>
      <c r="BG215" s="1017">
        <f>+BG212/BG$6</f>
        <v>5.6898584905660375E-2</v>
      </c>
      <c r="BH215" s="1017">
        <f>+BH212/BH$6</f>
        <v>5.2090115900507876E-2</v>
      </c>
      <c r="BI215" s="1017">
        <f t="shared" ref="BI215:BM215" si="2126">+BI212/BI$6</f>
        <v>4.3496314751375477E-2</v>
      </c>
      <c r="BJ215" s="1017">
        <f t="shared" si="2126"/>
        <v>3.5373024515824088E-2</v>
      </c>
      <c r="BK215" s="1017">
        <f t="shared" si="2126"/>
        <v>3.2221371164731782E-2</v>
      </c>
      <c r="BL215" s="1017">
        <f t="shared" si="2126"/>
        <v>3.0075924554311812E-2</v>
      </c>
      <c r="BM215" s="1062">
        <f t="shared" si="2126"/>
        <v>2.430864000849663E-2</v>
      </c>
      <c r="BN215" s="1368">
        <f t="shared" ref="BN215:BO215" si="2127">+BN212/BN$6</f>
        <v>2.2588901569391365E-2</v>
      </c>
      <c r="BO215" s="1368">
        <f t="shared" si="2127"/>
        <v>2.0727784170146344E-2</v>
      </c>
      <c r="BP215" s="1368">
        <f t="shared" ref="BP215" si="2128">+BP212/BP$6</f>
        <v>1.9281783420107133E-2</v>
      </c>
      <c r="BR215" s="1425"/>
      <c r="BS215" s="1425"/>
      <c r="BT215" s="1425"/>
      <c r="BU215" s="1263"/>
    </row>
    <row r="216" spans="1:73" s="1014" customFormat="1" ht="12" hidden="1" customHeight="1" outlineLevel="2">
      <c r="A216" s="1064" t="s">
        <v>372</v>
      </c>
      <c r="B216" s="1008"/>
      <c r="C216" s="1008"/>
      <c r="D216" s="1008"/>
      <c r="E216" s="1009"/>
      <c r="F216" s="1008">
        <f t="shared" ref="F216:U216" si="2129">+F212/F207</f>
        <v>0.875</v>
      </c>
      <c r="G216" s="1008">
        <f t="shared" si="2129"/>
        <v>0.86868686868686873</v>
      </c>
      <c r="H216" s="1008">
        <f t="shared" si="2129"/>
        <v>0.71551724137931039</v>
      </c>
      <c r="I216" s="1009">
        <f t="shared" si="2129"/>
        <v>0.89380530973451322</v>
      </c>
      <c r="J216" s="1010">
        <f t="shared" si="2129"/>
        <v>0.6470588235294118</v>
      </c>
      <c r="K216" s="1008">
        <f t="shared" si="2129"/>
        <v>0.98095238095238091</v>
      </c>
      <c r="L216" s="1010">
        <f t="shared" si="2129"/>
        <v>0.69907407407407407</v>
      </c>
      <c r="M216" s="1009">
        <f t="shared" si="2129"/>
        <v>0.61538461538461542</v>
      </c>
      <c r="N216" s="1008">
        <f t="shared" si="2129"/>
        <v>0.66666666666666663</v>
      </c>
      <c r="O216" s="1008">
        <f t="shared" si="2129"/>
        <v>0.98076923076923073</v>
      </c>
      <c r="P216" s="1008">
        <f t="shared" si="2129"/>
        <v>0.68510638297872339</v>
      </c>
      <c r="Q216" s="1009">
        <f t="shared" si="2129"/>
        <v>0.6</v>
      </c>
      <c r="R216" s="984">
        <f t="shared" si="2129"/>
        <v>0.57894736842105265</v>
      </c>
      <c r="S216" s="984">
        <f t="shared" si="2129"/>
        <v>0.9821428571428571</v>
      </c>
      <c r="T216" s="984">
        <f t="shared" si="2129"/>
        <v>0.69430051813471505</v>
      </c>
      <c r="U216" s="985">
        <f t="shared" si="2129"/>
        <v>0.61403508771929827</v>
      </c>
      <c r="V216" s="984">
        <f>+V212/V207</f>
        <v>0.52173913043478259</v>
      </c>
      <c r="W216" s="987">
        <f t="shared" ref="W216:X216" si="2130">+W212/W207</f>
        <v>0.97584541062801933</v>
      </c>
      <c r="X216" s="984">
        <f t="shared" si="2130"/>
        <v>0.7361702127659574</v>
      </c>
      <c r="Y216" s="985">
        <f>1-Y222</f>
        <v>0.61538461538461542</v>
      </c>
      <c r="Z216" s="1963">
        <f t="shared" ref="Z216:AP216" si="2131">+V216</f>
        <v>0.52173913043478259</v>
      </c>
      <c r="AA216" s="1963">
        <f t="shared" si="2131"/>
        <v>0.97584541062801933</v>
      </c>
      <c r="AB216" s="1963">
        <f t="shared" si="2131"/>
        <v>0.7361702127659574</v>
      </c>
      <c r="AC216" s="1964">
        <f t="shared" si="2131"/>
        <v>0.61538461538461542</v>
      </c>
      <c r="AD216" s="1963">
        <f t="shared" si="2131"/>
        <v>0.52173913043478259</v>
      </c>
      <c r="AE216" s="1963">
        <f t="shared" si="2131"/>
        <v>0.97584541062801933</v>
      </c>
      <c r="AF216" s="1963">
        <f t="shared" si="2131"/>
        <v>0.7361702127659574</v>
      </c>
      <c r="AG216" s="1964">
        <f t="shared" si="2131"/>
        <v>0.61538461538461542</v>
      </c>
      <c r="AH216" s="1963">
        <f t="shared" si="2131"/>
        <v>0.52173913043478259</v>
      </c>
      <c r="AI216" s="1963">
        <v>0.96</v>
      </c>
      <c r="AJ216" s="1963">
        <f t="shared" si="2131"/>
        <v>0.7361702127659574</v>
      </c>
      <c r="AK216" s="1964">
        <f t="shared" si="2131"/>
        <v>0.61538461538461542</v>
      </c>
      <c r="AL216" s="1963">
        <v>0.33</v>
      </c>
      <c r="AM216" s="1963">
        <v>0.95499999999999996</v>
      </c>
      <c r="AN216" s="1963">
        <v>0.61699999999999999</v>
      </c>
      <c r="AO216" s="1964">
        <v>0.42499999999999999</v>
      </c>
      <c r="AP216" s="1963">
        <f t="shared" si="2131"/>
        <v>0.33</v>
      </c>
      <c r="AQ216" s="1963">
        <v>0.95499999999999996</v>
      </c>
      <c r="AR216" s="1069">
        <f t="shared" ref="AR216" si="2132">+AN216</f>
        <v>0.61699999999999999</v>
      </c>
      <c r="AS216" s="1070">
        <f t="shared" ref="AS216" si="2133">+AO216</f>
        <v>0.42499999999999999</v>
      </c>
      <c r="AT216" s="1069">
        <f t="shared" ref="AT216" si="2134">+AP216</f>
        <v>0.33</v>
      </c>
      <c r="AU216" s="1069">
        <f t="shared" ref="AU216" si="2135">+AQ216</f>
        <v>0.95499999999999996</v>
      </c>
      <c r="AV216" s="1069">
        <f t="shared" ref="AV216" si="2136">+AR216</f>
        <v>0.61699999999999999</v>
      </c>
      <c r="AW216" s="1070">
        <f t="shared" ref="AW216" si="2137">+AS216</f>
        <v>0.42499999999999999</v>
      </c>
      <c r="AX216" s="1069">
        <f t="shared" ref="AX216" si="2138">+AT216</f>
        <v>0.33</v>
      </c>
      <c r="AY216" s="1069">
        <f t="shared" ref="AY216" si="2139">+AU216</f>
        <v>0.95499999999999996</v>
      </c>
      <c r="AZ216" s="1069">
        <f t="shared" ref="AZ216" si="2140">+AV216</f>
        <v>0.61699999999999999</v>
      </c>
      <c r="BA216" s="1070">
        <f t="shared" ref="BA216" si="2141">+AW216</f>
        <v>0.42499999999999999</v>
      </c>
      <c r="BB216" s="1013"/>
      <c r="BC216" s="846"/>
      <c r="BD216" s="1011"/>
      <c r="BE216" s="1011">
        <f t="shared" ref="BE216:BM216" si="2142">+BE212/BE207</f>
        <v>0.83636363636363631</v>
      </c>
      <c r="BF216" s="1017">
        <f t="shared" si="2142"/>
        <v>0.82456140350877194</v>
      </c>
      <c r="BG216" s="1017">
        <f t="shared" si="2142"/>
        <v>0.81092436974789917</v>
      </c>
      <c r="BH216" s="1017">
        <f t="shared" si="2142"/>
        <v>0.81135902636916835</v>
      </c>
      <c r="BI216" s="1017">
        <f t="shared" si="2142"/>
        <v>0.8104448742746615</v>
      </c>
      <c r="BJ216" s="1017">
        <f t="shared" si="2142"/>
        <v>0.82446357140728443</v>
      </c>
      <c r="BK216" s="1017">
        <f t="shared" si="2142"/>
        <v>0.82523468965216795</v>
      </c>
      <c r="BL216" s="1062">
        <f t="shared" si="2142"/>
        <v>0.81767350812515505</v>
      </c>
      <c r="BM216" s="1062">
        <f t="shared" si="2142"/>
        <v>0.73712721417069249</v>
      </c>
      <c r="BN216" s="1368">
        <f t="shared" ref="BN216:BO216" si="2143">+BN212/BN207</f>
        <v>0.73806590909090919</v>
      </c>
      <c r="BO216" s="1368">
        <f t="shared" si="2143"/>
        <v>0.73806590909090908</v>
      </c>
      <c r="BP216" s="1368">
        <f t="shared" ref="BP216" si="2144">+BP212/BP207</f>
        <v>0.73806590909090908</v>
      </c>
      <c r="BR216" s="1425"/>
      <c r="BS216" s="1425"/>
      <c r="BT216" s="1425"/>
      <c r="BU216" s="1263"/>
    </row>
    <row r="217" spans="1:73" s="1014" customFormat="1" ht="12" hidden="1" customHeight="1" outlineLevel="2">
      <c r="A217" s="1064"/>
      <c r="B217" s="1008"/>
      <c r="C217" s="1008"/>
      <c r="D217" s="1008"/>
      <c r="E217" s="1009"/>
      <c r="F217" s="1008"/>
      <c r="G217" s="1008"/>
      <c r="H217" s="1008"/>
      <c r="I217" s="1009"/>
      <c r="J217" s="1010"/>
      <c r="K217" s="1008"/>
      <c r="L217" s="1010"/>
      <c r="M217" s="1009"/>
      <c r="N217" s="1008"/>
      <c r="O217" s="1008"/>
      <c r="P217" s="1008"/>
      <c r="Q217" s="1009"/>
      <c r="R217" s="984"/>
      <c r="S217" s="984"/>
      <c r="T217" s="984"/>
      <c r="U217" s="985"/>
      <c r="V217" s="984"/>
      <c r="W217" s="987"/>
      <c r="X217" s="984"/>
      <c r="Y217" s="985"/>
      <c r="Z217" s="1015"/>
      <c r="AA217" s="1015"/>
      <c r="AB217" s="1015"/>
      <c r="AC217" s="1016"/>
      <c r="AD217" s="1015"/>
      <c r="AE217" s="1015"/>
      <c r="AF217" s="1015"/>
      <c r="AG217" s="1016"/>
      <c r="AH217" s="1015"/>
      <c r="AI217" s="1015"/>
      <c r="AJ217" s="1015"/>
      <c r="AK217" s="1016"/>
      <c r="AL217" s="1015"/>
      <c r="AM217" s="1015"/>
      <c r="AN217" s="1015"/>
      <c r="AO217" s="1016"/>
      <c r="AP217" s="1015"/>
      <c r="AQ217" s="1015"/>
      <c r="AR217" s="1015"/>
      <c r="AS217" s="1016"/>
      <c r="AT217" s="1015"/>
      <c r="AU217" s="1015"/>
      <c r="AV217" s="1015"/>
      <c r="AW217" s="1016"/>
      <c r="AX217" s="1015"/>
      <c r="AY217" s="1015"/>
      <c r="AZ217" s="1015"/>
      <c r="BA217" s="1016"/>
      <c r="BB217" s="1013"/>
      <c r="BC217" s="846"/>
      <c r="BD217" s="1011"/>
      <c r="BE217" s="1011"/>
      <c r="BF217" s="1017"/>
      <c r="BG217" s="1017"/>
      <c r="BH217" s="1017"/>
      <c r="BI217" s="1017"/>
      <c r="BJ217" s="1017"/>
      <c r="BK217" s="1017"/>
      <c r="BL217" s="1062"/>
      <c r="BM217" s="1062"/>
      <c r="BN217" s="1368"/>
      <c r="BO217" s="1368"/>
      <c r="BP217" s="1368"/>
      <c r="BR217" s="1425"/>
      <c r="BS217" s="1425"/>
      <c r="BT217" s="1425"/>
      <c r="BU217" s="1263"/>
    </row>
    <row r="218" spans="1:73" s="492" customFormat="1" ht="12" hidden="1" customHeight="1" outlineLevel="2">
      <c r="A218" s="1066" t="s">
        <v>269</v>
      </c>
      <c r="B218" s="1058"/>
      <c r="C218" s="1058"/>
      <c r="D218" s="1058"/>
      <c r="E218" s="1059"/>
      <c r="F218" s="1058">
        <v>14</v>
      </c>
      <c r="G218" s="1058">
        <v>13</v>
      </c>
      <c r="H218" s="1058">
        <v>33</v>
      </c>
      <c r="I218" s="1059">
        <v>12</v>
      </c>
      <c r="J218" s="1058">
        <v>6</v>
      </c>
      <c r="K218" s="1058">
        <v>4</v>
      </c>
      <c r="L218" s="1058">
        <v>65</v>
      </c>
      <c r="M218" s="1059">
        <v>5</v>
      </c>
      <c r="N218" s="1058">
        <v>6</v>
      </c>
      <c r="O218" s="1058">
        <v>4</v>
      </c>
      <c r="P218" s="1058">
        <v>74</v>
      </c>
      <c r="Q218" s="1059">
        <v>6</v>
      </c>
      <c r="R218" s="1058">
        <v>8</v>
      </c>
      <c r="S218" s="1058">
        <v>4</v>
      </c>
      <c r="T218" s="1058">
        <v>59</v>
      </c>
      <c r="U218" s="1059">
        <v>22</v>
      </c>
      <c r="V218" s="1965">
        <v>11</v>
      </c>
      <c r="W218" s="1966">
        <v>5</v>
      </c>
      <c r="X218" s="1967">
        <v>62</v>
      </c>
      <c r="Y218" s="1061">
        <v>20</v>
      </c>
      <c r="Z218" s="1060">
        <f t="shared" ref="Z218:AN218" si="2145">+Z222*Z207</f>
        <v>12.434782608695652</v>
      </c>
      <c r="AA218" s="1060">
        <f t="shared" si="2145"/>
        <v>5.7246376811594191</v>
      </c>
      <c r="AB218" s="1060">
        <f t="shared" si="2145"/>
        <v>68.068085106382995</v>
      </c>
      <c r="AC218" s="1061">
        <f t="shared" si="2145"/>
        <v>9.615384615384615</v>
      </c>
      <c r="AD218" s="1060">
        <f t="shared" si="2145"/>
        <v>16.260869565217391</v>
      </c>
      <c r="AE218" s="1060">
        <f t="shared" si="2145"/>
        <v>6.1111111111111098</v>
      </c>
      <c r="AF218" s="1060">
        <f t="shared" si="2145"/>
        <v>64.902127659574475</v>
      </c>
      <c r="AG218" s="1061">
        <f t="shared" si="2145"/>
        <v>10.769230769230768</v>
      </c>
      <c r="AH218" s="1060">
        <f t="shared" si="2145"/>
        <v>20.086956521739133</v>
      </c>
      <c r="AI218" s="1060">
        <f t="shared" si="2145"/>
        <v>10.96000000000001</v>
      </c>
      <c r="AJ218" s="1060">
        <f t="shared" si="2145"/>
        <v>67.012765957446817</v>
      </c>
      <c r="AK218" s="1061">
        <f t="shared" si="2145"/>
        <v>11.153846153846153</v>
      </c>
      <c r="AL218" s="1060">
        <f t="shared" si="2145"/>
        <v>26.129999999999995</v>
      </c>
      <c r="AM218" s="1060">
        <f t="shared" si="2145"/>
        <v>12.240000000000011</v>
      </c>
      <c r="AN218" s="1060">
        <f t="shared" si="2145"/>
        <v>106.474</v>
      </c>
      <c r="AO218" s="1061">
        <f t="shared" ref="AO218:AQ218" si="2146">+AO222*AO207</f>
        <v>18.399999999999999</v>
      </c>
      <c r="AP218" s="1060">
        <f t="shared" si="2146"/>
        <v>30.15</v>
      </c>
      <c r="AQ218" s="1060">
        <f t="shared" si="2146"/>
        <v>13.050000000000011</v>
      </c>
      <c r="AR218" s="1060">
        <f t="shared" ref="AR218:AS218" si="2147">+AR222*AR207</f>
        <v>108.60348</v>
      </c>
      <c r="AS218" s="1061">
        <f t="shared" si="2147"/>
        <v>18.767999999999997</v>
      </c>
      <c r="AT218" s="1060">
        <f t="shared" ref="AT218:AW218" si="2148">+AT222*AT207</f>
        <v>30.903749999999992</v>
      </c>
      <c r="AU218" s="1060">
        <f t="shared" si="2148"/>
        <v>13.376250000000011</v>
      </c>
      <c r="AV218" s="1060">
        <f t="shared" si="2148"/>
        <v>111.318567</v>
      </c>
      <c r="AW218" s="1061">
        <f t="shared" si="2148"/>
        <v>19.237199999999998</v>
      </c>
      <c r="AX218" s="1060">
        <f t="shared" ref="AX218:BA218" si="2149">+AX222*AX207</f>
        <v>32.13989999999999</v>
      </c>
      <c r="AY218" s="1060">
        <f t="shared" si="2149"/>
        <v>13.911300000000011</v>
      </c>
      <c r="AZ218" s="1060">
        <f t="shared" si="2149"/>
        <v>115.77130968000002</v>
      </c>
      <c r="BA218" s="1061">
        <f t="shared" si="2149"/>
        <v>20.006687999999997</v>
      </c>
      <c r="BB218" s="1005"/>
      <c r="BC218" s="981"/>
      <c r="BD218" s="1083"/>
      <c r="BE218" s="1083">
        <f>SUM(F218:I218)</f>
        <v>72</v>
      </c>
      <c r="BF218" s="1083">
        <f>SUM(J218:M218)</f>
        <v>80</v>
      </c>
      <c r="BG218" s="1083">
        <f>SUM(N218:Q218)</f>
        <v>90</v>
      </c>
      <c r="BH218" s="1083">
        <f>SUM(R218:U218)</f>
        <v>93</v>
      </c>
      <c r="BI218" s="1083">
        <f>SUM(V218:Y218)</f>
        <v>98</v>
      </c>
      <c r="BJ218" s="1083">
        <f>SUM(Z218:AC218)</f>
        <v>95.842890011622671</v>
      </c>
      <c r="BK218" s="1083">
        <f>SUM(AD218:AG218)</f>
        <v>98.043339105133754</v>
      </c>
      <c r="BL218" s="1083">
        <f>SUM(AH218:AK218)</f>
        <v>109.21356863303211</v>
      </c>
      <c r="BM218" s="1083">
        <f>SUM(AL218:AO218)</f>
        <v>163.244</v>
      </c>
      <c r="BN218" s="1364">
        <f>SUM(AP218:AS218)</f>
        <v>170.57148000000001</v>
      </c>
      <c r="BO218" s="1364">
        <f>SUM(AT218:AW218)</f>
        <v>174.835767</v>
      </c>
      <c r="BP218" s="1364">
        <f>SUM(AX218:BA218)</f>
        <v>181.82919768000002</v>
      </c>
      <c r="BR218" s="1429"/>
      <c r="BS218" s="1429"/>
      <c r="BT218" s="1429"/>
      <c r="BU218" s="1263"/>
    </row>
    <row r="219" spans="1:73" s="1014" customFormat="1" ht="12" hidden="1" customHeight="1" outlineLevel="2">
      <c r="A219" s="1064" t="s">
        <v>181</v>
      </c>
      <c r="B219" s="987"/>
      <c r="C219" s="987"/>
      <c r="D219" s="987"/>
      <c r="E219" s="998"/>
      <c r="F219" s="999" t="str">
        <f t="shared" ref="F219" si="2150">IF(ISERROR(F218/B218-1),"NA",F218/B218-1)</f>
        <v>NA</v>
      </c>
      <c r="G219" s="987" t="str">
        <f t="shared" ref="G219" si="2151">IF(ISERROR(G218/C218-1),"NA",G218/C218-1)</f>
        <v>NA</v>
      </c>
      <c r="H219" s="987" t="str">
        <f t="shared" ref="H219" si="2152">IF(ISERROR(H218/D218-1),"NA",H218/D218-1)</f>
        <v>NA</v>
      </c>
      <c r="I219" s="998" t="str">
        <f t="shared" ref="I219" si="2153">IF(ISERROR(I218/E218-1),"NA",I218/E218-1)</f>
        <v>NA</v>
      </c>
      <c r="J219" s="999">
        <f t="shared" ref="J219" si="2154">IF(ISERROR(J218/F218-1),"NA",J218/F218-1)</f>
        <v>-0.5714285714285714</v>
      </c>
      <c r="K219" s="987">
        <f t="shared" ref="K219" si="2155">IF(ISERROR(K218/G218-1),"NA",K218/G218-1)</f>
        <v>-0.69230769230769229</v>
      </c>
      <c r="L219" s="987">
        <f t="shared" ref="L219" si="2156">IF(ISERROR(L218/H218-1),"NA",L218/H218-1)</f>
        <v>0.96969696969696972</v>
      </c>
      <c r="M219" s="998">
        <f t="shared" ref="M219" si="2157">IF(ISERROR(M218/I218-1),"NA",M218/I218-1)</f>
        <v>-0.58333333333333326</v>
      </c>
      <c r="N219" s="999">
        <f t="shared" ref="N219" si="2158">IF(ISERROR(N218/J218-1),"NA",N218/J218-1)</f>
        <v>0</v>
      </c>
      <c r="O219" s="987">
        <f t="shared" ref="O219" si="2159">IF(ISERROR(O218/K218-1),"NA",O218/K218-1)</f>
        <v>0</v>
      </c>
      <c r="P219" s="987">
        <f t="shared" ref="P219" si="2160">IF(ISERROR(P218/L218-1),"NA",P218/L218-1)</f>
        <v>0.13846153846153841</v>
      </c>
      <c r="Q219" s="998">
        <f t="shared" ref="Q219" si="2161">IF(ISERROR(Q218/M218-1),"NA",Q218/M218-1)</f>
        <v>0.19999999999999996</v>
      </c>
      <c r="R219" s="984">
        <f t="shared" ref="R219" si="2162">IF(ISERROR(R218/N218-1),"NA",R218/N218-1)</f>
        <v>0.33333333333333326</v>
      </c>
      <c r="S219" s="984">
        <f t="shared" ref="S219" si="2163">IF(ISERROR(S218/O218-1),"NA",S218/O218-1)</f>
        <v>0</v>
      </c>
      <c r="T219" s="984">
        <f t="shared" ref="T219" si="2164">IF(ISERROR(T218/P218-1),"NA",T218/P218-1)</f>
        <v>-0.20270270270270274</v>
      </c>
      <c r="U219" s="985">
        <f t="shared" ref="U219" si="2165">IF(ISERROR(U218/Q218-1),"NA",U218/Q218-1)</f>
        <v>2.6666666666666665</v>
      </c>
      <c r="V219" s="984">
        <f t="shared" ref="V219:X219" si="2166">IF(ISERROR(V218/R218-1),"NA",V218/R218-1)</f>
        <v>0.375</v>
      </c>
      <c r="W219" s="984">
        <f t="shared" si="2166"/>
        <v>0.25</v>
      </c>
      <c r="X219" s="984">
        <f t="shared" si="2166"/>
        <v>5.0847457627118731E-2</v>
      </c>
      <c r="Y219" s="985">
        <f t="shared" ref="Y219" si="2167">IF(ISERROR(Y218/U218-1),"NA",Y218/U218-1)</f>
        <v>-9.0909090909090939E-2</v>
      </c>
      <c r="Z219" s="984">
        <f t="shared" ref="Z219" si="2168">IF(ISERROR(Z218/V218-1),"NA",Z218/V218-1)</f>
        <v>0.13043478260869557</v>
      </c>
      <c r="AA219" s="984">
        <f t="shared" ref="AA219" si="2169">IF(ISERROR(AA218/W218-1),"NA",AA218/W218-1)</f>
        <v>0.14492753623188381</v>
      </c>
      <c r="AB219" s="984">
        <f t="shared" ref="AB219" si="2170">IF(ISERROR(AB218/X218-1),"NA",AB218/X218-1)</f>
        <v>9.7872340425532167E-2</v>
      </c>
      <c r="AC219" s="985">
        <f t="shared" ref="AC219" si="2171">IF(ISERROR(AC218/Y218-1),"NA",AC218/Y218-1)</f>
        <v>-0.51923076923076927</v>
      </c>
      <c r="AD219" s="984">
        <f t="shared" ref="AD219" si="2172">IF(ISERROR(AD218/Z218-1),"NA",AD218/Z218-1)</f>
        <v>0.30769230769230771</v>
      </c>
      <c r="AE219" s="984">
        <f t="shared" ref="AE219" si="2173">IF(ISERROR(AE218/AA218-1),"NA",AE218/AA218-1)</f>
        <v>6.7510548523206815E-2</v>
      </c>
      <c r="AF219" s="984">
        <f t="shared" ref="AF219" si="2174">IF(ISERROR(AF218/AB218-1),"NA",AF218/AB218-1)</f>
        <v>-4.6511627906976827E-2</v>
      </c>
      <c r="AG219" s="985">
        <f t="shared" ref="AG219" si="2175">IF(ISERROR(AG218/AC218-1),"NA",AG218/AC218-1)</f>
        <v>0.11999999999999988</v>
      </c>
      <c r="AH219" s="984">
        <f t="shared" ref="AH219" si="2176">IF(ISERROR(AH218/AD218-1),"NA",AH218/AD218-1)</f>
        <v>0.2352941176470591</v>
      </c>
      <c r="AI219" s="984">
        <f t="shared" ref="AI219" si="2177">IF(ISERROR(AI218/AE218-1),"NA",AI218/AE218-1)</f>
        <v>0.79345454545454741</v>
      </c>
      <c r="AJ219" s="984">
        <f t="shared" ref="AJ219" si="2178">IF(ISERROR(AJ218/AF218-1),"NA",AJ218/AF218-1)</f>
        <v>3.2520325203251987E-2</v>
      </c>
      <c r="AK219" s="985">
        <f t="shared" ref="AK219" si="2179">IF(ISERROR(AK218/AG218-1),"NA",AK218/AG218-1)</f>
        <v>3.5714285714285809E-2</v>
      </c>
      <c r="AL219" s="984">
        <f t="shared" ref="AL219" si="2180">IF(ISERROR(AL218/AH218-1),"NA",AL218/AH218-1)</f>
        <v>0.30084415584415547</v>
      </c>
      <c r="AM219" s="984">
        <f t="shared" ref="AM219" si="2181">IF(ISERROR(AM218/AI218-1),"NA",AM218/AI218-1)</f>
        <v>0.11678832116788329</v>
      </c>
      <c r="AN219" s="984">
        <f t="shared" ref="AN219:AQ219" si="2182">IF(ISERROR(AN218/AJ218-1),"NA",AN218/AJ218-1)</f>
        <v>0.58886144272288532</v>
      </c>
      <c r="AO219" s="985">
        <f t="shared" si="2182"/>
        <v>0.64965517241379311</v>
      </c>
      <c r="AP219" s="984">
        <f t="shared" si="2182"/>
        <v>0.15384615384615397</v>
      </c>
      <c r="AQ219" s="984">
        <f t="shared" si="2182"/>
        <v>6.6176470588235281E-2</v>
      </c>
      <c r="AR219" s="984">
        <f t="shared" ref="AR219" si="2183">IF(ISERROR(AR218/AN218-1),"NA",AR218/AN218-1)</f>
        <v>2.0000000000000018E-2</v>
      </c>
      <c r="AS219" s="985">
        <f t="shared" ref="AS219" si="2184">IF(ISERROR(AS218/AO218-1),"NA",AS218/AO218-1)</f>
        <v>2.0000000000000018E-2</v>
      </c>
      <c r="AT219" s="984">
        <f t="shared" ref="AT219" si="2185">IF(ISERROR(AT218/AP218-1),"NA",AT218/AP218-1)</f>
        <v>2.4999999999999689E-2</v>
      </c>
      <c r="AU219" s="984">
        <f t="shared" ref="AU219" si="2186">IF(ISERROR(AU218/AQ218-1),"NA",AU218/AQ218-1)</f>
        <v>2.4999999999999911E-2</v>
      </c>
      <c r="AV219" s="984">
        <f t="shared" ref="AV219" si="2187">IF(ISERROR(AV218/AR218-1),"NA",AV218/AR218-1)</f>
        <v>2.4999999999999911E-2</v>
      </c>
      <c r="AW219" s="985">
        <f t="shared" ref="AW219" si="2188">IF(ISERROR(AW218/AS218-1),"NA",AW218/AS218-1)</f>
        <v>2.5000000000000133E-2</v>
      </c>
      <c r="AX219" s="984">
        <f t="shared" ref="AX219" si="2189">IF(ISERROR(AX218/AT218-1),"NA",AX218/AT218-1)</f>
        <v>4.0000000000000036E-2</v>
      </c>
      <c r="AY219" s="984">
        <f t="shared" ref="AY219" si="2190">IF(ISERROR(AY218/AU218-1),"NA",AY218/AU218-1)</f>
        <v>4.0000000000000036E-2</v>
      </c>
      <c r="AZ219" s="984">
        <f t="shared" ref="AZ219" si="2191">IF(ISERROR(AZ218/AV218-1),"NA",AZ218/AV218-1)</f>
        <v>4.0000000000000036E-2</v>
      </c>
      <c r="BA219" s="985">
        <f t="shared" ref="BA219" si="2192">IF(ISERROR(BA218/AW218-1),"NA",BA218/AW218-1)</f>
        <v>4.0000000000000036E-2</v>
      </c>
      <c r="BB219" s="1013"/>
      <c r="BC219" s="841"/>
      <c r="BD219" s="842"/>
      <c r="BE219" s="842" t="str">
        <f t="shared" ref="BE219" si="2193">IF(ISERROR(BE218/BD218-1),"NA",BE218/BD218-1)</f>
        <v>NA</v>
      </c>
      <c r="BF219" s="842">
        <f t="shared" ref="BF219" si="2194">IF(ISERROR(BF218/BE218-1),"NA",BF218/BE218-1)</f>
        <v>0.11111111111111116</v>
      </c>
      <c r="BG219" s="842">
        <f t="shared" ref="BG219" si="2195">IF(ISERROR(BG218/BF218-1),"NA",BG218/BF218-1)</f>
        <v>0.125</v>
      </c>
      <c r="BH219" s="842">
        <f t="shared" ref="BH219" si="2196">IF(ISERROR(BH218/BG218-1),"NA",BH218/BG218-1)</f>
        <v>3.3333333333333437E-2</v>
      </c>
      <c r="BI219" s="842">
        <f t="shared" ref="BI219" si="2197">IF(ISERROR(BI218/BH218-1),"NA",BI218/BH218-1)</f>
        <v>5.3763440860215006E-2</v>
      </c>
      <c r="BJ219" s="842">
        <f t="shared" ref="BJ219" si="2198">IF(ISERROR(BJ218/BI218-1),"NA",BJ218/BI218-1)</f>
        <v>-2.2011326412013532E-2</v>
      </c>
      <c r="BK219" s="842">
        <f t="shared" ref="BK219" si="2199">IF(ISERROR(BK218/BJ218-1),"NA",BK218/BJ218-1)</f>
        <v>2.2958918426231101E-2</v>
      </c>
      <c r="BL219" s="842">
        <f t="shared" ref="BL219:BP219" si="2200">IF(ISERROR(BL218/BK218-1),"NA",BL218/BK218-1)</f>
        <v>0.11393154935207073</v>
      </c>
      <c r="BM219" s="842">
        <f t="shared" si="2200"/>
        <v>0.49472269831704918</v>
      </c>
      <c r="BN219" s="1187">
        <f t="shared" si="2200"/>
        <v>4.4886672710788833E-2</v>
      </c>
      <c r="BO219" s="1187">
        <f t="shared" si="2200"/>
        <v>2.4999999999999911E-2</v>
      </c>
      <c r="BP219" s="1187">
        <f t="shared" si="2200"/>
        <v>4.0000000000000036E-2</v>
      </c>
      <c r="BR219" s="1425"/>
      <c r="BS219" s="1425"/>
      <c r="BT219" s="1425"/>
      <c r="BU219" s="1263"/>
    </row>
    <row r="220" spans="1:73" s="1014" customFormat="1" ht="12" hidden="1" customHeight="1" outlineLevel="2">
      <c r="A220" s="1064" t="s">
        <v>291</v>
      </c>
      <c r="B220" s="987"/>
      <c r="C220" s="987"/>
      <c r="D220" s="987"/>
      <c r="E220" s="998"/>
      <c r="F220" s="999" t="str">
        <f t="shared" ref="F220" si="2201">IF(ISERROR(F218/E218-1),"NA",F218/E218-1)</f>
        <v>NA</v>
      </c>
      <c r="G220" s="987">
        <f t="shared" ref="G220" si="2202">IF(ISERROR(G218/F218-1),"NA",G218/F218-1)</f>
        <v>-7.1428571428571397E-2</v>
      </c>
      <c r="H220" s="987">
        <f t="shared" ref="H220" si="2203">IF(ISERROR(H218/G218-1),"NA",H218/G218-1)</f>
        <v>1.5384615384615383</v>
      </c>
      <c r="I220" s="998">
        <f t="shared" ref="I220" si="2204">IF(ISERROR(I218/H218-1),"NA",I218/H218-1)</f>
        <v>-0.63636363636363635</v>
      </c>
      <c r="J220" s="999">
        <f t="shared" ref="J220" si="2205">IF(ISERROR(J218/I218-1),"NA",J218/I218-1)</f>
        <v>-0.5</v>
      </c>
      <c r="K220" s="987">
        <f t="shared" ref="K220" si="2206">IF(ISERROR(K218/J218-1),"NA",K218/J218-1)</f>
        <v>-0.33333333333333337</v>
      </c>
      <c r="L220" s="987">
        <f t="shared" ref="L220" si="2207">IF(ISERROR(L218/K218-1),"NA",L218/K218-1)</f>
        <v>15.25</v>
      </c>
      <c r="M220" s="998">
        <f t="shared" ref="M220" si="2208">IF(ISERROR(M218/L218-1),"NA",M218/L218-1)</f>
        <v>-0.92307692307692313</v>
      </c>
      <c r="N220" s="999">
        <f t="shared" ref="N220" si="2209">IF(ISERROR(N218/M218-1),"NA",N218/M218-1)</f>
        <v>0.19999999999999996</v>
      </c>
      <c r="O220" s="987">
        <f t="shared" ref="O220" si="2210">IF(ISERROR(O218/N218-1),"NA",O218/N218-1)</f>
        <v>-0.33333333333333337</v>
      </c>
      <c r="P220" s="987">
        <f t="shared" ref="P220" si="2211">IF(ISERROR(P218/O218-1),"NA",P218/O218-1)</f>
        <v>17.5</v>
      </c>
      <c r="Q220" s="998">
        <f t="shared" ref="Q220" si="2212">IF(ISERROR(Q218/P218-1),"NA",Q218/P218-1)</f>
        <v>-0.91891891891891886</v>
      </c>
      <c r="R220" s="984">
        <f t="shared" ref="R220" si="2213">IF(ISERROR(R218/Q218-1),"NA",R218/Q218-1)</f>
        <v>0.33333333333333326</v>
      </c>
      <c r="S220" s="984">
        <f t="shared" ref="S220" si="2214">IF(ISERROR(S218/R218-1),"NA",S218/R218-1)</f>
        <v>-0.5</v>
      </c>
      <c r="T220" s="984">
        <f t="shared" ref="T220" si="2215">IF(ISERROR(T218/S218-1),"NA",T218/S218-1)</f>
        <v>13.75</v>
      </c>
      <c r="U220" s="985">
        <f t="shared" ref="U220" si="2216">IF(ISERROR(U218/T218-1),"NA",U218/T218-1)</f>
        <v>-0.6271186440677966</v>
      </c>
      <c r="V220" s="984">
        <f t="shared" ref="V220:X220" si="2217">IF(ISERROR(V218/U218-1),"NA",V218/U218-1)</f>
        <v>-0.5</v>
      </c>
      <c r="W220" s="984">
        <f t="shared" si="2217"/>
        <v>-0.54545454545454541</v>
      </c>
      <c r="X220" s="984">
        <f t="shared" si="2217"/>
        <v>11.4</v>
      </c>
      <c r="Y220" s="985">
        <f t="shared" ref="Y220" si="2218">IF(ISERROR(Y218/X218-1),"NA",Y218/X218-1)</f>
        <v>-0.67741935483870974</v>
      </c>
      <c r="Z220" s="984">
        <f t="shared" ref="Z220" si="2219">IF(ISERROR(Z218/Y218-1),"NA",Z218/Y218-1)</f>
        <v>-0.37826086956521743</v>
      </c>
      <c r="AA220" s="984">
        <f t="shared" ref="AA220" si="2220">IF(ISERROR(AA218/Z218-1),"NA",AA218/Z218-1)</f>
        <v>-0.53962703962703973</v>
      </c>
      <c r="AB220" s="984">
        <f t="shared" ref="AB220" si="2221">IF(ISERROR(AB218/AA218-1),"NA",AB218/AA218-1)</f>
        <v>10.890374360355514</v>
      </c>
      <c r="AC220" s="985">
        <f t="shared" ref="AC220" si="2222">IF(ISERROR(AC218/AB218-1),"NA",AC218/AB218-1)</f>
        <v>-0.85873872314232402</v>
      </c>
      <c r="AD220" s="984">
        <f t="shared" ref="AD220" si="2223">IF(ISERROR(AD218/AC218-1),"NA",AD218/AC218-1)</f>
        <v>0.6911304347826086</v>
      </c>
      <c r="AE220" s="984">
        <f t="shared" ref="AE220" si="2224">IF(ISERROR(AE218/AD218-1),"NA",AE218/AD218-1)</f>
        <v>-0.62418300653594772</v>
      </c>
      <c r="AF220" s="984">
        <f t="shared" ref="AF220" si="2225">IF(ISERROR(AF218/AE218-1),"NA",AF218/AE218-1)</f>
        <v>9.6203481624758247</v>
      </c>
      <c r="AG220" s="985">
        <f t="shared" ref="AG220" si="2226">IF(ISERROR(AG218/AF218-1),"NA",AG218/AF218-1)</f>
        <v>-0.83406968064717868</v>
      </c>
      <c r="AH220" s="984">
        <f t="shared" ref="AH220" si="2227">IF(ISERROR(AH218/AG218-1),"NA",AH218/AG218-1)</f>
        <v>0.86521739130434816</v>
      </c>
      <c r="AI220" s="984">
        <f t="shared" ref="AI220" si="2228">IF(ISERROR(AI218/AH218-1),"NA",AI218/AH218-1)</f>
        <v>-0.45437229437229398</v>
      </c>
      <c r="AJ220" s="984">
        <f t="shared" ref="AJ220" si="2229">IF(ISERROR(AJ218/AI218-1),"NA",AJ218/AI218-1)</f>
        <v>5.1143034632706899</v>
      </c>
      <c r="AK220" s="985">
        <f t="shared" ref="AK220" si="2230">IF(ISERROR(AK218/AJ218-1),"NA",AK218/AJ218-1)</f>
        <v>-0.83355639788202662</v>
      </c>
      <c r="AL220" s="984">
        <f t="shared" ref="AL220" si="2231">IF(ISERROR(AL218/AK218-1),"NA",AL218/AK218-1)</f>
        <v>1.3426896551724137</v>
      </c>
      <c r="AM220" s="984">
        <f t="shared" ref="AM220" si="2232">IF(ISERROR(AM218/AL218-1),"NA",AM218/AL218-1)</f>
        <v>-0.53157290470723262</v>
      </c>
      <c r="AN220" s="984">
        <f t="shared" ref="AN220:AQ220" si="2233">IF(ISERROR(AN218/AM218-1),"NA",AN218/AM218-1)</f>
        <v>7.6988562091503194</v>
      </c>
      <c r="AO220" s="985">
        <f t="shared" si="2233"/>
        <v>-0.82718785806863648</v>
      </c>
      <c r="AP220" s="984">
        <f t="shared" si="2233"/>
        <v>0.63858695652173925</v>
      </c>
      <c r="AQ220" s="984">
        <f t="shared" si="2233"/>
        <v>-0.56716417910447725</v>
      </c>
      <c r="AR220" s="984">
        <f t="shared" ref="AR220" si="2234">IF(ISERROR(AR218/AQ218-1),"NA",AR218/AQ218-1)</f>
        <v>7.3221057471264306</v>
      </c>
      <c r="AS220" s="985">
        <f t="shared" ref="AS220" si="2235">IF(ISERROR(AS218/AR218-1),"NA",AS218/AR218-1)</f>
        <v>-0.82718785806863648</v>
      </c>
      <c r="AT220" s="984">
        <f t="shared" ref="AT220" si="2236">IF(ISERROR(AT218/AS218-1),"NA",AT218/AS218-1)</f>
        <v>0.6466192455242965</v>
      </c>
      <c r="AU220" s="984">
        <f t="shared" ref="AU220" si="2237">IF(ISERROR(AU218/AT218-1),"NA",AU218/AT218-1)</f>
        <v>-0.56716417910447714</v>
      </c>
      <c r="AV220" s="984">
        <f t="shared" ref="AV220" si="2238">IF(ISERROR(AV218/AU218-1),"NA",AV218/AU218-1)</f>
        <v>7.3221057471264306</v>
      </c>
      <c r="AW220" s="985">
        <f t="shared" ref="AW220" si="2239">IF(ISERROR(AW218/AV218-1),"NA",AW218/AV218-1)</f>
        <v>-0.82718785806863648</v>
      </c>
      <c r="AX220" s="984">
        <f t="shared" ref="AX220" si="2240">IF(ISERROR(AX218/AW218-1),"NA",AX218/AW218-1)</f>
        <v>0.67071611253196894</v>
      </c>
      <c r="AY220" s="984">
        <f t="shared" ref="AY220" si="2241">IF(ISERROR(AY218/AX218-1),"NA",AY218/AX218-1)</f>
        <v>-0.56716417910447714</v>
      </c>
      <c r="AZ220" s="984">
        <f t="shared" ref="AZ220" si="2242">IF(ISERROR(AZ218/AY218-1),"NA",AZ218/AY218-1)</f>
        <v>7.3221057471264306</v>
      </c>
      <c r="BA220" s="985">
        <f t="shared" ref="BA220" si="2243">IF(ISERROR(BA218/AZ218-1),"NA",BA218/AZ218-1)</f>
        <v>-0.82718785806863648</v>
      </c>
      <c r="BB220" s="1013"/>
      <c r="BC220" s="846"/>
      <c r="BD220" s="989"/>
      <c r="BE220" s="989" t="s">
        <v>366</v>
      </c>
      <c r="BF220" s="989" t="s">
        <v>366</v>
      </c>
      <c r="BG220" s="841" t="s">
        <v>366</v>
      </c>
      <c r="BH220" s="841" t="s">
        <v>366</v>
      </c>
      <c r="BI220" s="989" t="s">
        <v>366</v>
      </c>
      <c r="BJ220" s="989" t="s">
        <v>366</v>
      </c>
      <c r="BK220" s="989" t="s">
        <v>366</v>
      </c>
      <c r="BL220" s="989" t="s">
        <v>366</v>
      </c>
      <c r="BM220" s="1046" t="s">
        <v>366</v>
      </c>
      <c r="BN220" s="1188" t="s">
        <v>366</v>
      </c>
      <c r="BO220" s="1188" t="s">
        <v>366</v>
      </c>
      <c r="BP220" s="1188" t="s">
        <v>366</v>
      </c>
      <c r="BR220" s="1425"/>
      <c r="BS220" s="1425"/>
      <c r="BT220" s="1425"/>
      <c r="BU220" s="1263"/>
    </row>
    <row r="221" spans="1:73" s="1014" customFormat="1" ht="12" hidden="1" customHeight="1" outlineLevel="2">
      <c r="A221" s="1064" t="s">
        <v>153</v>
      </c>
      <c r="B221" s="1008"/>
      <c r="C221" s="1008"/>
      <c r="D221" s="1008"/>
      <c r="E221" s="1009"/>
      <c r="F221" s="1008">
        <f>+F218/F$6</f>
        <v>1.7994858611825194E-2</v>
      </c>
      <c r="G221" s="1008">
        <f t="shared" ref="G221:U221" si="2244">+G218/G$6</f>
        <v>1.2795275590551181E-2</v>
      </c>
      <c r="H221" s="1008">
        <f t="shared" si="2244"/>
        <v>1.2987012987012988E-2</v>
      </c>
      <c r="I221" s="1009">
        <f t="shared" si="2244"/>
        <v>1.4251781472684086E-2</v>
      </c>
      <c r="J221" s="1010">
        <f t="shared" si="2244"/>
        <v>6.5934065934065934E-3</v>
      </c>
      <c r="K221" s="1008">
        <f t="shared" si="2244"/>
        <v>2.9873039581777448E-3</v>
      </c>
      <c r="L221" s="1010">
        <f t="shared" si="2244"/>
        <v>2.2321428571428572E-2</v>
      </c>
      <c r="M221" s="1009">
        <f t="shared" si="2244"/>
        <v>5.7870370370370367E-3</v>
      </c>
      <c r="N221" s="1008">
        <f t="shared" si="2244"/>
        <v>5.905511811023622E-3</v>
      </c>
      <c r="O221" s="1008">
        <f t="shared" si="2244"/>
        <v>2.6631158455392811E-3</v>
      </c>
      <c r="P221" s="1008">
        <f t="shared" si="2244"/>
        <v>2.2616136919315404E-2</v>
      </c>
      <c r="Q221" s="1009">
        <f t="shared" si="2244"/>
        <v>6.0362173038229373E-3</v>
      </c>
      <c r="R221" s="984">
        <f t="shared" si="2244"/>
        <v>6.8669527896995704E-3</v>
      </c>
      <c r="S221" s="984">
        <f t="shared" si="2244"/>
        <v>2.3584905660377358E-3</v>
      </c>
      <c r="T221" s="984">
        <f t="shared" si="2244"/>
        <v>1.9653564290473019E-2</v>
      </c>
      <c r="U221" s="985">
        <f t="shared" si="2244"/>
        <v>1.2114537444933921E-2</v>
      </c>
      <c r="V221" s="984">
        <f t="shared" ref="V221:AN221" si="2245">+V218/V$6</f>
        <v>8.3144368858654571E-3</v>
      </c>
      <c r="W221" s="984">
        <f t="shared" si="2245"/>
        <v>3.1725888324873096E-3</v>
      </c>
      <c r="X221" s="984">
        <f t="shared" si="2245"/>
        <v>1.4857416726575605E-2</v>
      </c>
      <c r="Y221" s="985">
        <f t="shared" si="2245"/>
        <v>7.8094494338149158E-3</v>
      </c>
      <c r="Z221" s="984">
        <f t="shared" si="2245"/>
        <v>6.1957063321851783E-3</v>
      </c>
      <c r="AA221" s="984">
        <f t="shared" si="2245"/>
        <v>2.1416527052597902E-3</v>
      </c>
      <c r="AB221" s="984">
        <f t="shared" si="2245"/>
        <v>1.2085952611218573E-2</v>
      </c>
      <c r="AC221" s="985">
        <f t="shared" si="2245"/>
        <v>3.9831750685106106E-3</v>
      </c>
      <c r="AD221" s="984">
        <f t="shared" si="2245"/>
        <v>6.2614053004302625E-3</v>
      </c>
      <c r="AE221" s="984">
        <f t="shared" si="2245"/>
        <v>2.0095728744199638E-3</v>
      </c>
      <c r="AF221" s="984">
        <f t="shared" si="2245"/>
        <v>1.0784667274771431E-2</v>
      </c>
      <c r="AG221" s="985">
        <f t="shared" si="2245"/>
        <v>3.9709552983889264E-3</v>
      </c>
      <c r="AH221" s="984">
        <f t="shared" si="2245"/>
        <v>6.7451163605571299E-3</v>
      </c>
      <c r="AI221" s="984">
        <f t="shared" si="2245"/>
        <v>3.236857649143535E-3</v>
      </c>
      <c r="AJ221" s="984">
        <f t="shared" si="2245"/>
        <v>9.9469743145980151E-3</v>
      </c>
      <c r="AK221" s="985">
        <f t="shared" si="2245"/>
        <v>3.503092385001932E-3</v>
      </c>
      <c r="AL221" s="984">
        <f t="shared" si="2245"/>
        <v>7.959183673469386E-3</v>
      </c>
      <c r="AM221" s="984">
        <f t="shared" si="2245"/>
        <v>3.0885692657077997E-3</v>
      </c>
      <c r="AN221" s="984">
        <f t="shared" si="2245"/>
        <v>1.373149342274955E-2</v>
      </c>
      <c r="AO221" s="985">
        <f t="shared" ref="AO221:AQ221" si="2246">+AO218/AO$6</f>
        <v>4.8029235186635337E-3</v>
      </c>
      <c r="AP221" s="984">
        <f t="shared" si="2246"/>
        <v>7.7606177606177607E-3</v>
      </c>
      <c r="AQ221" s="984">
        <f t="shared" si="2246"/>
        <v>2.8058482046871666E-3</v>
      </c>
      <c r="AR221" s="984">
        <f t="shared" ref="AR221:AS221" si="2247">+AR218/AR$6</f>
        <v>1.2794084280391162E-2</v>
      </c>
      <c r="AS221" s="985">
        <f t="shared" si="2247"/>
        <v>4.413271559759231E-3</v>
      </c>
      <c r="AT221" s="984">
        <f t="shared" ref="AT221:AW221" si="2248">+AT218/AT$6</f>
        <v>6.996072261336108E-3</v>
      </c>
      <c r="AU221" s="984">
        <f t="shared" si="2248"/>
        <v>2.5232041833523153E-3</v>
      </c>
      <c r="AV221" s="984">
        <f t="shared" si="2248"/>
        <v>1.1965534061018373E-2</v>
      </c>
      <c r="AW221" s="985">
        <f t="shared" si="2248"/>
        <v>4.0537992874181191E-3</v>
      </c>
      <c r="AX221" s="984">
        <f t="shared" ref="AX221:BA221" si="2249">+AX218/AX$6</f>
        <v>6.4558287051779172E-3</v>
      </c>
      <c r="AY221" s="984">
        <f t="shared" si="2249"/>
        <v>2.3096791739071077E-3</v>
      </c>
      <c r="AZ221" s="984">
        <f t="shared" si="2249"/>
        <v>1.1308702707286634E-2</v>
      </c>
      <c r="BA221" s="985">
        <f t="shared" si="2249"/>
        <v>3.7515782639425642E-3</v>
      </c>
      <c r="BB221" s="1013"/>
      <c r="BC221" s="846"/>
      <c r="BD221" s="1011"/>
      <c r="BE221" s="1011">
        <f t="shared" ref="BE221" si="2250">+BE218/BE$6</f>
        <v>1.3907668533899941E-2</v>
      </c>
      <c r="BF221" s="1017">
        <f>+BF218/BF$6</f>
        <v>1.3278008298755186E-2</v>
      </c>
      <c r="BG221" s="1017">
        <f>+BG218/BG$6</f>
        <v>1.3266509433962265E-2</v>
      </c>
      <c r="BH221" s="1017">
        <f>+BH218/BH$6</f>
        <v>1.2110951946868082E-2</v>
      </c>
      <c r="BI221" s="1017">
        <f t="shared" ref="BI221:BM221" si="2251">+BI218/BI$6</f>
        <v>1.0173362400083048E-2</v>
      </c>
      <c r="BJ221" s="1017">
        <f t="shared" si="2251"/>
        <v>7.5312659132188171E-3</v>
      </c>
      <c r="BK221" s="1017">
        <f t="shared" si="2251"/>
        <v>6.8237290579853671E-3</v>
      </c>
      <c r="BL221" s="1017">
        <f t="shared" si="2251"/>
        <v>6.7063904595045815E-3</v>
      </c>
      <c r="BM221" s="1062">
        <f t="shared" si="2251"/>
        <v>8.6688970314906279E-3</v>
      </c>
      <c r="BN221" s="1368">
        <f t="shared" ref="BN221:BO221" si="2252">+BN218/BN$6</f>
        <v>8.0166328295819978E-3</v>
      </c>
      <c r="BO221" s="1368">
        <f t="shared" si="2252"/>
        <v>7.3561361340405557E-3</v>
      </c>
      <c r="BP221" s="1368">
        <f t="shared" ref="BP221" si="2253">+BP218/BP$6</f>
        <v>6.8429612437629307E-3</v>
      </c>
      <c r="BR221" s="1425"/>
      <c r="BS221" s="1425"/>
      <c r="BT221" s="1425"/>
      <c r="BU221" s="1263"/>
    </row>
    <row r="222" spans="1:73" s="1014" customFormat="1" ht="12" hidden="1" customHeight="1" outlineLevel="2">
      <c r="A222" s="1064" t="s">
        <v>372</v>
      </c>
      <c r="B222" s="1008"/>
      <c r="C222" s="1008"/>
      <c r="D222" s="1008"/>
      <c r="E222" s="1009"/>
      <c r="F222" s="1008">
        <f t="shared" ref="F222:U222" si="2254">+F218/F207</f>
        <v>0.125</v>
      </c>
      <c r="G222" s="1008">
        <f t="shared" si="2254"/>
        <v>0.13131313131313133</v>
      </c>
      <c r="H222" s="1008">
        <f t="shared" si="2254"/>
        <v>0.28448275862068967</v>
      </c>
      <c r="I222" s="1009">
        <f t="shared" si="2254"/>
        <v>0.10619469026548672</v>
      </c>
      <c r="J222" s="1010">
        <f t="shared" si="2254"/>
        <v>0.35294117647058826</v>
      </c>
      <c r="K222" s="1008">
        <f t="shared" si="2254"/>
        <v>1.9047619047619049E-2</v>
      </c>
      <c r="L222" s="1010">
        <f t="shared" si="2254"/>
        <v>0.30092592592592593</v>
      </c>
      <c r="M222" s="1009">
        <f t="shared" si="2254"/>
        <v>0.38461538461538464</v>
      </c>
      <c r="N222" s="1008">
        <f t="shared" si="2254"/>
        <v>0.33333333333333331</v>
      </c>
      <c r="O222" s="1008">
        <f t="shared" si="2254"/>
        <v>1.9230769230769232E-2</v>
      </c>
      <c r="P222" s="1008">
        <f t="shared" si="2254"/>
        <v>0.31489361702127661</v>
      </c>
      <c r="Q222" s="1009">
        <f t="shared" si="2254"/>
        <v>0.4</v>
      </c>
      <c r="R222" s="984">
        <f t="shared" si="2254"/>
        <v>0.42105263157894735</v>
      </c>
      <c r="S222" s="984">
        <f t="shared" si="2254"/>
        <v>1.7857142857142856E-2</v>
      </c>
      <c r="T222" s="984">
        <f t="shared" si="2254"/>
        <v>0.30569948186528495</v>
      </c>
      <c r="U222" s="985">
        <f t="shared" si="2254"/>
        <v>0.38596491228070173</v>
      </c>
      <c r="V222" s="984">
        <f>+V218/V207</f>
        <v>0.47826086956521741</v>
      </c>
      <c r="W222" s="984">
        <f t="shared" ref="W222:Y222" si="2255">+W218/W207</f>
        <v>2.4154589371980676E-2</v>
      </c>
      <c r="X222" s="984">
        <f t="shared" si="2255"/>
        <v>0.26382978723404255</v>
      </c>
      <c r="Y222" s="985">
        <f t="shared" si="2255"/>
        <v>0.38461538461538464</v>
      </c>
      <c r="Z222" s="1015">
        <f t="shared" ref="Z222:AL222" si="2256">1-Z216</f>
        <v>0.47826086956521741</v>
      </c>
      <c r="AA222" s="1015">
        <f t="shared" si="2256"/>
        <v>2.4154589371980673E-2</v>
      </c>
      <c r="AB222" s="1015">
        <f t="shared" si="2256"/>
        <v>0.2638297872340426</v>
      </c>
      <c r="AC222" s="1016">
        <f t="shared" si="2256"/>
        <v>0.38461538461538458</v>
      </c>
      <c r="AD222" s="1015">
        <f t="shared" si="2256"/>
        <v>0.47826086956521741</v>
      </c>
      <c r="AE222" s="1015">
        <f t="shared" si="2256"/>
        <v>2.4154589371980673E-2</v>
      </c>
      <c r="AF222" s="1015">
        <f t="shared" si="2256"/>
        <v>0.2638297872340426</v>
      </c>
      <c r="AG222" s="1016">
        <f t="shared" si="2256"/>
        <v>0.38461538461538458</v>
      </c>
      <c r="AH222" s="1015">
        <f t="shared" si="2256"/>
        <v>0.47826086956521741</v>
      </c>
      <c r="AI222" s="1015">
        <f t="shared" si="2256"/>
        <v>4.0000000000000036E-2</v>
      </c>
      <c r="AJ222" s="1015">
        <f t="shared" si="2256"/>
        <v>0.2638297872340426</v>
      </c>
      <c r="AK222" s="1016">
        <f t="shared" si="2256"/>
        <v>0.38461538461538458</v>
      </c>
      <c r="AL222" s="1015">
        <f t="shared" si="2256"/>
        <v>0.66999999999999993</v>
      </c>
      <c r="AM222" s="1015">
        <f t="shared" ref="AM222:AO222" si="2257">1-AM216</f>
        <v>4.500000000000004E-2</v>
      </c>
      <c r="AN222" s="1015">
        <f t="shared" si="2257"/>
        <v>0.38300000000000001</v>
      </c>
      <c r="AO222" s="1016">
        <f t="shared" si="2257"/>
        <v>0.57499999999999996</v>
      </c>
      <c r="AP222" s="1015">
        <f>1-AP216</f>
        <v>0.66999999999999993</v>
      </c>
      <c r="AQ222" s="1015">
        <f t="shared" ref="AQ222" si="2258">1-AQ216</f>
        <v>4.500000000000004E-2</v>
      </c>
      <c r="AR222" s="1015">
        <f t="shared" ref="AR222:BA222" si="2259">1-AR216</f>
        <v>0.38300000000000001</v>
      </c>
      <c r="AS222" s="1016">
        <f t="shared" si="2259"/>
        <v>0.57499999999999996</v>
      </c>
      <c r="AT222" s="1015">
        <f t="shared" si="2259"/>
        <v>0.66999999999999993</v>
      </c>
      <c r="AU222" s="1015">
        <f t="shared" si="2259"/>
        <v>4.500000000000004E-2</v>
      </c>
      <c r="AV222" s="1015">
        <f t="shared" si="2259"/>
        <v>0.38300000000000001</v>
      </c>
      <c r="AW222" s="1016">
        <f t="shared" si="2259"/>
        <v>0.57499999999999996</v>
      </c>
      <c r="AX222" s="1015">
        <f t="shared" si="2259"/>
        <v>0.66999999999999993</v>
      </c>
      <c r="AY222" s="1015">
        <f t="shared" si="2259"/>
        <v>4.500000000000004E-2</v>
      </c>
      <c r="AZ222" s="1015">
        <f t="shared" si="2259"/>
        <v>0.38300000000000001</v>
      </c>
      <c r="BA222" s="1016">
        <f t="shared" si="2259"/>
        <v>0.57499999999999996</v>
      </c>
      <c r="BB222" s="1013"/>
      <c r="BC222" s="1075"/>
      <c r="BD222" s="1076"/>
      <c r="BE222" s="1076">
        <f t="shared" ref="BE222:BM222" si="2260">+BE218/BE207</f>
        <v>0.16363636363636364</v>
      </c>
      <c r="BF222" s="1062">
        <f t="shared" si="2260"/>
        <v>0.17543859649122806</v>
      </c>
      <c r="BG222" s="1062">
        <f t="shared" si="2260"/>
        <v>0.18907563025210083</v>
      </c>
      <c r="BH222" s="1062">
        <f t="shared" si="2260"/>
        <v>0.18864097363083165</v>
      </c>
      <c r="BI222" s="1062">
        <f t="shared" si="2260"/>
        <v>0.1895551257253385</v>
      </c>
      <c r="BJ222" s="1062">
        <f t="shared" si="2260"/>
        <v>0.17553642859271551</v>
      </c>
      <c r="BK222" s="1062">
        <f t="shared" si="2260"/>
        <v>0.17476531034783199</v>
      </c>
      <c r="BL222" s="1062">
        <f t="shared" si="2260"/>
        <v>0.18232649187484493</v>
      </c>
      <c r="BM222" s="1062">
        <f t="shared" si="2260"/>
        <v>0.26287278582930756</v>
      </c>
      <c r="BN222" s="1368">
        <f t="shared" ref="BN222:BO222" si="2261">+BN218/BN207</f>
        <v>0.26193409090909092</v>
      </c>
      <c r="BO222" s="1368">
        <f t="shared" si="2261"/>
        <v>0.26193409090909092</v>
      </c>
      <c r="BP222" s="1368">
        <f t="shared" ref="BP222" si="2262">+BP218/BP207</f>
        <v>0.26193409090909098</v>
      </c>
      <c r="BR222" s="1425"/>
      <c r="BS222" s="1425"/>
      <c r="BT222" s="1425"/>
      <c r="BU222" s="1263"/>
    </row>
    <row r="223" spans="1:73" s="414" customFormat="1" ht="12" customHeight="1" collapsed="1">
      <c r="A223" s="1018"/>
      <c r="B223" s="1019"/>
      <c r="C223" s="1019"/>
      <c r="D223" s="1019"/>
      <c r="E223" s="1020"/>
      <c r="F223" s="1019"/>
      <c r="G223" s="1019"/>
      <c r="H223" s="1019"/>
      <c r="I223" s="1065"/>
      <c r="J223" s="1019"/>
      <c r="K223" s="1019"/>
      <c r="L223" s="1019"/>
      <c r="M223" s="1020"/>
      <c r="N223" s="1019"/>
      <c r="O223" s="1019"/>
      <c r="P223" s="1021"/>
      <c r="Q223" s="1022"/>
      <c r="R223" s="1021"/>
      <c r="S223" s="1021"/>
      <c r="T223" s="1003"/>
      <c r="U223" s="1022"/>
      <c r="V223" s="1021"/>
      <c r="W223" s="1021"/>
      <c r="X223" s="1021"/>
      <c r="Y223" s="1023"/>
      <c r="Z223" s="1021"/>
      <c r="AA223" s="1021"/>
      <c r="AB223" s="1021"/>
      <c r="AC223" s="1022"/>
      <c r="AD223" s="1021"/>
      <c r="AE223" s="1021"/>
      <c r="AF223" s="1021"/>
      <c r="AG223" s="1022"/>
      <c r="AH223" s="1021"/>
      <c r="AI223" s="1021"/>
      <c r="AJ223" s="1021"/>
      <c r="AK223" s="1022"/>
      <c r="AL223" s="1021"/>
      <c r="AM223" s="1021"/>
      <c r="AN223" s="1021"/>
      <c r="AO223" s="1022"/>
      <c r="AP223" s="1021"/>
      <c r="AQ223" s="1021"/>
      <c r="AR223" s="1021"/>
      <c r="AS223" s="1022"/>
      <c r="AT223" s="1021"/>
      <c r="AU223" s="1021"/>
      <c r="AV223" s="1021"/>
      <c r="AW223" s="1022"/>
      <c r="AX223" s="1021"/>
      <c r="AY223" s="1021"/>
      <c r="AZ223" s="1021"/>
      <c r="BA223" s="1022"/>
      <c r="BB223" s="1024"/>
      <c r="BC223" s="1025"/>
      <c r="BD223" s="1025"/>
      <c r="BE223" s="1025"/>
      <c r="BF223" s="1025"/>
      <c r="BG223" s="1025"/>
      <c r="BH223" s="1025"/>
      <c r="BI223" s="1025"/>
      <c r="BJ223" s="1025"/>
      <c r="BK223" s="1025"/>
      <c r="BL223" s="1026"/>
      <c r="BM223" s="1080"/>
      <c r="BN223" s="1026"/>
      <c r="BO223" s="1026"/>
      <c r="BP223" s="1026"/>
      <c r="BR223" s="1406"/>
      <c r="BS223" s="1406"/>
      <c r="BT223" s="1406"/>
      <c r="BU223" s="1263"/>
    </row>
    <row r="224" spans="1:73" s="414" customFormat="1" ht="12" customHeight="1">
      <c r="A224" s="1180" t="s">
        <v>324</v>
      </c>
      <c r="B224" s="1027"/>
      <c r="C224" s="1027"/>
      <c r="D224" s="1027"/>
      <c r="E224" s="1027"/>
      <c r="F224" s="1027"/>
      <c r="G224" s="1027"/>
      <c r="H224" s="1027"/>
      <c r="I224" s="1027"/>
      <c r="J224" s="1027"/>
      <c r="K224" s="1027"/>
      <c r="L224" s="1027"/>
      <c r="M224" s="1027"/>
      <c r="N224" s="1028"/>
      <c r="O224" s="1028"/>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c r="AX224" s="1027"/>
      <c r="AY224" s="1027"/>
      <c r="AZ224" s="1027"/>
      <c r="BA224" s="1027"/>
      <c r="BB224" s="1024"/>
      <c r="BC224" s="1024"/>
      <c r="BD224" s="1024"/>
      <c r="BE224" s="1024"/>
      <c r="BF224" s="1024"/>
      <c r="BG224" s="1024"/>
      <c r="BH224" s="1024"/>
      <c r="BI224" s="1024"/>
      <c r="BJ224" s="1024"/>
      <c r="BK224" s="1024"/>
      <c r="BL224" s="1024"/>
      <c r="BM224" s="1024"/>
      <c r="BN224" s="1024"/>
      <c r="BO224" s="1024"/>
      <c r="BP224" s="1024"/>
      <c r="BR224" s="1406"/>
      <c r="BS224" s="1406"/>
      <c r="BT224" s="1406"/>
      <c r="BU224" s="1263"/>
    </row>
    <row r="225" spans="1:73" s="414" customFormat="1" ht="12" customHeight="1">
      <c r="A225" s="1234"/>
      <c r="B225" s="1021"/>
      <c r="C225" s="1021"/>
      <c r="D225" s="1021"/>
      <c r="E225" s="1021"/>
      <c r="F225" s="1021"/>
      <c r="G225" s="1021"/>
      <c r="H225" s="1021"/>
      <c r="I225" s="1021"/>
      <c r="J225" s="1021"/>
      <c r="K225" s="1021"/>
      <c r="L225" s="1021"/>
      <c r="M225" s="1021"/>
      <c r="N225" s="1019"/>
      <c r="O225" s="1019"/>
      <c r="P225" s="1021"/>
      <c r="Q225" s="1021"/>
      <c r="R225" s="1021"/>
      <c r="S225" s="1021"/>
      <c r="T225" s="1021"/>
      <c r="U225" s="1021"/>
      <c r="V225" s="1021"/>
      <c r="W225" s="1021"/>
      <c r="X225" s="1021"/>
      <c r="Y225" s="1021"/>
      <c r="Z225" s="1021"/>
      <c r="AA225" s="1021"/>
      <c r="AB225" s="1021"/>
      <c r="AC225" s="1021"/>
      <c r="AD225" s="1021"/>
      <c r="AE225" s="1021"/>
      <c r="AF225" s="1021"/>
      <c r="AG225" s="1021"/>
      <c r="AH225" s="1021"/>
      <c r="AI225" s="1021"/>
      <c r="AJ225" s="1021"/>
      <c r="AK225" s="1021"/>
      <c r="AL225" s="1021"/>
      <c r="AM225" s="1021"/>
      <c r="AN225" s="1021"/>
      <c r="AO225" s="1021"/>
      <c r="AP225" s="1021"/>
      <c r="AQ225" s="1021"/>
      <c r="AR225" s="1021"/>
      <c r="AS225" s="1021"/>
      <c r="AT225" s="1021"/>
      <c r="AU225" s="1021"/>
      <c r="AV225" s="1021"/>
      <c r="AW225" s="1021"/>
      <c r="AX225" s="1021"/>
      <c r="AY225" s="1021"/>
      <c r="AZ225" s="1021"/>
      <c r="BA225" s="1021"/>
      <c r="BB225" s="1024"/>
      <c r="BC225" s="1024"/>
      <c r="BD225" s="1024"/>
      <c r="BE225" s="1024"/>
      <c r="BF225" s="1024"/>
      <c r="BG225" s="1024"/>
      <c r="BH225" s="1024"/>
      <c r="BI225" s="1024"/>
      <c r="BJ225" s="1024"/>
      <c r="BK225" s="1024"/>
      <c r="BL225" s="1024"/>
      <c r="BM225" s="1024"/>
      <c r="BN225" s="1024"/>
      <c r="BO225" s="1024"/>
      <c r="BP225" s="1024"/>
      <c r="BR225" s="1406"/>
      <c r="BS225" s="1406"/>
      <c r="BT225" s="1406"/>
      <c r="BU225" s="1263"/>
    </row>
    <row r="226" spans="1:73" s="288" customFormat="1" ht="12" customHeight="1">
      <c r="A226" s="733"/>
      <c r="B226" s="2162" t="str">
        <f>B254</f>
        <v>Fiscal 2016</v>
      </c>
      <c r="C226" s="2163"/>
      <c r="D226" s="2163"/>
      <c r="E226" s="2165"/>
      <c r="F226" s="2162" t="str">
        <f t="shared" ref="F226" si="2263">F254</f>
        <v>Fiscal 2017</v>
      </c>
      <c r="G226" s="2163"/>
      <c r="H226" s="2163"/>
      <c r="I226" s="2165"/>
      <c r="J226" s="2162" t="str">
        <f t="shared" ref="J226" si="2264">J254</f>
        <v>Fiscal 2018</v>
      </c>
      <c r="K226" s="2163"/>
      <c r="L226" s="2163"/>
      <c r="M226" s="2165"/>
      <c r="N226" s="2162" t="str">
        <f t="shared" ref="N226" si="2265">N254</f>
        <v>Fiscal 2019</v>
      </c>
      <c r="O226" s="2163"/>
      <c r="P226" s="2163"/>
      <c r="Q226" s="2165"/>
      <c r="R226" s="2162" t="str">
        <f t="shared" ref="R226" si="2266">R254</f>
        <v>Fiscal 2020</v>
      </c>
      <c r="S226" s="2163"/>
      <c r="T226" s="2163"/>
      <c r="U226" s="2165"/>
      <c r="V226" s="2162" t="str">
        <f t="shared" ref="V226" si="2267">V254</f>
        <v>Fiscal 2021</v>
      </c>
      <c r="W226" s="2163"/>
      <c r="X226" s="2163"/>
      <c r="Y226" s="2165"/>
      <c r="Z226" s="2162" t="str">
        <f t="shared" ref="Z226" si="2268">Z254</f>
        <v>Fiscal 2022</v>
      </c>
      <c r="AA226" s="2163"/>
      <c r="AB226" s="2163"/>
      <c r="AC226" s="2165"/>
      <c r="AD226" s="2162" t="str">
        <f t="shared" ref="AD226" si="2269">AD254</f>
        <v>Fiscal 2023</v>
      </c>
      <c r="AE226" s="2163"/>
      <c r="AF226" s="2163"/>
      <c r="AG226" s="2165"/>
      <c r="AH226" s="2162" t="str">
        <f t="shared" ref="AH226" si="2270">AH254</f>
        <v>Fiscal 2024</v>
      </c>
      <c r="AI226" s="2163"/>
      <c r="AJ226" s="2163"/>
      <c r="AK226" s="2165"/>
      <c r="AL226" s="2162" t="str">
        <f t="shared" ref="AL226" si="2271">AL254</f>
        <v>Fiscal 2025</v>
      </c>
      <c r="AM226" s="2163"/>
      <c r="AN226" s="2163"/>
      <c r="AO226" s="2165"/>
      <c r="AP226" s="2162" t="str">
        <f t="shared" ref="AP226" si="2272">AP254</f>
        <v>Fiscal 2026</v>
      </c>
      <c r="AQ226" s="2163"/>
      <c r="AR226" s="2163"/>
      <c r="AS226" s="2165"/>
      <c r="AT226" s="2162" t="str">
        <f t="shared" ref="AT226" si="2273">AT254</f>
        <v>Fiscal 2027</v>
      </c>
      <c r="AU226" s="2163"/>
      <c r="AV226" s="2163"/>
      <c r="AW226" s="2165"/>
      <c r="AX226" s="2168" t="str">
        <f t="shared" ref="AX226" si="2274">AX254</f>
        <v>Fiscal 2028</v>
      </c>
      <c r="AY226" s="2163"/>
      <c r="AZ226" s="2163"/>
      <c r="BA226" s="2169"/>
      <c r="BB226" s="285"/>
      <c r="BC226" s="2157"/>
      <c r="BD226" s="2158"/>
      <c r="BE226" s="2158"/>
      <c r="BF226" s="2158"/>
      <c r="BG226" s="2158"/>
      <c r="BH226" s="2158"/>
      <c r="BI226" s="2158"/>
      <c r="BJ226" s="2158"/>
      <c r="BK226" s="2158"/>
      <c r="BL226" s="2158"/>
      <c r="BM226" s="2158"/>
      <c r="BN226" s="2158"/>
      <c r="BO226" s="2158"/>
      <c r="BP226" s="2159"/>
      <c r="BQ226" s="1029"/>
      <c r="BR226" s="1378"/>
      <c r="BS226" s="1378"/>
      <c r="BT226" s="1378"/>
      <c r="BU226" s="1259"/>
    </row>
    <row r="227" spans="1:73" s="305" customFormat="1" ht="12" customHeight="1">
      <c r="A227" s="1030"/>
      <c r="B227" s="177">
        <f>+B255</f>
        <v>42308</v>
      </c>
      <c r="C227" s="177">
        <f t="shared" ref="C227:BA227" si="2275">+C255</f>
        <v>42400</v>
      </c>
      <c r="D227" s="177">
        <f t="shared" si="2275"/>
        <v>42490</v>
      </c>
      <c r="E227" s="295">
        <f t="shared" si="2275"/>
        <v>42582</v>
      </c>
      <c r="F227" s="1031">
        <f t="shared" si="2275"/>
        <v>42674</v>
      </c>
      <c r="G227" s="177">
        <f t="shared" si="2275"/>
        <v>42766</v>
      </c>
      <c r="H227" s="177">
        <f t="shared" si="2275"/>
        <v>42855</v>
      </c>
      <c r="I227" s="177">
        <f t="shared" si="2275"/>
        <v>42947</v>
      </c>
      <c r="J227" s="1031">
        <f t="shared" si="2275"/>
        <v>43039</v>
      </c>
      <c r="K227" s="177">
        <f t="shared" si="2275"/>
        <v>43131</v>
      </c>
      <c r="L227" s="177">
        <f t="shared" si="2275"/>
        <v>43220</v>
      </c>
      <c r="M227" s="295">
        <f t="shared" si="2275"/>
        <v>43312</v>
      </c>
      <c r="N227" s="177">
        <f t="shared" si="2275"/>
        <v>43404</v>
      </c>
      <c r="O227" s="177">
        <f t="shared" si="2275"/>
        <v>43496</v>
      </c>
      <c r="P227" s="177">
        <f t="shared" si="2275"/>
        <v>43585</v>
      </c>
      <c r="Q227" s="295">
        <f t="shared" si="2275"/>
        <v>43677</v>
      </c>
      <c r="R227" s="177">
        <f t="shared" si="2275"/>
        <v>43769</v>
      </c>
      <c r="S227" s="177">
        <f t="shared" si="2275"/>
        <v>43861</v>
      </c>
      <c r="T227" s="177">
        <f t="shared" si="2275"/>
        <v>43951</v>
      </c>
      <c r="U227" s="178">
        <f t="shared" si="2275"/>
        <v>44043</v>
      </c>
      <c r="V227" s="290">
        <f t="shared" si="2275"/>
        <v>44135</v>
      </c>
      <c r="W227" s="177" t="str">
        <f t="shared" si="2275"/>
        <v>Jan-21</v>
      </c>
      <c r="X227" s="177" t="str">
        <f t="shared" si="2275"/>
        <v>Apr-21</v>
      </c>
      <c r="Y227" s="178" t="str">
        <f t="shared" si="2275"/>
        <v>Jul-21</v>
      </c>
      <c r="Z227" s="290" t="str">
        <f t="shared" si="2275"/>
        <v>Oct-21</v>
      </c>
      <c r="AA227" s="177" t="str">
        <f t="shared" si="2275"/>
        <v>Jan-22</v>
      </c>
      <c r="AB227" s="177" t="str">
        <f t="shared" si="2275"/>
        <v>Apr-22</v>
      </c>
      <c r="AC227" s="178" t="str">
        <f t="shared" si="2275"/>
        <v>Jul-22</v>
      </c>
      <c r="AD227" s="400" t="str">
        <f t="shared" si="2275"/>
        <v>Oct-22</v>
      </c>
      <c r="AE227" s="398" t="str">
        <f t="shared" si="2275"/>
        <v>Jan-23</v>
      </c>
      <c r="AF227" s="398" t="str">
        <f t="shared" si="2275"/>
        <v>Apr-23</v>
      </c>
      <c r="AG227" s="399" t="str">
        <f t="shared" si="2275"/>
        <v>Jul-23</v>
      </c>
      <c r="AH227" s="400" t="str">
        <f t="shared" si="2275"/>
        <v>Oct-23</v>
      </c>
      <c r="AI227" s="398" t="str">
        <f t="shared" si="2275"/>
        <v>Jan-24</v>
      </c>
      <c r="AJ227" s="398" t="str">
        <f t="shared" si="2275"/>
        <v>Apr-24</v>
      </c>
      <c r="AK227" s="399" t="str">
        <f t="shared" si="2275"/>
        <v>Jul-24</v>
      </c>
      <c r="AL227" s="400" t="str">
        <f t="shared" si="2275"/>
        <v>Oct-24</v>
      </c>
      <c r="AM227" s="398" t="str">
        <f t="shared" si="2275"/>
        <v>Jan-25</v>
      </c>
      <c r="AN227" s="398" t="str">
        <f t="shared" si="2275"/>
        <v>Apr-25</v>
      </c>
      <c r="AO227" s="399" t="str">
        <f t="shared" si="2275"/>
        <v>Jul-25</v>
      </c>
      <c r="AP227" s="400" t="str">
        <f t="shared" si="2275"/>
        <v>Oct-25</v>
      </c>
      <c r="AQ227" s="398" t="str">
        <f t="shared" ref="AQ227" si="2276">+AQ255</f>
        <v>Jan-26</v>
      </c>
      <c r="AR227" s="398" t="str">
        <f t="shared" si="2275"/>
        <v>Apr-26E</v>
      </c>
      <c r="AS227" s="399" t="str">
        <f t="shared" si="2275"/>
        <v>Jul-26E</v>
      </c>
      <c r="AT227" s="400" t="str">
        <f t="shared" si="2275"/>
        <v>Oct-26E</v>
      </c>
      <c r="AU227" s="398" t="str">
        <f t="shared" si="2275"/>
        <v>Jan-27E</v>
      </c>
      <c r="AV227" s="398" t="str">
        <f t="shared" si="2275"/>
        <v>Apr-27E</v>
      </c>
      <c r="AW227" s="399" t="str">
        <f t="shared" si="2275"/>
        <v>Jul-27E</v>
      </c>
      <c r="AX227" s="400" t="str">
        <f t="shared" si="2275"/>
        <v>Oct-27E</v>
      </c>
      <c r="AY227" s="398" t="str">
        <f t="shared" si="2275"/>
        <v>Jan-28E</v>
      </c>
      <c r="AZ227" s="398" t="str">
        <f t="shared" si="2275"/>
        <v>Apr-28E</v>
      </c>
      <c r="BA227" s="399" t="str">
        <f t="shared" si="2275"/>
        <v>Jul-28E</v>
      </c>
      <c r="BB227" s="1055"/>
      <c r="BC227" s="636" t="str">
        <f>+BC255</f>
        <v>FY15</v>
      </c>
      <c r="BD227" s="402" t="str">
        <f t="shared" ref="BD227:BP227" si="2277">+BD255</f>
        <v>FY16</v>
      </c>
      <c r="BE227" s="404" t="str">
        <f t="shared" si="2277"/>
        <v>FY17</v>
      </c>
      <c r="BF227" s="301" t="str">
        <f t="shared" si="2277"/>
        <v>FY18</v>
      </c>
      <c r="BG227" s="404" t="str">
        <f t="shared" si="2277"/>
        <v>FY19</v>
      </c>
      <c r="BH227" s="404" t="str">
        <f t="shared" si="2277"/>
        <v>FY20</v>
      </c>
      <c r="BI227" s="404" t="str">
        <f t="shared" si="2277"/>
        <v>FY21</v>
      </c>
      <c r="BJ227" s="404" t="str">
        <f t="shared" si="2277"/>
        <v>FY22</v>
      </c>
      <c r="BK227" s="404" t="str">
        <f t="shared" si="2277"/>
        <v>FY23</v>
      </c>
      <c r="BL227" s="404" t="str">
        <f t="shared" si="2277"/>
        <v>FY24</v>
      </c>
      <c r="BM227" s="404" t="str">
        <f t="shared" si="2277"/>
        <v>FY25</v>
      </c>
      <c r="BN227" s="404" t="str">
        <f t="shared" si="2277"/>
        <v>FY26E</v>
      </c>
      <c r="BO227" s="404" t="str">
        <f t="shared" si="2277"/>
        <v>FY27E</v>
      </c>
      <c r="BP227" s="404" t="str">
        <f t="shared" si="2277"/>
        <v>FY28E</v>
      </c>
      <c r="BR227" s="1379"/>
      <c r="BS227" s="1379"/>
      <c r="BT227" s="1379"/>
      <c r="BU227" s="1260"/>
    </row>
    <row r="228" spans="1:73" s="305" customFormat="1" ht="12" customHeight="1">
      <c r="A228" s="1156" t="s">
        <v>608</v>
      </c>
      <c r="B228" s="1154"/>
      <c r="C228" s="1154"/>
      <c r="D228" s="1154"/>
      <c r="E228" s="1155"/>
      <c r="F228" s="1154"/>
      <c r="G228" s="1154"/>
      <c r="H228" s="1154"/>
      <c r="I228" s="1155"/>
      <c r="J228" s="1154"/>
      <c r="K228" s="1154"/>
      <c r="L228" s="1154"/>
      <c r="M228" s="1155"/>
      <c r="N228" s="1154"/>
      <c r="O228" s="1154"/>
      <c r="P228" s="1154"/>
      <c r="Q228" s="1155"/>
      <c r="R228" s="1154"/>
      <c r="S228" s="1154"/>
      <c r="T228" s="1154"/>
      <c r="U228" s="1155"/>
      <c r="V228" s="1154"/>
      <c r="W228" s="1154"/>
      <c r="X228" s="1154"/>
      <c r="Y228" s="1155"/>
      <c r="Z228" s="1154"/>
      <c r="AA228" s="1154"/>
      <c r="AB228" s="1154"/>
      <c r="AC228" s="1155"/>
      <c r="AD228" s="1154"/>
      <c r="AE228" s="1154"/>
      <c r="AF228" s="1154"/>
      <c r="AG228" s="1155"/>
      <c r="AH228" s="1157"/>
      <c r="AI228" s="1157"/>
      <c r="AJ228" s="1157"/>
      <c r="AK228" s="1158"/>
      <c r="AL228" s="1157"/>
      <c r="AM228" s="1157"/>
      <c r="AN228" s="1157"/>
      <c r="AO228" s="1158"/>
      <c r="AP228" s="1157"/>
      <c r="AQ228" s="1157"/>
      <c r="AR228" s="1157"/>
      <c r="AS228" s="1158"/>
      <c r="AT228" s="1157"/>
      <c r="AU228" s="1157"/>
      <c r="AV228" s="1157"/>
      <c r="AW228" s="1158"/>
      <c r="AX228" s="1157"/>
      <c r="AY228" s="1157"/>
      <c r="AZ228" s="1157"/>
      <c r="BA228" s="1158"/>
      <c r="BB228" s="401"/>
      <c r="BC228" s="1161"/>
      <c r="BD228" s="1161"/>
      <c r="BE228" s="1166"/>
      <c r="BF228" s="1167"/>
      <c r="BG228" s="1167"/>
      <c r="BH228" s="1167"/>
      <c r="BI228" s="1167"/>
      <c r="BJ228" s="1166"/>
      <c r="BK228" s="1167"/>
      <c r="BL228" s="1166"/>
      <c r="BM228" s="1166"/>
      <c r="BN228" s="1166"/>
      <c r="BO228" s="1166"/>
      <c r="BP228" s="1166"/>
      <c r="BR228" s="1379"/>
      <c r="BS228" s="1379"/>
      <c r="BT228" s="1379"/>
      <c r="BU228" s="1260"/>
    </row>
    <row r="229" spans="1:73" s="304" customFormat="1" ht="11.65" customHeight="1">
      <c r="A229" s="1547" t="s">
        <v>595</v>
      </c>
      <c r="B229" s="836"/>
      <c r="C229" s="837"/>
      <c r="D229" s="837"/>
      <c r="E229" s="838"/>
      <c r="F229" s="837"/>
      <c r="G229" s="837"/>
      <c r="H229" s="837"/>
      <c r="I229" s="838"/>
      <c r="J229" s="837"/>
      <c r="K229" s="837"/>
      <c r="L229" s="837"/>
      <c r="M229" s="838"/>
      <c r="N229" s="836"/>
      <c r="O229" s="836"/>
      <c r="P229" s="836"/>
      <c r="Q229" s="1041"/>
      <c r="R229" s="836"/>
      <c r="S229" s="1294"/>
      <c r="T229" s="1294"/>
      <c r="U229" s="1557"/>
      <c r="V229" s="1294"/>
      <c r="W229" s="1294"/>
      <c r="X229" s="1294"/>
      <c r="Y229" s="1557"/>
      <c r="Z229" s="1294"/>
      <c r="AA229" s="1294"/>
      <c r="AB229" s="1294"/>
      <c r="AC229" s="1557"/>
      <c r="AD229" s="1294"/>
      <c r="AE229" s="1294"/>
      <c r="AF229" s="1294"/>
      <c r="AG229" s="1557"/>
      <c r="AH229" s="1294"/>
      <c r="AI229" s="1294"/>
      <c r="AJ229" s="1294"/>
      <c r="AK229" s="1557"/>
      <c r="AL229" s="1294"/>
      <c r="AM229" s="1294"/>
      <c r="AN229" s="398"/>
      <c r="AO229" s="401"/>
      <c r="AP229" s="398"/>
      <c r="AQ229" s="398"/>
      <c r="AR229" s="398"/>
      <c r="AS229" s="401"/>
      <c r="AT229" s="398"/>
      <c r="AU229" s="398"/>
      <c r="AV229" s="398"/>
      <c r="AW229" s="401"/>
      <c r="AX229" s="398"/>
      <c r="AY229" s="398"/>
      <c r="AZ229" s="398"/>
      <c r="BA229" s="401"/>
      <c r="BB229" s="398"/>
      <c r="BC229" s="1674"/>
      <c r="BD229" s="1674"/>
      <c r="BE229" s="1674"/>
      <c r="BF229" s="1674"/>
      <c r="BG229" s="1674"/>
      <c r="BH229" s="1674"/>
      <c r="BI229" s="1674"/>
      <c r="BJ229" s="1546"/>
      <c r="BK229" s="1674"/>
      <c r="BL229" s="1674"/>
      <c r="BM229" s="1674"/>
      <c r="BN229" s="1674"/>
      <c r="BO229" s="1674"/>
      <c r="BP229" s="1674"/>
      <c r="BR229" s="1483"/>
      <c r="BS229" s="1483"/>
      <c r="BT229" s="1483"/>
      <c r="BU229" s="1675"/>
    </row>
    <row r="230" spans="1:73" s="304" customFormat="1" ht="11.65" customHeight="1">
      <c r="A230" s="1677" t="s">
        <v>596</v>
      </c>
      <c r="B230" s="836"/>
      <c r="C230" s="837"/>
      <c r="D230" s="837"/>
      <c r="E230" s="838"/>
      <c r="F230" s="837"/>
      <c r="G230" s="837"/>
      <c r="H230" s="837"/>
      <c r="I230" s="838"/>
      <c r="J230" s="837"/>
      <c r="K230" s="837"/>
      <c r="L230" s="837"/>
      <c r="M230" s="838"/>
      <c r="N230" s="836"/>
      <c r="O230" s="836"/>
      <c r="P230" s="836"/>
      <c r="Q230" s="1041"/>
      <c r="R230" s="836"/>
      <c r="S230" s="1294"/>
      <c r="T230" s="1294"/>
      <c r="U230" s="1557"/>
      <c r="V230" s="1294"/>
      <c r="W230" s="1294"/>
      <c r="X230" s="1294"/>
      <c r="Y230" s="1557"/>
      <c r="Z230" s="1294"/>
      <c r="AA230" s="1294"/>
      <c r="AB230" s="1294"/>
      <c r="AC230" s="1557"/>
      <c r="AD230" s="1294"/>
      <c r="AE230" s="1294"/>
      <c r="AF230" s="1294"/>
      <c r="AG230" s="1557"/>
      <c r="AH230" s="1294"/>
      <c r="AI230" s="1294"/>
      <c r="AJ230" s="1294"/>
      <c r="AK230" s="1557"/>
      <c r="AL230" s="1294"/>
      <c r="AM230" s="1294"/>
      <c r="AN230" s="398"/>
      <c r="AO230" s="401"/>
      <c r="AP230" s="398"/>
      <c r="AQ230" s="398"/>
      <c r="AR230" s="398"/>
      <c r="AS230" s="401"/>
      <c r="AT230" s="398"/>
      <c r="AU230" s="398"/>
      <c r="AV230" s="398"/>
      <c r="AW230" s="401"/>
      <c r="AX230" s="398"/>
      <c r="AY230" s="398"/>
      <c r="AZ230" s="398"/>
      <c r="BA230" s="401"/>
      <c r="BB230" s="398"/>
      <c r="BC230" s="1674"/>
      <c r="BD230" s="1674"/>
      <c r="BE230" s="1674"/>
      <c r="BF230" s="1674"/>
      <c r="BG230" s="1674"/>
      <c r="BH230" s="1674"/>
      <c r="BI230" s="1674"/>
      <c r="BJ230" s="1674" t="s">
        <v>652</v>
      </c>
      <c r="BK230" s="1674" t="s">
        <v>652</v>
      </c>
      <c r="BL230" s="1674" t="s">
        <v>622</v>
      </c>
      <c r="BM230" s="1674" t="s">
        <v>721</v>
      </c>
      <c r="BN230" s="1674" t="s">
        <v>721</v>
      </c>
      <c r="BO230" s="1674"/>
      <c r="BP230" s="1674"/>
      <c r="BR230" s="1483"/>
      <c r="BS230" s="1483"/>
      <c r="BT230" s="1483"/>
      <c r="BU230" s="1675"/>
    </row>
    <row r="231" spans="1:73" s="304" customFormat="1" ht="11.65" customHeight="1">
      <c r="A231" s="1684" t="s">
        <v>609</v>
      </c>
      <c r="B231" s="836"/>
      <c r="C231" s="837"/>
      <c r="D231" s="837"/>
      <c r="E231" s="838"/>
      <c r="F231" s="837"/>
      <c r="G231" s="837"/>
      <c r="H231" s="837"/>
      <c r="I231" s="838"/>
      <c r="J231" s="837"/>
      <c r="K231" s="837"/>
      <c r="L231" s="837"/>
      <c r="M231" s="838"/>
      <c r="N231" s="836"/>
      <c r="O231" s="836"/>
      <c r="P231" s="836"/>
      <c r="Q231" s="1041"/>
      <c r="R231" s="836"/>
      <c r="S231" s="1294"/>
      <c r="T231" s="1294"/>
      <c r="U231" s="1557"/>
      <c r="V231" s="1294"/>
      <c r="W231" s="1294"/>
      <c r="X231" s="1294"/>
      <c r="Y231" s="1557"/>
      <c r="Z231" s="1294"/>
      <c r="AA231" s="1294"/>
      <c r="AB231" s="1294"/>
      <c r="AC231" s="1557"/>
      <c r="AD231" s="1294"/>
      <c r="AE231" s="1294"/>
      <c r="AF231" s="1294"/>
      <c r="AG231" s="1557"/>
      <c r="AH231" s="1294"/>
      <c r="AI231" s="1294"/>
      <c r="AJ231" s="1294"/>
      <c r="AK231" s="1557"/>
      <c r="AL231" s="1294"/>
      <c r="AM231" s="1294"/>
      <c r="AN231" s="398"/>
      <c r="AO231" s="401"/>
      <c r="AP231" s="398"/>
      <c r="AQ231" s="398"/>
      <c r="AR231" s="398"/>
      <c r="AS231" s="401"/>
      <c r="AT231" s="398"/>
      <c r="AU231" s="398"/>
      <c r="AV231" s="398"/>
      <c r="AW231" s="401"/>
      <c r="AX231" s="398"/>
      <c r="AY231" s="398"/>
      <c r="AZ231" s="398"/>
      <c r="BA231" s="401"/>
      <c r="BB231" s="398"/>
      <c r="BC231" s="1674"/>
      <c r="BD231" s="1674"/>
      <c r="BE231" s="1674"/>
      <c r="BF231" s="1674"/>
      <c r="BG231" s="1674"/>
      <c r="BH231" s="1674"/>
      <c r="BI231" s="1674"/>
      <c r="BJ231" s="1674" t="s">
        <v>654</v>
      </c>
      <c r="BK231" s="1674" t="s">
        <v>654</v>
      </c>
      <c r="BL231" s="1674"/>
      <c r="BM231" s="1674"/>
      <c r="BN231" s="1674"/>
      <c r="BO231" s="1674"/>
      <c r="BP231" s="1674"/>
      <c r="BR231" s="1483"/>
      <c r="BS231" s="1483"/>
      <c r="BT231" s="1483"/>
      <c r="BU231" s="1675"/>
    </row>
    <row r="232" spans="1:73" s="304" customFormat="1" ht="11.65" customHeight="1">
      <c r="A232" s="1684" t="s">
        <v>653</v>
      </c>
      <c r="B232" s="836"/>
      <c r="C232" s="837"/>
      <c r="D232" s="837"/>
      <c r="E232" s="838"/>
      <c r="F232" s="837"/>
      <c r="G232" s="837"/>
      <c r="H232" s="837"/>
      <c r="I232" s="838"/>
      <c r="J232" s="837"/>
      <c r="K232" s="837"/>
      <c r="L232" s="837"/>
      <c r="M232" s="838"/>
      <c r="N232" s="836"/>
      <c r="O232" s="836"/>
      <c r="P232" s="836"/>
      <c r="Q232" s="1041"/>
      <c r="R232" s="836"/>
      <c r="S232" s="1294"/>
      <c r="T232" s="1294"/>
      <c r="U232" s="1557"/>
      <c r="V232" s="1294"/>
      <c r="W232" s="1294"/>
      <c r="X232" s="1294"/>
      <c r="Y232" s="1557"/>
      <c r="Z232" s="1294"/>
      <c r="AA232" s="1294"/>
      <c r="AB232" s="1294"/>
      <c r="AC232" s="1557"/>
      <c r="AD232" s="1294"/>
      <c r="AE232" s="1294"/>
      <c r="AF232" s="1294"/>
      <c r="AG232" s="1557"/>
      <c r="AH232" s="1294"/>
      <c r="AI232" s="1294"/>
      <c r="AJ232" s="1294"/>
      <c r="AK232" s="1557"/>
      <c r="AL232" s="1294"/>
      <c r="AM232" s="1294"/>
      <c r="AN232" s="398"/>
      <c r="AO232" s="401"/>
      <c r="AP232" s="398"/>
      <c r="AQ232" s="398"/>
      <c r="AR232" s="398"/>
      <c r="AS232" s="401"/>
      <c r="AT232" s="398"/>
      <c r="AU232" s="398"/>
      <c r="AV232" s="398"/>
      <c r="AW232" s="401"/>
      <c r="AX232" s="398"/>
      <c r="AY232" s="398"/>
      <c r="AZ232" s="398"/>
      <c r="BA232" s="401"/>
      <c r="BB232" s="398"/>
      <c r="BC232" s="1674"/>
      <c r="BD232" s="1674"/>
      <c r="BE232" s="1674"/>
      <c r="BF232" s="1674"/>
      <c r="BG232" s="1674"/>
      <c r="BH232" s="1674"/>
      <c r="BI232" s="1674"/>
      <c r="BJ232" s="1674" t="s">
        <v>655</v>
      </c>
      <c r="BK232" s="1674" t="s">
        <v>655</v>
      </c>
      <c r="BL232" s="1674"/>
      <c r="BM232" s="1674"/>
      <c r="BN232" s="1674"/>
      <c r="BO232" s="1674"/>
      <c r="BP232" s="1674"/>
      <c r="BR232" s="1483"/>
      <c r="BS232" s="1483"/>
      <c r="BT232" s="1483"/>
      <c r="BU232" s="1675"/>
    </row>
    <row r="233" spans="1:73" s="304" customFormat="1" ht="11.65" customHeight="1">
      <c r="A233" s="1684" t="s">
        <v>612</v>
      </c>
      <c r="B233" s="836"/>
      <c r="C233" s="837"/>
      <c r="D233" s="837"/>
      <c r="E233" s="838"/>
      <c r="F233" s="837"/>
      <c r="G233" s="837"/>
      <c r="H233" s="837"/>
      <c r="I233" s="838"/>
      <c r="J233" s="837"/>
      <c r="K233" s="837"/>
      <c r="L233" s="837"/>
      <c r="M233" s="838"/>
      <c r="N233" s="836"/>
      <c r="O233" s="836"/>
      <c r="P233" s="836"/>
      <c r="Q233" s="1041"/>
      <c r="R233" s="836"/>
      <c r="S233" s="1294"/>
      <c r="T233" s="1294"/>
      <c r="U233" s="1557"/>
      <c r="V233" s="1294"/>
      <c r="W233" s="1294"/>
      <c r="X233" s="1294"/>
      <c r="Y233" s="1557"/>
      <c r="Z233" s="1294"/>
      <c r="AA233" s="1294"/>
      <c r="AB233" s="1294"/>
      <c r="AC233" s="1557"/>
      <c r="AD233" s="1294"/>
      <c r="AE233" s="1294"/>
      <c r="AF233" s="1294"/>
      <c r="AG233" s="1557"/>
      <c r="AH233" s="1294"/>
      <c r="AI233" s="1294"/>
      <c r="AJ233" s="1294"/>
      <c r="AK233" s="1557"/>
      <c r="AL233" s="1294"/>
      <c r="AM233" s="1294"/>
      <c r="AN233" s="398"/>
      <c r="AO233" s="401"/>
      <c r="AP233" s="398"/>
      <c r="AQ233" s="398"/>
      <c r="AR233" s="398"/>
      <c r="AS233" s="401"/>
      <c r="AT233" s="398"/>
      <c r="AU233" s="398"/>
      <c r="AV233" s="398"/>
      <c r="AW233" s="401"/>
      <c r="AX233" s="398"/>
      <c r="AY233" s="398"/>
      <c r="AZ233" s="398"/>
      <c r="BA233" s="401"/>
      <c r="BB233" s="398"/>
      <c r="BC233" s="1674"/>
      <c r="BD233" s="1674"/>
      <c r="BE233" s="1674"/>
      <c r="BF233" s="1674"/>
      <c r="BG233" s="1674"/>
      <c r="BH233" s="1674"/>
      <c r="BI233" s="1674"/>
      <c r="BJ233" s="1674" t="s">
        <v>622</v>
      </c>
      <c r="BK233" s="1674" t="s">
        <v>622</v>
      </c>
      <c r="BL233" s="1674"/>
      <c r="BM233" s="1674"/>
      <c r="BN233" s="1674"/>
      <c r="BO233" s="1674"/>
      <c r="BP233" s="1674"/>
      <c r="BR233" s="1483"/>
      <c r="BS233" s="1483"/>
      <c r="BT233" s="1483"/>
      <c r="BU233" s="1675"/>
    </row>
    <row r="234" spans="1:73" s="304" customFormat="1" ht="11.65" customHeight="1">
      <c r="A234" s="1684"/>
      <c r="B234" s="836"/>
      <c r="C234" s="837"/>
      <c r="D234" s="837"/>
      <c r="E234" s="838"/>
      <c r="F234" s="837"/>
      <c r="G234" s="837"/>
      <c r="H234" s="837"/>
      <c r="I234" s="838"/>
      <c r="J234" s="837"/>
      <c r="K234" s="837"/>
      <c r="L234" s="837"/>
      <c r="M234" s="838"/>
      <c r="N234" s="836"/>
      <c r="O234" s="836"/>
      <c r="P234" s="836"/>
      <c r="Q234" s="1041"/>
      <c r="R234" s="836"/>
      <c r="S234" s="1294"/>
      <c r="T234" s="1294"/>
      <c r="U234" s="1557"/>
      <c r="V234" s="1294"/>
      <c r="W234" s="1294"/>
      <c r="X234" s="1294"/>
      <c r="Y234" s="1557"/>
      <c r="Z234" s="1294"/>
      <c r="AA234" s="1294"/>
      <c r="AB234" s="1294"/>
      <c r="AC234" s="1557"/>
      <c r="AD234" s="1294"/>
      <c r="AE234" s="1294"/>
      <c r="AF234" s="1294"/>
      <c r="AG234" s="1557"/>
      <c r="AH234" s="1294"/>
      <c r="AI234" s="1294"/>
      <c r="AJ234" s="1294"/>
      <c r="AK234" s="1557"/>
      <c r="AL234" s="1294"/>
      <c r="AM234" s="1294"/>
      <c r="AN234" s="398"/>
      <c r="AO234" s="401"/>
      <c r="AP234" s="398"/>
      <c r="AQ234" s="398"/>
      <c r="AR234" s="398"/>
      <c r="AS234" s="401"/>
      <c r="AT234" s="398"/>
      <c r="AU234" s="398"/>
      <c r="AV234" s="398"/>
      <c r="AW234" s="401"/>
      <c r="AX234" s="398"/>
      <c r="AY234" s="398"/>
      <c r="AZ234" s="398"/>
      <c r="BA234" s="401"/>
      <c r="BB234" s="398"/>
      <c r="BC234" s="1674"/>
      <c r="BD234" s="1674"/>
      <c r="BE234" s="1674"/>
      <c r="BF234" s="1674"/>
      <c r="BG234" s="1674"/>
      <c r="BH234" s="1674"/>
      <c r="BI234" s="1674"/>
      <c r="BJ234" s="1546"/>
      <c r="BK234" s="1674"/>
      <c r="BL234" s="1674"/>
      <c r="BM234" s="1674"/>
      <c r="BN234" s="1674"/>
      <c r="BO234" s="1674"/>
      <c r="BP234" s="1674"/>
      <c r="BR234" s="1483"/>
      <c r="BS234" s="1483"/>
      <c r="BT234" s="1483"/>
      <c r="BU234" s="1675"/>
    </row>
    <row r="235" spans="1:73" s="304" customFormat="1" ht="11.65" customHeight="1">
      <c r="A235" s="1548" t="s">
        <v>609</v>
      </c>
      <c r="B235" s="836"/>
      <c r="C235" s="837"/>
      <c r="D235" s="837"/>
      <c r="E235" s="838"/>
      <c r="F235" s="837"/>
      <c r="G235" s="837"/>
      <c r="H235" s="837"/>
      <c r="I235" s="838"/>
      <c r="J235" s="837"/>
      <c r="K235" s="837"/>
      <c r="L235" s="837"/>
      <c r="M235" s="838"/>
      <c r="N235" s="836"/>
      <c r="O235" s="836"/>
      <c r="P235" s="836"/>
      <c r="Q235" s="1041"/>
      <c r="R235" s="836"/>
      <c r="S235" s="1294"/>
      <c r="T235" s="1294"/>
      <c r="U235" s="1557"/>
      <c r="V235" s="1294"/>
      <c r="W235" s="1294"/>
      <c r="X235" s="1294"/>
      <c r="Y235" s="1557"/>
      <c r="Z235" s="1294"/>
      <c r="AA235" s="1294"/>
      <c r="AB235" s="1294"/>
      <c r="AC235" s="1557"/>
      <c r="AD235" s="1294"/>
      <c r="AE235" s="1294"/>
      <c r="AF235" s="1294"/>
      <c r="AG235" s="1557"/>
      <c r="AH235" s="1294"/>
      <c r="AI235" s="1294"/>
      <c r="AJ235" s="1294"/>
      <c r="AK235" s="1557"/>
      <c r="AL235" s="1294"/>
      <c r="AM235" s="1294"/>
      <c r="AN235" s="398"/>
      <c r="AO235" s="401"/>
      <c r="AP235" s="398"/>
      <c r="AQ235" s="398"/>
      <c r="AR235" s="398"/>
      <c r="AS235" s="401"/>
      <c r="AT235" s="398"/>
      <c r="AU235" s="398"/>
      <c r="AV235" s="398"/>
      <c r="AW235" s="401"/>
      <c r="AX235" s="398"/>
      <c r="AY235" s="398"/>
      <c r="AZ235" s="398"/>
      <c r="BA235" s="401"/>
      <c r="BB235" s="398"/>
      <c r="BC235" s="1674"/>
      <c r="BD235" s="1674"/>
      <c r="BE235" s="1674"/>
      <c r="BF235" s="1674"/>
      <c r="BG235" s="1674"/>
      <c r="BH235" s="1676">
        <v>112</v>
      </c>
      <c r="BI235" s="1676">
        <v>121</v>
      </c>
      <c r="BJ235" s="1676">
        <v>129</v>
      </c>
      <c r="BK235" s="1676">
        <v>136</v>
      </c>
      <c r="BL235" s="1676">
        <v>143</v>
      </c>
      <c r="BM235" s="1676"/>
      <c r="BN235" s="1674"/>
      <c r="BO235" s="1674"/>
      <c r="BP235" s="1674"/>
      <c r="BR235" s="1483"/>
      <c r="BS235" s="1483"/>
      <c r="BT235" s="1483"/>
      <c r="BU235" s="1675"/>
    </row>
    <row r="236" spans="1:73" s="304" customFormat="1" ht="11.65" customHeight="1">
      <c r="A236" s="1548" t="s">
        <v>610</v>
      </c>
      <c r="B236" s="836"/>
      <c r="C236" s="837"/>
      <c r="D236" s="837"/>
      <c r="E236" s="838"/>
      <c r="F236" s="837"/>
      <c r="G236" s="837"/>
      <c r="H236" s="837"/>
      <c r="I236" s="838"/>
      <c r="J236" s="837"/>
      <c r="K236" s="837"/>
      <c r="L236" s="837"/>
      <c r="M236" s="838"/>
      <c r="N236" s="836"/>
      <c r="O236" s="836"/>
      <c r="P236" s="836"/>
      <c r="Q236" s="1041"/>
      <c r="R236" s="836"/>
      <c r="S236" s="1294"/>
      <c r="T236" s="1294"/>
      <c r="U236" s="1557"/>
      <c r="V236" s="1294"/>
      <c r="W236" s="1294"/>
      <c r="X236" s="1294"/>
      <c r="Y236" s="1557"/>
      <c r="Z236" s="1294"/>
      <c r="AA236" s="1294"/>
      <c r="AB236" s="1294"/>
      <c r="AC236" s="1557"/>
      <c r="AD236" s="1294"/>
      <c r="AE236" s="1294"/>
      <c r="AF236" s="1294"/>
      <c r="AG236" s="1557"/>
      <c r="AH236" s="1294"/>
      <c r="AI236" s="1294"/>
      <c r="AJ236" s="1294"/>
      <c r="AK236" s="1557"/>
      <c r="AL236" s="1294"/>
      <c r="AM236" s="1294"/>
      <c r="AN236" s="398"/>
      <c r="AO236" s="401"/>
      <c r="AP236" s="398"/>
      <c r="AQ236" s="398"/>
      <c r="AR236" s="398"/>
      <c r="AS236" s="401"/>
      <c r="AT236" s="398"/>
      <c r="AU236" s="398"/>
      <c r="AV236" s="398"/>
      <c r="AW236" s="401"/>
      <c r="AX236" s="398"/>
      <c r="AY236" s="398"/>
      <c r="AZ236" s="398"/>
      <c r="BA236" s="401"/>
      <c r="BB236" s="398"/>
      <c r="BC236" s="1674"/>
      <c r="BD236" s="1674"/>
      <c r="BE236" s="1674"/>
      <c r="BF236" s="1674"/>
      <c r="BG236" s="1674"/>
      <c r="BH236" s="1676">
        <v>39</v>
      </c>
      <c r="BI236" s="1676">
        <v>41</v>
      </c>
      <c r="BJ236" s="1676">
        <v>42</v>
      </c>
      <c r="BK236" s="1676">
        <v>42</v>
      </c>
      <c r="BL236" s="1676">
        <v>43</v>
      </c>
      <c r="BM236" s="1674"/>
      <c r="BN236" s="1674"/>
      <c r="BO236" s="1674"/>
      <c r="BP236" s="1674"/>
      <c r="BR236" s="1483"/>
      <c r="BS236" s="1483"/>
      <c r="BT236" s="1483"/>
      <c r="BU236" s="1675"/>
    </row>
    <row r="237" spans="1:73" s="304" customFormat="1" ht="11.65" customHeight="1">
      <c r="A237" s="1548" t="s">
        <v>611</v>
      </c>
      <c r="B237" s="836"/>
      <c r="C237" s="837"/>
      <c r="D237" s="837"/>
      <c r="E237" s="838"/>
      <c r="F237" s="837"/>
      <c r="G237" s="837"/>
      <c r="H237" s="837"/>
      <c r="I237" s="838"/>
      <c r="J237" s="837"/>
      <c r="K237" s="837"/>
      <c r="L237" s="837"/>
      <c r="M237" s="838"/>
      <c r="N237" s="836"/>
      <c r="O237" s="836"/>
      <c r="P237" s="836"/>
      <c r="Q237" s="1041"/>
      <c r="R237" s="836"/>
      <c r="S237" s="1294"/>
      <c r="T237" s="1294"/>
      <c r="U237" s="1557"/>
      <c r="V237" s="1294"/>
      <c r="W237" s="1294"/>
      <c r="X237" s="1294"/>
      <c r="Y237" s="1557"/>
      <c r="Z237" s="1294"/>
      <c r="AA237" s="1294"/>
      <c r="AB237" s="1294"/>
      <c r="AC237" s="1557"/>
      <c r="AD237" s="1294"/>
      <c r="AE237" s="1294"/>
      <c r="AF237" s="1294"/>
      <c r="AG237" s="1557"/>
      <c r="AH237" s="1294"/>
      <c r="AI237" s="1294"/>
      <c r="AJ237" s="1294"/>
      <c r="AK237" s="1557"/>
      <c r="AL237" s="1294"/>
      <c r="AM237" s="1294"/>
      <c r="AN237" s="398"/>
      <c r="AO237" s="401"/>
      <c r="AP237" s="398"/>
      <c r="AQ237" s="398"/>
      <c r="AR237" s="398"/>
      <c r="AS237" s="401"/>
      <c r="AT237" s="398"/>
      <c r="AU237" s="398"/>
      <c r="AV237" s="398"/>
      <c r="AW237" s="401"/>
      <c r="AX237" s="398"/>
      <c r="AY237" s="398"/>
      <c r="AZ237" s="398"/>
      <c r="BA237" s="401"/>
      <c r="BB237" s="398"/>
      <c r="BC237" s="1674"/>
      <c r="BD237" s="1674"/>
      <c r="BE237" s="1674"/>
      <c r="BF237" s="1674"/>
      <c r="BG237" s="1674"/>
      <c r="BH237" s="1754">
        <v>4.3</v>
      </c>
      <c r="BI237" s="1754">
        <v>4.8</v>
      </c>
      <c r="BJ237" s="1754">
        <v>5</v>
      </c>
      <c r="BK237" s="1754">
        <v>5.0999999999999996</v>
      </c>
      <c r="BL237" s="1754">
        <v>5</v>
      </c>
      <c r="BM237" s="1674"/>
      <c r="BN237" s="1674"/>
      <c r="BO237" s="1674"/>
      <c r="BP237" s="1674"/>
      <c r="BR237" s="1483"/>
      <c r="BS237" s="1483"/>
      <c r="BT237" s="1483"/>
      <c r="BU237" s="1675"/>
    </row>
    <row r="238" spans="1:73" s="304" customFormat="1" ht="11.65" customHeight="1">
      <c r="A238" s="1548" t="s">
        <v>612</v>
      </c>
      <c r="B238" s="836"/>
      <c r="C238" s="837"/>
      <c r="D238" s="837"/>
      <c r="E238" s="838"/>
      <c r="F238" s="837"/>
      <c r="G238" s="837"/>
      <c r="H238" s="837"/>
      <c r="I238" s="838"/>
      <c r="J238" s="837"/>
      <c r="K238" s="837"/>
      <c r="L238" s="837"/>
      <c r="M238" s="838"/>
      <c r="N238" s="836"/>
      <c r="O238" s="836"/>
      <c r="P238" s="836"/>
      <c r="Q238" s="1041"/>
      <c r="R238" s="836"/>
      <c r="S238" s="1294"/>
      <c r="T238" s="1294"/>
      <c r="U238" s="1557"/>
      <c r="V238" s="1294"/>
      <c r="W238" s="1294"/>
      <c r="X238" s="1294"/>
      <c r="Y238" s="1557"/>
      <c r="Z238" s="1294"/>
      <c r="AA238" s="1294"/>
      <c r="AB238" s="1294"/>
      <c r="AC238" s="1557"/>
      <c r="AD238" s="1294"/>
      <c r="AE238" s="1294"/>
      <c r="AF238" s="1294"/>
      <c r="AG238" s="1557"/>
      <c r="AH238" s="1294"/>
      <c r="AI238" s="1294"/>
      <c r="AJ238" s="1294"/>
      <c r="AK238" s="1557"/>
      <c r="AL238" s="1294"/>
      <c r="AM238" s="1294"/>
      <c r="AN238" s="398"/>
      <c r="AO238" s="401"/>
      <c r="AP238" s="398"/>
      <c r="AQ238" s="398"/>
      <c r="AR238" s="398"/>
      <c r="AS238" s="401"/>
      <c r="AT238" s="398"/>
      <c r="AU238" s="398"/>
      <c r="AV238" s="398"/>
      <c r="AW238" s="401"/>
      <c r="AX238" s="398"/>
      <c r="AY238" s="398"/>
      <c r="AZ238" s="398"/>
      <c r="BA238" s="401"/>
      <c r="BB238" s="398"/>
      <c r="BC238" s="1674"/>
      <c r="BD238" s="1674"/>
      <c r="BE238" s="1674"/>
      <c r="BF238" s="1674"/>
      <c r="BG238" s="1674"/>
      <c r="BH238" s="1718">
        <v>22</v>
      </c>
      <c r="BI238" s="1718">
        <v>28</v>
      </c>
      <c r="BJ238" s="1718">
        <v>53</v>
      </c>
      <c r="BK238" s="1718">
        <v>39</v>
      </c>
      <c r="BL238" s="1718">
        <v>40</v>
      </c>
      <c r="BM238" s="1674"/>
      <c r="BN238" s="1674"/>
      <c r="BO238" s="1674"/>
      <c r="BP238" s="1674"/>
      <c r="BR238" s="1483"/>
      <c r="BS238" s="1483"/>
      <c r="BT238" s="1483"/>
      <c r="BU238" s="1675"/>
    </row>
    <row r="239" spans="1:73" s="304" customFormat="1" ht="11.65" customHeight="1">
      <c r="A239" s="1548" t="s">
        <v>648</v>
      </c>
      <c r="B239" s="836"/>
      <c r="C239" s="837"/>
      <c r="D239" s="837"/>
      <c r="E239" s="838"/>
      <c r="F239" s="837"/>
      <c r="G239" s="837"/>
      <c r="H239" s="837"/>
      <c r="I239" s="838"/>
      <c r="J239" s="837"/>
      <c r="K239" s="837"/>
      <c r="L239" s="837"/>
      <c r="M239" s="838"/>
      <c r="N239" s="836"/>
      <c r="O239" s="836"/>
      <c r="P239" s="836"/>
      <c r="Q239" s="1041"/>
      <c r="R239" s="836"/>
      <c r="S239" s="1294"/>
      <c r="T239" s="1294"/>
      <c r="U239" s="1557"/>
      <c r="V239" s="1294"/>
      <c r="W239" s="1294"/>
      <c r="X239" s="1294"/>
      <c r="Y239" s="1557"/>
      <c r="Z239" s="1294"/>
      <c r="AA239" s="1294"/>
      <c r="AB239" s="1294"/>
      <c r="AC239" s="1557"/>
      <c r="AD239" s="1294"/>
      <c r="AE239" s="1294"/>
      <c r="AF239" s="1294"/>
      <c r="AG239" s="1557"/>
      <c r="AH239" s="1294"/>
      <c r="AI239" s="1294"/>
      <c r="AJ239" s="1294"/>
      <c r="AK239" s="1557"/>
      <c r="AL239" s="1294"/>
      <c r="AM239" s="1294"/>
      <c r="AN239" s="398"/>
      <c r="AO239" s="401"/>
      <c r="AP239" s="398"/>
      <c r="AQ239" s="398"/>
      <c r="AR239" s="398"/>
      <c r="AS239" s="401"/>
      <c r="AT239" s="398"/>
      <c r="AU239" s="398"/>
      <c r="AV239" s="398"/>
      <c r="AW239" s="401"/>
      <c r="AX239" s="398"/>
      <c r="AY239" s="398"/>
      <c r="AZ239" s="398"/>
      <c r="BA239" s="401"/>
      <c r="BB239" s="398"/>
      <c r="BC239" s="1674"/>
      <c r="BD239" s="1674"/>
      <c r="BE239" s="1674"/>
      <c r="BF239" s="1674"/>
      <c r="BG239" s="1674"/>
      <c r="BH239" s="1719"/>
      <c r="BI239" s="1719"/>
      <c r="BJ239" s="1719"/>
      <c r="BK239" s="1719">
        <v>9</v>
      </c>
      <c r="BL239" s="1719"/>
      <c r="BM239" s="1674"/>
      <c r="BN239" s="1674"/>
      <c r="BO239" s="1674"/>
      <c r="BP239" s="1674"/>
      <c r="BR239" s="1483"/>
      <c r="BS239" s="1483"/>
      <c r="BT239" s="1483"/>
      <c r="BU239" s="1675"/>
    </row>
    <row r="240" spans="1:73" s="304" customFormat="1" ht="11.65" customHeight="1">
      <c r="A240" s="1548" t="s">
        <v>649</v>
      </c>
      <c r="B240" s="836"/>
      <c r="C240" s="837"/>
      <c r="D240" s="837"/>
      <c r="E240" s="838"/>
      <c r="F240" s="837"/>
      <c r="G240" s="837"/>
      <c r="H240" s="837"/>
      <c r="I240" s="838"/>
      <c r="J240" s="837"/>
      <c r="K240" s="837"/>
      <c r="L240" s="837"/>
      <c r="M240" s="838"/>
      <c r="N240" s="836"/>
      <c r="O240" s="836"/>
      <c r="P240" s="836"/>
      <c r="Q240" s="1041"/>
      <c r="R240" s="836"/>
      <c r="S240" s="1294"/>
      <c r="T240" s="1294"/>
      <c r="U240" s="1557"/>
      <c r="V240" s="1294"/>
      <c r="W240" s="1294"/>
      <c r="X240" s="1294"/>
      <c r="Y240" s="1557"/>
      <c r="Z240" s="1294"/>
      <c r="AA240" s="1294"/>
      <c r="AB240" s="1294"/>
      <c r="AC240" s="1557"/>
      <c r="AD240" s="1294"/>
      <c r="AE240" s="1294"/>
      <c r="AF240" s="1294"/>
      <c r="AG240" s="1557"/>
      <c r="AH240" s="1294"/>
      <c r="AI240" s="1294"/>
      <c r="AJ240" s="1294"/>
      <c r="AK240" s="1557"/>
      <c r="AL240" s="1294"/>
      <c r="AM240" s="1294"/>
      <c r="AN240" s="398"/>
      <c r="AO240" s="401"/>
      <c r="AP240" s="398"/>
      <c r="AQ240" s="398"/>
      <c r="AR240" s="398"/>
      <c r="AS240" s="401"/>
      <c r="AT240" s="398"/>
      <c r="AU240" s="398"/>
      <c r="AV240" s="398"/>
      <c r="AW240" s="401"/>
      <c r="AX240" s="398"/>
      <c r="AY240" s="398"/>
      <c r="AZ240" s="398"/>
      <c r="BA240" s="401"/>
      <c r="BB240" s="398"/>
      <c r="BC240" s="1674"/>
      <c r="BD240" s="1674"/>
      <c r="BE240" s="1674"/>
      <c r="BF240" s="1674"/>
      <c r="BG240" s="1674"/>
      <c r="BH240" s="1719"/>
      <c r="BI240" s="1719"/>
      <c r="BJ240" s="1719"/>
      <c r="BK240" s="1719">
        <v>0.27</v>
      </c>
      <c r="BL240" s="1719"/>
      <c r="BM240" s="1674"/>
      <c r="BN240" s="1674"/>
      <c r="BO240" s="1674"/>
      <c r="BP240" s="1674"/>
      <c r="BR240" s="1483"/>
      <c r="BS240" s="1483"/>
      <c r="BT240" s="1483"/>
      <c r="BU240" s="1675"/>
    </row>
    <row r="241" spans="1:73" s="304" customFormat="1" ht="11.65" customHeight="1">
      <c r="A241" s="1548" t="s">
        <v>650</v>
      </c>
      <c r="B241" s="836"/>
      <c r="C241" s="837"/>
      <c r="D241" s="837"/>
      <c r="E241" s="838"/>
      <c r="F241" s="837"/>
      <c r="G241" s="837"/>
      <c r="H241" s="837"/>
      <c r="I241" s="838"/>
      <c r="J241" s="837"/>
      <c r="K241" s="837"/>
      <c r="L241" s="837"/>
      <c r="M241" s="838"/>
      <c r="N241" s="836"/>
      <c r="O241" s="836"/>
      <c r="P241" s="836"/>
      <c r="Q241" s="1041"/>
      <c r="R241" s="836"/>
      <c r="S241" s="1294"/>
      <c r="T241" s="1294"/>
      <c r="U241" s="1557"/>
      <c r="V241" s="1294"/>
      <c r="W241" s="1294"/>
      <c r="X241" s="1294"/>
      <c r="Y241" s="1557"/>
      <c r="Z241" s="1294"/>
      <c r="AA241" s="1294"/>
      <c r="AB241" s="1294"/>
      <c r="AC241" s="1557"/>
      <c r="AD241" s="1294"/>
      <c r="AE241" s="1294"/>
      <c r="AF241" s="1294"/>
      <c r="AG241" s="1557"/>
      <c r="AH241" s="1294"/>
      <c r="AI241" s="1294"/>
      <c r="AJ241" s="1294"/>
      <c r="AK241" s="1557"/>
      <c r="AL241" s="1294"/>
      <c r="AM241" s="1294"/>
      <c r="AN241" s="398"/>
      <c r="AO241" s="401"/>
      <c r="AP241" s="398"/>
      <c r="AQ241" s="398"/>
      <c r="AR241" s="398"/>
      <c r="AS241" s="401"/>
      <c r="AT241" s="398"/>
      <c r="AU241" s="398"/>
      <c r="AV241" s="398"/>
      <c r="AW241" s="401"/>
      <c r="AX241" s="398"/>
      <c r="AY241" s="398"/>
      <c r="AZ241" s="398"/>
      <c r="BA241" s="401"/>
      <c r="BB241" s="398"/>
      <c r="BC241" s="1674"/>
      <c r="BD241" s="1674"/>
      <c r="BE241" s="1674"/>
      <c r="BF241" s="1674"/>
      <c r="BG241" s="1674"/>
      <c r="BH241" s="1719"/>
      <c r="BI241" s="1719"/>
      <c r="BJ241" s="1719"/>
      <c r="BK241" s="1719">
        <v>0.54</v>
      </c>
      <c r="BL241" s="1719"/>
      <c r="BM241" s="1674"/>
      <c r="BN241" s="1674"/>
      <c r="BO241" s="1674"/>
      <c r="BP241" s="1674"/>
      <c r="BR241" s="1483"/>
      <c r="BS241" s="1483"/>
      <c r="BT241" s="1483"/>
      <c r="BU241" s="1675"/>
    </row>
    <row r="242" spans="1:73" s="304" customFormat="1" ht="11.65" customHeight="1">
      <c r="A242" s="1548" t="s">
        <v>651</v>
      </c>
      <c r="B242" s="836"/>
      <c r="C242" s="837"/>
      <c r="D242" s="837"/>
      <c r="E242" s="838"/>
      <c r="F242" s="837"/>
      <c r="G242" s="837"/>
      <c r="H242" s="837"/>
      <c r="I242" s="838"/>
      <c r="J242" s="837"/>
      <c r="K242" s="837"/>
      <c r="L242" s="837"/>
      <c r="M242" s="838"/>
      <c r="N242" s="836"/>
      <c r="O242" s="836"/>
      <c r="P242" s="836"/>
      <c r="Q242" s="1041"/>
      <c r="R242" s="836"/>
      <c r="S242" s="1294"/>
      <c r="T242" s="1294"/>
      <c r="U242" s="1557"/>
      <c r="V242" s="1294"/>
      <c r="W242" s="1294"/>
      <c r="X242" s="1294"/>
      <c r="Y242" s="1557"/>
      <c r="Z242" s="1294"/>
      <c r="AA242" s="1294"/>
      <c r="AB242" s="1294"/>
      <c r="AC242" s="1557"/>
      <c r="AD242" s="1294"/>
      <c r="AE242" s="1294"/>
      <c r="AF242" s="1294"/>
      <c r="AG242" s="1557"/>
      <c r="AH242" s="1294"/>
      <c r="AI242" s="1294"/>
      <c r="AJ242" s="1294"/>
      <c r="AK242" s="1557"/>
      <c r="AL242" s="1294"/>
      <c r="AM242" s="1294"/>
      <c r="AN242" s="398"/>
      <c r="AO242" s="401"/>
      <c r="AP242" s="398"/>
      <c r="AQ242" s="398"/>
      <c r="AR242" s="398"/>
      <c r="AS242" s="401"/>
      <c r="AT242" s="398"/>
      <c r="AU242" s="398"/>
      <c r="AV242" s="398"/>
      <c r="AW242" s="401"/>
      <c r="AX242" s="398"/>
      <c r="AY242" s="398"/>
      <c r="AZ242" s="398"/>
      <c r="BA242" s="401"/>
      <c r="BB242" s="398"/>
      <c r="BC242" s="1674"/>
      <c r="BD242" s="1674"/>
      <c r="BE242" s="1674"/>
      <c r="BF242" s="1674"/>
      <c r="BG242" s="1674"/>
      <c r="BH242" s="1719"/>
      <c r="BI242" s="1719"/>
      <c r="BJ242" s="1719"/>
      <c r="BK242" s="1719">
        <v>1.36</v>
      </c>
      <c r="BL242" s="1719"/>
      <c r="BM242" s="1674"/>
      <c r="BN242" s="1674"/>
      <c r="BO242" s="1674"/>
      <c r="BP242" s="1674"/>
      <c r="BR242" s="1483"/>
      <c r="BS242" s="1483"/>
      <c r="BT242" s="1483"/>
      <c r="BU242" s="1675"/>
    </row>
    <row r="243" spans="1:73" s="304" customFormat="1" ht="11.25" customHeight="1">
      <c r="A243" s="1548" t="s">
        <v>617</v>
      </c>
      <c r="B243" s="836"/>
      <c r="C243" s="837"/>
      <c r="D243" s="837"/>
      <c r="E243" s="838"/>
      <c r="F243" s="837"/>
      <c r="G243" s="837"/>
      <c r="H243" s="837"/>
      <c r="I243" s="838"/>
      <c r="J243" s="837"/>
      <c r="K243" s="837"/>
      <c r="L243" s="837"/>
      <c r="M243" s="838"/>
      <c r="N243" s="836"/>
      <c r="O243" s="836"/>
      <c r="P243" s="836"/>
      <c r="Q243" s="1041"/>
      <c r="R243" s="836"/>
      <c r="S243" s="1294"/>
      <c r="T243" s="1294"/>
      <c r="U243" s="1557"/>
      <c r="V243" s="1294"/>
      <c r="W243" s="1294"/>
      <c r="X243" s="1294"/>
      <c r="Y243" s="1557"/>
      <c r="Z243" s="1294"/>
      <c r="AA243" s="1294"/>
      <c r="AB243" s="1294"/>
      <c r="AC243" s="1557"/>
      <c r="AD243" s="1294"/>
      <c r="AE243" s="1294"/>
      <c r="AF243" s="1294"/>
      <c r="AG243" s="1557"/>
      <c r="AH243" s="1294"/>
      <c r="AI243" s="1294"/>
      <c r="AJ243" s="1294"/>
      <c r="AK243" s="1557"/>
      <c r="AL243" s="1294"/>
      <c r="AM243" s="1294"/>
      <c r="AN243" s="398"/>
      <c r="AO243" s="401"/>
      <c r="AP243" s="398"/>
      <c r="AQ243" s="398"/>
      <c r="AR243" s="398"/>
      <c r="AS243" s="401"/>
      <c r="AT243" s="398"/>
      <c r="AU243" s="398"/>
      <c r="AV243" s="398"/>
      <c r="AW243" s="401"/>
      <c r="AX243" s="398"/>
      <c r="AY243" s="398"/>
      <c r="AZ243" s="398"/>
      <c r="BA243" s="401"/>
      <c r="BB243" s="398"/>
      <c r="BC243" s="1674"/>
      <c r="BD243" s="1674"/>
      <c r="BE243" s="1674"/>
      <c r="BF243" s="1674"/>
      <c r="BG243" s="1674"/>
      <c r="BH243" s="1674"/>
      <c r="BI243" s="1674"/>
      <c r="BJ243" s="1546"/>
      <c r="BK243" s="1674"/>
      <c r="BL243" s="1676">
        <v>33000</v>
      </c>
      <c r="BM243" s="1674"/>
      <c r="BN243" s="1674"/>
      <c r="BO243" s="1674"/>
      <c r="BP243" s="1674"/>
      <c r="BR243" s="1483"/>
      <c r="BS243" s="1483"/>
      <c r="BT243" s="1483"/>
      <c r="BU243" s="1675"/>
    </row>
    <row r="244" spans="1:73" s="304" customFormat="1" ht="11.25" customHeight="1">
      <c r="A244" s="1548" t="s">
        <v>616</v>
      </c>
      <c r="B244" s="836"/>
      <c r="C244" s="837"/>
      <c r="D244" s="837"/>
      <c r="E244" s="838"/>
      <c r="F244" s="837"/>
      <c r="G244" s="837"/>
      <c r="H244" s="837"/>
      <c r="I244" s="838"/>
      <c r="J244" s="837"/>
      <c r="K244" s="837"/>
      <c r="L244" s="837"/>
      <c r="M244" s="838"/>
      <c r="N244" s="836"/>
      <c r="O244" s="836"/>
      <c r="P244" s="836"/>
      <c r="Q244" s="1041"/>
      <c r="R244" s="836"/>
      <c r="S244" s="1294"/>
      <c r="T244" s="1294"/>
      <c r="U244" s="1557"/>
      <c r="V244" s="1294"/>
      <c r="W244" s="1294"/>
      <c r="X244" s="1294"/>
      <c r="Y244" s="1557"/>
      <c r="Z244" s="1294"/>
      <c r="AA244" s="1294"/>
      <c r="AB244" s="1294"/>
      <c r="AC244" s="1557"/>
      <c r="AD244" s="1294"/>
      <c r="AE244" s="1294"/>
      <c r="AF244" s="1294"/>
      <c r="AG244" s="1557"/>
      <c r="AH244" s="1294"/>
      <c r="AI244" s="1294"/>
      <c r="AJ244" s="1294"/>
      <c r="AK244" s="1557"/>
      <c r="AL244" s="1294"/>
      <c r="AM244" s="1294"/>
      <c r="AN244" s="398"/>
      <c r="AO244" s="401"/>
      <c r="AP244" s="398"/>
      <c r="AQ244" s="398"/>
      <c r="AR244" s="398"/>
      <c r="AS244" s="401"/>
      <c r="AT244" s="398"/>
      <c r="AU244" s="398"/>
      <c r="AV244" s="398"/>
      <c r="AW244" s="401"/>
      <c r="AX244" s="398"/>
      <c r="AY244" s="398"/>
      <c r="AZ244" s="398"/>
      <c r="BA244" s="401"/>
      <c r="BB244" s="398"/>
      <c r="BC244" s="1674"/>
      <c r="BD244" s="1674"/>
      <c r="BE244" s="1674"/>
      <c r="BF244" s="1674"/>
      <c r="BG244" s="1674"/>
      <c r="BH244" s="1674"/>
      <c r="BI244" s="1674"/>
      <c r="BJ244" s="1546"/>
      <c r="BK244" s="1674"/>
      <c r="BL244" s="1676">
        <v>61000</v>
      </c>
      <c r="BM244" s="1674"/>
      <c r="BN244" s="1674"/>
      <c r="BO244" s="1674"/>
      <c r="BP244" s="1674"/>
      <c r="BR244" s="1483"/>
      <c r="BS244" s="1483"/>
      <c r="BT244" s="1483"/>
      <c r="BU244" s="1675"/>
    </row>
    <row r="245" spans="1:73" s="304" customFormat="1" ht="11.25" customHeight="1">
      <c r="A245" s="1684"/>
      <c r="B245" s="836"/>
      <c r="C245" s="837"/>
      <c r="D245" s="837"/>
      <c r="E245" s="838"/>
      <c r="F245" s="837"/>
      <c r="G245" s="837"/>
      <c r="H245" s="837"/>
      <c r="I245" s="838"/>
      <c r="J245" s="837"/>
      <c r="K245" s="837"/>
      <c r="L245" s="837"/>
      <c r="M245" s="838"/>
      <c r="N245" s="836"/>
      <c r="O245" s="836"/>
      <c r="P245" s="836"/>
      <c r="Q245" s="1041"/>
      <c r="R245" s="836"/>
      <c r="S245" s="1294"/>
      <c r="T245" s="1294"/>
      <c r="U245" s="1557"/>
      <c r="V245" s="1294"/>
      <c r="W245" s="1294"/>
      <c r="X245" s="1294"/>
      <c r="Y245" s="1557"/>
      <c r="Z245" s="1294"/>
      <c r="AA245" s="1294"/>
      <c r="AB245" s="1294"/>
      <c r="AC245" s="1557"/>
      <c r="AD245" s="1294"/>
      <c r="AE245" s="1294"/>
      <c r="AF245" s="1294"/>
      <c r="AG245" s="1557"/>
      <c r="AH245" s="1294"/>
      <c r="AI245" s="1294"/>
      <c r="AJ245" s="1294"/>
      <c r="AK245" s="1557"/>
      <c r="AL245" s="1294"/>
      <c r="AM245" s="1294"/>
      <c r="AN245" s="398"/>
      <c r="AO245" s="401"/>
      <c r="AP245" s="398"/>
      <c r="AQ245" s="398"/>
      <c r="AR245" s="398"/>
      <c r="AS245" s="401"/>
      <c r="AT245" s="398"/>
      <c r="AU245" s="398"/>
      <c r="AV245" s="398"/>
      <c r="AW245" s="401"/>
      <c r="AX245" s="398"/>
      <c r="AY245" s="398"/>
      <c r="AZ245" s="398"/>
      <c r="BA245" s="401"/>
      <c r="BB245" s="398"/>
      <c r="BC245" s="1674"/>
      <c r="BD245" s="1674"/>
      <c r="BE245" s="1674"/>
      <c r="BF245" s="1674"/>
      <c r="BG245" s="1674"/>
      <c r="BH245" s="1674"/>
      <c r="BI245" s="1674"/>
      <c r="BJ245" s="1546"/>
      <c r="BK245" s="1674"/>
      <c r="BL245" s="1674"/>
      <c r="BM245" s="1674"/>
      <c r="BN245" s="1674"/>
      <c r="BO245" s="1674"/>
      <c r="BP245" s="1674"/>
      <c r="BR245" s="1483"/>
      <c r="BS245" s="1483"/>
      <c r="BT245" s="1483"/>
      <c r="BU245" s="1675"/>
    </row>
    <row r="246" spans="1:73" s="305" customFormat="1" ht="12" customHeight="1">
      <c r="A246" s="1156" t="s">
        <v>634</v>
      </c>
      <c r="B246" s="1154"/>
      <c r="C246" s="1154"/>
      <c r="D246" s="1154"/>
      <c r="E246" s="1155"/>
      <c r="F246" s="1154"/>
      <c r="G246" s="1154"/>
      <c r="H246" s="1154"/>
      <c r="I246" s="1155"/>
      <c r="J246" s="1154"/>
      <c r="K246" s="1154"/>
      <c r="L246" s="1154"/>
      <c r="M246" s="1155"/>
      <c r="N246" s="1154"/>
      <c r="O246" s="1154"/>
      <c r="P246" s="1154"/>
      <c r="Q246" s="1155"/>
      <c r="R246" s="1154"/>
      <c r="S246" s="1154"/>
      <c r="T246" s="1154"/>
      <c r="U246" s="1155"/>
      <c r="V246" s="1154"/>
      <c r="W246" s="1154"/>
      <c r="X246" s="1154"/>
      <c r="Y246" s="1155"/>
      <c r="Z246" s="1154"/>
      <c r="AA246" s="1154"/>
      <c r="AB246" s="1154"/>
      <c r="AC246" s="1155"/>
      <c r="AD246" s="1154"/>
      <c r="AE246" s="1154"/>
      <c r="AF246" s="1154"/>
      <c r="AG246" s="1155"/>
      <c r="AH246" s="1157"/>
      <c r="AI246" s="1157"/>
      <c r="AJ246" s="1157"/>
      <c r="AK246" s="1158"/>
      <c r="AL246" s="1157"/>
      <c r="AM246" s="1157"/>
      <c r="AN246" s="1157"/>
      <c r="AO246" s="1158"/>
      <c r="AP246" s="1157"/>
      <c r="AQ246" s="1157"/>
      <c r="AR246" s="1157"/>
      <c r="AS246" s="1158"/>
      <c r="AT246" s="1157"/>
      <c r="AU246" s="1157"/>
      <c r="AV246" s="1157"/>
      <c r="AW246" s="1158"/>
      <c r="AX246" s="1157"/>
      <c r="AY246" s="1157"/>
      <c r="AZ246" s="1157"/>
      <c r="BA246" s="1158"/>
      <c r="BB246" s="401"/>
      <c r="BC246" s="1161"/>
      <c r="BD246" s="1161"/>
      <c r="BE246" s="1166"/>
      <c r="BF246" s="1167"/>
      <c r="BG246" s="1167"/>
      <c r="BH246" s="1167"/>
      <c r="BI246" s="1167"/>
      <c r="BJ246" s="1166"/>
      <c r="BK246" s="1167"/>
      <c r="BL246" s="1166"/>
      <c r="BM246" s="1166"/>
      <c r="BN246" s="1166"/>
      <c r="BO246" s="1166"/>
      <c r="BP246" s="1166"/>
      <c r="BR246" s="1379"/>
      <c r="BS246" s="1379"/>
      <c r="BT246" s="1379"/>
      <c r="BU246" s="1260"/>
    </row>
    <row r="247" spans="1:73" s="304" customFormat="1" ht="11.65" customHeight="1">
      <c r="A247" s="1547" t="s">
        <v>595</v>
      </c>
      <c r="B247" s="836"/>
      <c r="C247" s="837"/>
      <c r="D247" s="837"/>
      <c r="E247" s="838"/>
      <c r="F247" s="837"/>
      <c r="G247" s="837"/>
      <c r="H247" s="837"/>
      <c r="I247" s="838"/>
      <c r="J247" s="837"/>
      <c r="K247" s="837"/>
      <c r="L247" s="837"/>
      <c r="M247" s="838"/>
      <c r="N247" s="836"/>
      <c r="O247" s="836"/>
      <c r="P247" s="836"/>
      <c r="Q247" s="1041"/>
      <c r="R247" s="836"/>
      <c r="S247" s="1294"/>
      <c r="T247" s="1294"/>
      <c r="U247" s="1557"/>
      <c r="V247" s="1294"/>
      <c r="W247" s="1294"/>
      <c r="X247" s="1294"/>
      <c r="Y247" s="1557"/>
      <c r="Z247" s="1294"/>
      <c r="AA247" s="1294"/>
      <c r="AB247" s="1294"/>
      <c r="AC247" s="1557"/>
      <c r="AD247" s="1294"/>
      <c r="AE247" s="1294"/>
      <c r="AF247" s="1294"/>
      <c r="AG247" s="1557"/>
      <c r="AH247" s="1294"/>
      <c r="AI247" s="1294"/>
      <c r="AJ247" s="1294"/>
      <c r="AK247" s="1557"/>
      <c r="AL247" s="1294"/>
      <c r="AM247" s="1294"/>
      <c r="AN247" s="398"/>
      <c r="AO247" s="401"/>
      <c r="AP247" s="398"/>
      <c r="AQ247" s="398"/>
      <c r="AR247" s="398"/>
      <c r="AS247" s="401"/>
      <c r="AT247" s="398"/>
      <c r="AU247" s="398"/>
      <c r="AV247" s="398"/>
      <c r="AW247" s="401"/>
      <c r="AX247" s="398"/>
      <c r="AY247" s="398"/>
      <c r="AZ247" s="398"/>
      <c r="BA247" s="401"/>
      <c r="BB247" s="398"/>
      <c r="BC247" s="1674"/>
      <c r="BD247" s="1674"/>
      <c r="BE247" s="1674"/>
      <c r="BF247" s="1674"/>
      <c r="BG247" s="1674"/>
      <c r="BH247" s="1674"/>
      <c r="BI247" s="1674"/>
      <c r="BJ247" s="1546"/>
      <c r="BK247" s="1674"/>
      <c r="BL247" s="1674"/>
      <c r="BM247" s="1674"/>
      <c r="BN247" s="1674"/>
      <c r="BO247" s="1674"/>
      <c r="BP247" s="1674"/>
      <c r="BR247" s="1483"/>
      <c r="BS247" s="1483"/>
      <c r="BT247" s="1483"/>
      <c r="BU247" s="1675"/>
    </row>
    <row r="248" spans="1:73" s="304" customFormat="1" ht="11.65" customHeight="1">
      <c r="A248" s="1677" t="s">
        <v>596</v>
      </c>
      <c r="B248" s="836"/>
      <c r="C248" s="837"/>
      <c r="D248" s="837"/>
      <c r="E248" s="838"/>
      <c r="F248" s="837"/>
      <c r="G248" s="837"/>
      <c r="H248" s="837"/>
      <c r="I248" s="838"/>
      <c r="J248" s="837"/>
      <c r="K248" s="837"/>
      <c r="L248" s="837"/>
      <c r="M248" s="838"/>
      <c r="N248" s="836"/>
      <c r="O248" s="836"/>
      <c r="P248" s="836"/>
      <c r="Q248" s="1041"/>
      <c r="R248" s="836"/>
      <c r="S248" s="1294"/>
      <c r="T248" s="1294"/>
      <c r="U248" s="1557"/>
      <c r="V248" s="1294"/>
      <c r="W248" s="1294"/>
      <c r="X248" s="1294"/>
      <c r="Y248" s="1557"/>
      <c r="Z248" s="1294"/>
      <c r="AA248" s="1294"/>
      <c r="AB248" s="1294"/>
      <c r="AC248" s="1557"/>
      <c r="AD248" s="1294"/>
      <c r="AE248" s="1294"/>
      <c r="AF248" s="1294"/>
      <c r="AG248" s="1557"/>
      <c r="AH248" s="1294"/>
      <c r="AI248" s="1294"/>
      <c r="AJ248" s="1294"/>
      <c r="AK248" s="1557"/>
      <c r="AL248" s="1294"/>
      <c r="AM248" s="1294"/>
      <c r="AN248" s="398"/>
      <c r="AO248" s="401"/>
      <c r="AP248" s="398"/>
      <c r="AQ248" s="398"/>
      <c r="AR248" s="398"/>
      <c r="AS248" s="401"/>
      <c r="AT248" s="398"/>
      <c r="AU248" s="398"/>
      <c r="AV248" s="398"/>
      <c r="AW248" s="401"/>
      <c r="AX248" s="398"/>
      <c r="AY248" s="398"/>
      <c r="AZ248" s="398"/>
      <c r="BA248" s="401"/>
      <c r="BB248" s="398"/>
      <c r="BC248" s="1674"/>
      <c r="BD248" s="1674"/>
      <c r="BE248" s="1674"/>
      <c r="BF248" s="1674"/>
      <c r="BG248" s="1674"/>
      <c r="BH248" s="1674"/>
      <c r="BI248" s="1674"/>
      <c r="BJ248" s="1546"/>
      <c r="BK248" s="1674"/>
      <c r="BL248" s="1674"/>
      <c r="BM248" s="1674" t="s">
        <v>722</v>
      </c>
      <c r="BN248" s="1674" t="s">
        <v>722</v>
      </c>
      <c r="BO248" s="1674"/>
      <c r="BP248" s="1674"/>
      <c r="BR248" s="1483"/>
      <c r="BS248" s="1483"/>
      <c r="BT248" s="1483"/>
      <c r="BU248" s="1675"/>
    </row>
    <row r="249" spans="1:73" s="304" customFormat="1" ht="11.65" customHeight="1">
      <c r="A249" s="1684"/>
      <c r="B249" s="836"/>
      <c r="C249" s="837"/>
      <c r="D249" s="837"/>
      <c r="E249" s="838"/>
      <c r="F249" s="837"/>
      <c r="G249" s="837"/>
      <c r="H249" s="837"/>
      <c r="I249" s="838"/>
      <c r="J249" s="837"/>
      <c r="K249" s="837"/>
      <c r="L249" s="837"/>
      <c r="M249" s="838"/>
      <c r="N249" s="836"/>
      <c r="O249" s="836"/>
      <c r="P249" s="836"/>
      <c r="Q249" s="1041"/>
      <c r="R249" s="836"/>
      <c r="S249" s="1294"/>
      <c r="T249" s="1294"/>
      <c r="U249" s="1557"/>
      <c r="V249" s="1294"/>
      <c r="W249" s="1294"/>
      <c r="X249" s="1294"/>
      <c r="Y249" s="1557"/>
      <c r="Z249" s="1294"/>
      <c r="AA249" s="1294"/>
      <c r="AB249" s="1294"/>
      <c r="AC249" s="1557"/>
      <c r="AD249" s="1294"/>
      <c r="AE249" s="1294"/>
      <c r="AF249" s="1294"/>
      <c r="AG249" s="1557"/>
      <c r="AH249" s="1294"/>
      <c r="AI249" s="1294"/>
      <c r="AJ249" s="1294"/>
      <c r="AK249" s="1557"/>
      <c r="AL249" s="1294"/>
      <c r="AM249" s="1294"/>
      <c r="AN249" s="398"/>
      <c r="AO249" s="401"/>
      <c r="AP249" s="398"/>
      <c r="AQ249" s="398"/>
      <c r="AR249" s="398"/>
      <c r="AS249" s="401"/>
      <c r="AT249" s="398"/>
      <c r="AU249" s="398"/>
      <c r="AV249" s="398"/>
      <c r="AW249" s="401"/>
      <c r="AX249" s="398"/>
      <c r="AY249" s="398"/>
      <c r="AZ249" s="398"/>
      <c r="BA249" s="401"/>
      <c r="BB249" s="398"/>
      <c r="BC249" s="1674"/>
      <c r="BD249" s="1674"/>
      <c r="BE249" s="1674"/>
      <c r="BF249" s="1674"/>
      <c r="BG249" s="1674"/>
      <c r="BH249" s="1674"/>
      <c r="BI249" s="1674"/>
      <c r="BJ249" s="1546"/>
      <c r="BK249" s="1674"/>
      <c r="BL249" s="1674"/>
      <c r="BM249" s="1674"/>
      <c r="BN249" s="1674"/>
      <c r="BO249" s="1674"/>
      <c r="BP249" s="1674"/>
      <c r="BR249" s="1483"/>
      <c r="BS249" s="1483"/>
      <c r="BT249" s="1483"/>
      <c r="BU249" s="1675"/>
    </row>
    <row r="250" spans="1:73" s="304" customFormat="1" ht="11.65" customHeight="1">
      <c r="A250" s="1548" t="s">
        <v>635</v>
      </c>
      <c r="B250" s="836"/>
      <c r="C250" s="837"/>
      <c r="D250" s="837"/>
      <c r="E250" s="838"/>
      <c r="F250" s="837"/>
      <c r="G250" s="837"/>
      <c r="H250" s="837"/>
      <c r="I250" s="838"/>
      <c r="J250" s="837"/>
      <c r="K250" s="837"/>
      <c r="L250" s="837"/>
      <c r="M250" s="838"/>
      <c r="N250" s="836"/>
      <c r="O250" s="836"/>
      <c r="P250" s="836"/>
      <c r="Q250" s="1041"/>
      <c r="R250" s="836"/>
      <c r="S250" s="1294"/>
      <c r="T250" s="1294"/>
      <c r="U250" s="1557"/>
      <c r="V250" s="1294"/>
      <c r="W250" s="1294"/>
      <c r="X250" s="1294"/>
      <c r="Y250" s="1557"/>
      <c r="Z250" s="1294"/>
      <c r="AA250" s="1294"/>
      <c r="AB250" s="1294"/>
      <c r="AC250" s="1557"/>
      <c r="AD250" s="1294"/>
      <c r="AE250" s="1294"/>
      <c r="AF250" s="1294"/>
      <c r="AG250" s="1557"/>
      <c r="AH250" s="1294"/>
      <c r="AI250" s="1294"/>
      <c r="AJ250" s="1294"/>
      <c r="AK250" s="1557"/>
      <c r="AL250" s="1294"/>
      <c r="AM250" s="1294"/>
      <c r="AN250" s="398"/>
      <c r="AO250" s="401"/>
      <c r="AP250" s="398"/>
      <c r="AQ250" s="398"/>
      <c r="AR250" s="398"/>
      <c r="AS250" s="401"/>
      <c r="AT250" s="398"/>
      <c r="AU250" s="398"/>
      <c r="AV250" s="398"/>
      <c r="AW250" s="401"/>
      <c r="AX250" s="398"/>
      <c r="AY250" s="398"/>
      <c r="AZ250" s="398"/>
      <c r="BA250" s="401"/>
      <c r="BB250" s="398"/>
      <c r="BC250" s="1674"/>
      <c r="BD250" s="1674"/>
      <c r="BE250" s="1674"/>
      <c r="BF250" s="1674"/>
      <c r="BG250" s="1674"/>
      <c r="BH250" s="1718">
        <v>4083</v>
      </c>
      <c r="BI250" s="1718">
        <v>4197</v>
      </c>
      <c r="BJ250" s="1763">
        <v>4459</v>
      </c>
      <c r="BK250" s="1718">
        <v>4599</v>
      </c>
      <c r="BL250" s="1718">
        <v>4865</v>
      </c>
      <c r="BM250" s="1718">
        <v>5094</v>
      </c>
      <c r="BN250" s="1674"/>
      <c r="BO250" s="1674"/>
      <c r="BP250" s="1674"/>
      <c r="BR250" s="1483"/>
      <c r="BS250" s="1483"/>
      <c r="BT250" s="1483"/>
      <c r="BU250" s="1675"/>
    </row>
    <row r="251" spans="1:73" s="414" customFormat="1" ht="12" customHeight="1">
      <c r="A251" s="1018"/>
      <c r="B251" s="1019"/>
      <c r="C251" s="1019"/>
      <c r="D251" s="1019"/>
      <c r="E251" s="1020"/>
      <c r="F251" s="1019"/>
      <c r="G251" s="1019"/>
      <c r="H251" s="1019"/>
      <c r="I251" s="1065"/>
      <c r="J251" s="1019"/>
      <c r="K251" s="1019"/>
      <c r="L251" s="1019"/>
      <c r="M251" s="1020"/>
      <c r="N251" s="1019"/>
      <c r="O251" s="1019"/>
      <c r="P251" s="1021"/>
      <c r="Q251" s="1022"/>
      <c r="R251" s="1021"/>
      <c r="S251" s="1021"/>
      <c r="T251" s="1003"/>
      <c r="U251" s="1022"/>
      <c r="V251" s="1021"/>
      <c r="W251" s="1021"/>
      <c r="X251" s="1021"/>
      <c r="Y251" s="1023"/>
      <c r="Z251" s="1021"/>
      <c r="AA251" s="1021"/>
      <c r="AB251" s="1021"/>
      <c r="AC251" s="1022"/>
      <c r="AD251" s="1021"/>
      <c r="AE251" s="1021"/>
      <c r="AF251" s="1021"/>
      <c r="AG251" s="1022"/>
      <c r="AH251" s="1021"/>
      <c r="AI251" s="1021"/>
      <c r="AJ251" s="1021"/>
      <c r="AK251" s="1022"/>
      <c r="AL251" s="1021"/>
      <c r="AM251" s="1021"/>
      <c r="AN251" s="1021"/>
      <c r="AO251" s="1022"/>
      <c r="AP251" s="1021"/>
      <c r="AQ251" s="1021"/>
      <c r="AR251" s="1021"/>
      <c r="AS251" s="1022"/>
      <c r="AT251" s="1021"/>
      <c r="AU251" s="1021"/>
      <c r="AV251" s="1021"/>
      <c r="AW251" s="1022"/>
      <c r="AX251" s="1021"/>
      <c r="AY251" s="1021"/>
      <c r="AZ251" s="1021"/>
      <c r="BA251" s="1022"/>
      <c r="BB251" s="1024"/>
      <c r="BC251" s="1025"/>
      <c r="BD251" s="1025"/>
      <c r="BE251" s="1025"/>
      <c r="BF251" s="1025"/>
      <c r="BG251" s="1025"/>
      <c r="BH251" s="1025"/>
      <c r="BI251" s="1025"/>
      <c r="BJ251" s="1025"/>
      <c r="BK251" s="1025"/>
      <c r="BL251" s="1026"/>
      <c r="BM251" s="1080"/>
      <c r="BN251" s="1026"/>
      <c r="BO251" s="1026"/>
      <c r="BP251" s="1026"/>
      <c r="BR251" s="1406"/>
      <c r="BS251" s="1406"/>
      <c r="BT251" s="1406"/>
      <c r="BU251" s="1263"/>
    </row>
    <row r="252" spans="1:73" s="414" customFormat="1" ht="12" customHeight="1">
      <c r="A252" s="1180" t="s">
        <v>324</v>
      </c>
      <c r="B252" s="1027"/>
      <c r="C252" s="1027"/>
      <c r="D252" s="1027"/>
      <c r="E252" s="1027"/>
      <c r="F252" s="1027"/>
      <c r="G252" s="1027"/>
      <c r="H252" s="1027"/>
      <c r="I252" s="1027"/>
      <c r="J252" s="1027"/>
      <c r="K252" s="1027"/>
      <c r="L252" s="1027"/>
      <c r="M252" s="1027"/>
      <c r="N252" s="1028"/>
      <c r="O252" s="1028"/>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c r="AX252" s="1027"/>
      <c r="AY252" s="1027"/>
      <c r="AZ252" s="1027"/>
      <c r="BA252" s="1027"/>
      <c r="BB252" s="1024"/>
      <c r="BC252" s="1024"/>
      <c r="BD252" s="1024"/>
      <c r="BE252" s="1024"/>
      <c r="BF252" s="1024"/>
      <c r="BG252" s="1024"/>
      <c r="BH252" s="1024"/>
      <c r="BI252" s="1024"/>
      <c r="BJ252" s="1024"/>
      <c r="BK252" s="1024"/>
      <c r="BL252" s="1024"/>
      <c r="BM252" s="1024"/>
      <c r="BN252" s="1024"/>
      <c r="BO252" s="1024"/>
      <c r="BP252" s="1024"/>
      <c r="BR252" s="1406"/>
      <c r="BS252" s="1406"/>
      <c r="BT252" s="1406"/>
      <c r="BU252" s="1263"/>
    </row>
    <row r="253" spans="1:73" s="414" customFormat="1" ht="12" customHeight="1">
      <c r="A253" s="1234"/>
      <c r="B253" s="1021"/>
      <c r="C253" s="1021"/>
      <c r="D253" s="1021"/>
      <c r="E253" s="1021"/>
      <c r="F253" s="1021"/>
      <c r="G253" s="1021"/>
      <c r="H253" s="1021"/>
      <c r="I253" s="1021"/>
      <c r="J253" s="1021"/>
      <c r="K253" s="1021"/>
      <c r="L253" s="1021"/>
      <c r="M253" s="1021"/>
      <c r="N253" s="1019"/>
      <c r="O253" s="1019"/>
      <c r="P253" s="1021"/>
      <c r="Q253" s="1021"/>
      <c r="R253" s="1021"/>
      <c r="S253" s="1021"/>
      <c r="T253" s="1021"/>
      <c r="U253" s="1021"/>
      <c r="V253" s="1021"/>
      <c r="W253" s="1021"/>
      <c r="X253" s="1021"/>
      <c r="Y253" s="1021"/>
      <c r="Z253" s="1021"/>
      <c r="AA253" s="1021"/>
      <c r="AB253" s="1021"/>
      <c r="AC253" s="1021"/>
      <c r="AD253" s="1021"/>
      <c r="AE253" s="1021"/>
      <c r="AF253" s="1021"/>
      <c r="AG253" s="1021"/>
      <c r="AH253" s="1021"/>
      <c r="AI253" s="1021"/>
      <c r="AJ253" s="1021"/>
      <c r="AK253" s="1021"/>
      <c r="AL253" s="1021"/>
      <c r="AM253" s="1021"/>
      <c r="AN253" s="1021"/>
      <c r="AO253" s="1021"/>
      <c r="AP253" s="1021"/>
      <c r="AQ253" s="1021"/>
      <c r="AR253" s="1021"/>
      <c r="AS253" s="1021"/>
      <c r="AT253" s="1021"/>
      <c r="AU253" s="1021"/>
      <c r="AV253" s="1021"/>
      <c r="AW253" s="1021"/>
      <c r="AX253" s="1021"/>
      <c r="AY253" s="1021"/>
      <c r="AZ253" s="1021"/>
      <c r="BA253" s="1021"/>
      <c r="BB253" s="1024"/>
      <c r="BC253" s="1024"/>
      <c r="BD253" s="1024"/>
      <c r="BE253" s="1024"/>
      <c r="BF253" s="1024"/>
      <c r="BG253" s="1024"/>
      <c r="BH253" s="1024"/>
      <c r="BI253" s="1024"/>
      <c r="BJ253" s="1024"/>
      <c r="BK253" s="1024"/>
      <c r="BL253" s="1024"/>
      <c r="BM253" s="1024"/>
      <c r="BN253" s="1024"/>
      <c r="BO253" s="1024"/>
      <c r="BP253" s="1024"/>
      <c r="BR253" s="1406"/>
      <c r="BS253" s="1406"/>
      <c r="BT253" s="1406"/>
      <c r="BU253" s="1263"/>
    </row>
    <row r="254" spans="1:73" s="288" customFormat="1" ht="12" customHeight="1">
      <c r="A254" s="733"/>
      <c r="B254" s="2160" t="str">
        <f>+B3</f>
        <v>Fiscal 2016</v>
      </c>
      <c r="C254" s="2160"/>
      <c r="D254" s="2160"/>
      <c r="E254" s="2161"/>
      <c r="F254" s="2160" t="str">
        <f>+F3</f>
        <v>Fiscal 2017</v>
      </c>
      <c r="G254" s="2160"/>
      <c r="H254" s="2160"/>
      <c r="I254" s="2161"/>
      <c r="J254" s="2160" t="str">
        <f>+J3</f>
        <v>Fiscal 2018</v>
      </c>
      <c r="K254" s="2160"/>
      <c r="L254" s="2160"/>
      <c r="M254" s="2161"/>
      <c r="N254" s="2160" t="str">
        <f>+N3</f>
        <v>Fiscal 2019</v>
      </c>
      <c r="O254" s="2160"/>
      <c r="P254" s="2160"/>
      <c r="Q254" s="2161"/>
      <c r="R254" s="2160" t="str">
        <f>+R3</f>
        <v>Fiscal 2020</v>
      </c>
      <c r="S254" s="2160"/>
      <c r="T254" s="2160"/>
      <c r="U254" s="2161"/>
      <c r="V254" s="2160" t="str">
        <f>+V3</f>
        <v>Fiscal 2021</v>
      </c>
      <c r="W254" s="2160"/>
      <c r="X254" s="2160"/>
      <c r="Y254" s="2161"/>
      <c r="Z254" s="2160" t="str">
        <f>+Z3</f>
        <v>Fiscal 2022</v>
      </c>
      <c r="AA254" s="2160"/>
      <c r="AB254" s="2160"/>
      <c r="AC254" s="2161"/>
      <c r="AD254" s="2160" t="str">
        <f>+AD3</f>
        <v>Fiscal 2023</v>
      </c>
      <c r="AE254" s="2160"/>
      <c r="AF254" s="2160"/>
      <c r="AG254" s="2161"/>
      <c r="AH254" s="2160" t="str">
        <f>+AH3</f>
        <v>Fiscal 2024</v>
      </c>
      <c r="AI254" s="2160"/>
      <c r="AJ254" s="2160"/>
      <c r="AK254" s="2161"/>
      <c r="AL254" s="2160" t="str">
        <f>+AL3</f>
        <v>Fiscal 2025</v>
      </c>
      <c r="AM254" s="2160"/>
      <c r="AN254" s="2160"/>
      <c r="AO254" s="2161"/>
      <c r="AP254" s="2160" t="str">
        <f>+AP3</f>
        <v>Fiscal 2026</v>
      </c>
      <c r="AQ254" s="2160"/>
      <c r="AR254" s="2160"/>
      <c r="AS254" s="2161"/>
      <c r="AT254" s="2160" t="str">
        <f>+AT3</f>
        <v>Fiscal 2027</v>
      </c>
      <c r="AU254" s="2160"/>
      <c r="AV254" s="2160"/>
      <c r="AW254" s="2161"/>
      <c r="AX254" s="2160" t="str">
        <f>+AX3</f>
        <v>Fiscal 2028</v>
      </c>
      <c r="AY254" s="2160"/>
      <c r="AZ254" s="2160"/>
      <c r="BA254" s="2161"/>
      <c r="BB254" s="285"/>
      <c r="BC254" s="2157"/>
      <c r="BD254" s="2158"/>
      <c r="BE254" s="2158"/>
      <c r="BF254" s="2158"/>
      <c r="BG254" s="2158"/>
      <c r="BH254" s="2158"/>
      <c r="BI254" s="2158"/>
      <c r="BJ254" s="2158"/>
      <c r="BK254" s="2158"/>
      <c r="BL254" s="2158"/>
      <c r="BM254" s="2158"/>
      <c r="BN254" s="2158"/>
      <c r="BO254" s="2158"/>
      <c r="BP254" s="2159"/>
      <c r="BQ254" s="1029"/>
      <c r="BR254" s="1378"/>
      <c r="BS254" s="1378"/>
      <c r="BT254" s="1378"/>
      <c r="BU254" s="1259"/>
    </row>
    <row r="255" spans="1:73" s="305" customFormat="1" ht="12" customHeight="1">
      <c r="A255" s="1030"/>
      <c r="B255" s="177">
        <f>+B4</f>
        <v>42308</v>
      </c>
      <c r="C255" s="177">
        <f>+C4</f>
        <v>42400</v>
      </c>
      <c r="D255" s="177">
        <f>+D4</f>
        <v>42490</v>
      </c>
      <c r="E255" s="295">
        <f>+E4</f>
        <v>42582</v>
      </c>
      <c r="F255" s="1031">
        <f>+F4</f>
        <v>42674</v>
      </c>
      <c r="G255" s="177">
        <f>+G4</f>
        <v>42766</v>
      </c>
      <c r="H255" s="177">
        <f>+H4</f>
        <v>42855</v>
      </c>
      <c r="I255" s="177">
        <f>+I4</f>
        <v>42947</v>
      </c>
      <c r="J255" s="1031">
        <f>+J4</f>
        <v>43039</v>
      </c>
      <c r="K255" s="177">
        <f>+K4</f>
        <v>43131</v>
      </c>
      <c r="L255" s="177">
        <f>+L4</f>
        <v>43220</v>
      </c>
      <c r="M255" s="295">
        <f>+M4</f>
        <v>43312</v>
      </c>
      <c r="N255" s="177">
        <f>+N4</f>
        <v>43404</v>
      </c>
      <c r="O255" s="177">
        <f>+O4</f>
        <v>43496</v>
      </c>
      <c r="P255" s="177">
        <f>+P4</f>
        <v>43585</v>
      </c>
      <c r="Q255" s="295">
        <f>+Q4</f>
        <v>43677</v>
      </c>
      <c r="R255" s="177">
        <f>+R4</f>
        <v>43769</v>
      </c>
      <c r="S255" s="177">
        <f>+S4</f>
        <v>43861</v>
      </c>
      <c r="T255" s="177">
        <f>+T4</f>
        <v>43951</v>
      </c>
      <c r="U255" s="178">
        <f>+U4</f>
        <v>44043</v>
      </c>
      <c r="V255" s="290">
        <f>+V4</f>
        <v>44135</v>
      </c>
      <c r="W255" s="177" t="str">
        <f>+W4</f>
        <v>Jan-21</v>
      </c>
      <c r="X255" s="177" t="str">
        <f>+X4</f>
        <v>Apr-21</v>
      </c>
      <c r="Y255" s="178" t="str">
        <f>+Y4</f>
        <v>Jul-21</v>
      </c>
      <c r="Z255" s="290" t="str">
        <f>+Z4</f>
        <v>Oct-21</v>
      </c>
      <c r="AA255" s="177" t="str">
        <f>+AA4</f>
        <v>Jan-22</v>
      </c>
      <c r="AB255" s="177" t="str">
        <f>+AB4</f>
        <v>Apr-22</v>
      </c>
      <c r="AC255" s="178" t="str">
        <f>+AC4</f>
        <v>Jul-22</v>
      </c>
      <c r="AD255" s="400" t="str">
        <f>+AD4</f>
        <v>Oct-22</v>
      </c>
      <c r="AE255" s="398" t="str">
        <f>+AE4</f>
        <v>Jan-23</v>
      </c>
      <c r="AF255" s="398" t="str">
        <f>+AF4</f>
        <v>Apr-23</v>
      </c>
      <c r="AG255" s="399" t="str">
        <f>+AG4</f>
        <v>Jul-23</v>
      </c>
      <c r="AH255" s="400" t="str">
        <f>+AH4</f>
        <v>Oct-23</v>
      </c>
      <c r="AI255" s="398" t="str">
        <f>+AI4</f>
        <v>Jan-24</v>
      </c>
      <c r="AJ255" s="398" t="str">
        <f>+AJ4</f>
        <v>Apr-24</v>
      </c>
      <c r="AK255" s="399" t="str">
        <f>+AK4</f>
        <v>Jul-24</v>
      </c>
      <c r="AL255" s="400" t="str">
        <f>+AL4</f>
        <v>Oct-24</v>
      </c>
      <c r="AM255" s="398" t="str">
        <f>+AM4</f>
        <v>Jan-25</v>
      </c>
      <c r="AN255" s="398" t="str">
        <f>+AN4</f>
        <v>Apr-25</v>
      </c>
      <c r="AO255" s="399" t="str">
        <f>+AO4</f>
        <v>Jul-25</v>
      </c>
      <c r="AP255" s="400" t="str">
        <f>+AP4</f>
        <v>Oct-25</v>
      </c>
      <c r="AQ255" s="398" t="str">
        <f>+AQ4</f>
        <v>Jan-26</v>
      </c>
      <c r="AR255" s="398" t="str">
        <f>+AR4</f>
        <v>Apr-26E</v>
      </c>
      <c r="AS255" s="399" t="str">
        <f>+AS4</f>
        <v>Jul-26E</v>
      </c>
      <c r="AT255" s="400" t="str">
        <f>+AT4</f>
        <v>Oct-26E</v>
      </c>
      <c r="AU255" s="398" t="str">
        <f>+AU4</f>
        <v>Jan-27E</v>
      </c>
      <c r="AV255" s="398" t="str">
        <f>+AV4</f>
        <v>Apr-27E</v>
      </c>
      <c r="AW255" s="399" t="str">
        <f>+AW4</f>
        <v>Jul-27E</v>
      </c>
      <c r="AX255" s="400" t="str">
        <f>+AX4</f>
        <v>Oct-27E</v>
      </c>
      <c r="AY255" s="398" t="str">
        <f>+AY4</f>
        <v>Jan-28E</v>
      </c>
      <c r="AZ255" s="398" t="str">
        <f>+AZ4</f>
        <v>Apr-28E</v>
      </c>
      <c r="BA255" s="399" t="str">
        <f>+BA4</f>
        <v>Jul-28E</v>
      </c>
      <c r="BB255" s="1055"/>
      <c r="BC255" s="636" t="str">
        <f t="shared" ref="BC255:BP255" si="2278">+BC4</f>
        <v>FY15</v>
      </c>
      <c r="BD255" s="402" t="str">
        <f t="shared" si="2278"/>
        <v>FY16</v>
      </c>
      <c r="BE255" s="404" t="str">
        <f t="shared" si="2278"/>
        <v>FY17</v>
      </c>
      <c r="BF255" s="301" t="str">
        <f t="shared" si="2278"/>
        <v>FY18</v>
      </c>
      <c r="BG255" s="404" t="str">
        <f t="shared" si="2278"/>
        <v>FY19</v>
      </c>
      <c r="BH255" s="404" t="str">
        <f t="shared" si="2278"/>
        <v>FY20</v>
      </c>
      <c r="BI255" s="404" t="str">
        <f t="shared" si="2278"/>
        <v>FY21</v>
      </c>
      <c r="BJ255" s="404" t="str">
        <f t="shared" si="2278"/>
        <v>FY22</v>
      </c>
      <c r="BK255" s="1767" t="str">
        <f t="shared" si="2278"/>
        <v>FY23</v>
      </c>
      <c r="BL255" s="404" t="str">
        <f t="shared" si="2278"/>
        <v>FY24</v>
      </c>
      <c r="BM255" s="404" t="str">
        <f t="shared" si="2278"/>
        <v>FY25</v>
      </c>
      <c r="BN255" s="404" t="str">
        <f t="shared" si="2278"/>
        <v>FY26E</v>
      </c>
      <c r="BO255" s="404" t="str">
        <f t="shared" si="2278"/>
        <v>FY27E</v>
      </c>
      <c r="BP255" s="404" t="str">
        <f t="shared" si="2278"/>
        <v>FY28E</v>
      </c>
      <c r="BR255" s="1379"/>
      <c r="BS255" s="1379"/>
      <c r="BT255" s="1379"/>
      <c r="BU255" s="1260"/>
    </row>
    <row r="256" spans="1:73" s="305" customFormat="1" ht="12.75" customHeight="1">
      <c r="A256" s="1156" t="s">
        <v>594</v>
      </c>
      <c r="B256" s="1154"/>
      <c r="C256" s="1154"/>
      <c r="D256" s="1154"/>
      <c r="E256" s="1155"/>
      <c r="F256" s="1154"/>
      <c r="G256" s="1154"/>
      <c r="H256" s="1154"/>
      <c r="I256" s="1155"/>
      <c r="J256" s="1154"/>
      <c r="K256" s="1154"/>
      <c r="L256" s="1154"/>
      <c r="M256" s="1155"/>
      <c r="N256" s="1154"/>
      <c r="O256" s="1154"/>
      <c r="P256" s="1154"/>
      <c r="Q256" s="1155"/>
      <c r="R256" s="1154"/>
      <c r="S256" s="1154"/>
      <c r="T256" s="1154"/>
      <c r="U256" s="1155"/>
      <c r="V256" s="1154"/>
      <c r="W256" s="1154"/>
      <c r="X256" s="1154"/>
      <c r="Y256" s="1155"/>
      <c r="Z256" s="1154"/>
      <c r="AA256" s="1154"/>
      <c r="AB256" s="1154"/>
      <c r="AC256" s="1155"/>
      <c r="AD256" s="1154"/>
      <c r="AE256" s="1154"/>
      <c r="AF256" s="1154"/>
      <c r="AG256" s="1155"/>
      <c r="AH256" s="1157"/>
      <c r="AI256" s="1157"/>
      <c r="AJ256" s="1157"/>
      <c r="AK256" s="1158"/>
      <c r="AL256" s="1157"/>
      <c r="AM256" s="1157"/>
      <c r="AN256" s="1157"/>
      <c r="AO256" s="1158"/>
      <c r="AP256" s="1157"/>
      <c r="AQ256" s="1157"/>
      <c r="AR256" s="1157"/>
      <c r="AS256" s="1158"/>
      <c r="AT256" s="1157"/>
      <c r="AU256" s="1157"/>
      <c r="AV256" s="1157"/>
      <c r="AW256" s="1158"/>
      <c r="AX256" s="1157"/>
      <c r="AY256" s="1157"/>
      <c r="AZ256" s="1157"/>
      <c r="BA256" s="1158"/>
      <c r="BB256" s="401"/>
      <c r="BC256" s="1161"/>
      <c r="BD256" s="1162"/>
      <c r="BE256" s="1163"/>
      <c r="BF256" s="1163"/>
      <c r="BG256" s="1164"/>
      <c r="BH256" s="1163"/>
      <c r="BI256" s="1165"/>
      <c r="BJ256" s="1165"/>
      <c r="BK256" s="1165"/>
      <c r="BL256" s="1165"/>
      <c r="BM256" s="1165"/>
      <c r="BN256" s="1165"/>
      <c r="BO256" s="1165"/>
      <c r="BP256" s="1165"/>
      <c r="BR256" s="1379"/>
      <c r="BS256" s="1379"/>
      <c r="BT256" s="1379"/>
      <c r="BU256" s="1260"/>
    </row>
    <row r="257" spans="1:73" s="304" customFormat="1" ht="12" hidden="1" outlineLevel="1">
      <c r="A257" s="1547" t="s">
        <v>489</v>
      </c>
      <c r="B257" s="1110"/>
      <c r="C257" s="1110"/>
      <c r="D257" s="1110"/>
      <c r="E257" s="1111"/>
      <c r="F257" s="1110"/>
      <c r="G257" s="1110"/>
      <c r="H257" s="1110"/>
      <c r="I257" s="1111"/>
      <c r="J257" s="1110"/>
      <c r="K257" s="1110"/>
      <c r="L257" s="1110"/>
      <c r="M257" s="1111"/>
      <c r="N257" s="1572">
        <f t="shared" ref="N257:AO257" si="2279">+N376+N382</f>
        <v>371</v>
      </c>
      <c r="O257" s="1572">
        <f t="shared" si="2279"/>
        <v>394</v>
      </c>
      <c r="P257" s="1572">
        <f t="shared" si="2279"/>
        <v>439</v>
      </c>
      <c r="Q257" s="1573">
        <f t="shared" si="2279"/>
        <v>459</v>
      </c>
      <c r="R257" s="1572">
        <f t="shared" si="2279"/>
        <v>501</v>
      </c>
      <c r="S257" s="1572">
        <f t="shared" si="2279"/>
        <v>530</v>
      </c>
      <c r="T257" s="1572">
        <f t="shared" si="2279"/>
        <v>560</v>
      </c>
      <c r="U257" s="1573">
        <f t="shared" si="2279"/>
        <v>591</v>
      </c>
      <c r="V257" s="1572">
        <f t="shared" si="2279"/>
        <v>621</v>
      </c>
      <c r="W257" s="1572">
        <f t="shared" si="2279"/>
        <v>644</v>
      </c>
      <c r="X257" s="1572">
        <f t="shared" si="2279"/>
        <v>715</v>
      </c>
      <c r="Y257" s="1573">
        <f t="shared" si="2279"/>
        <v>770</v>
      </c>
      <c r="Z257" s="1572">
        <f t="shared" si="2279"/>
        <v>845</v>
      </c>
      <c r="AA257" s="1572">
        <f t="shared" si="2279"/>
        <v>1121</v>
      </c>
      <c r="AB257" s="1572">
        <f t="shared" si="2279"/>
        <v>1192</v>
      </c>
      <c r="AC257" s="1573">
        <f t="shared" si="2279"/>
        <v>1280</v>
      </c>
      <c r="AD257" s="1572">
        <f t="shared" si="2279"/>
        <v>1349</v>
      </c>
      <c r="AE257" s="1572">
        <f t="shared" si="2279"/>
        <v>1391</v>
      </c>
      <c r="AF257" s="1572">
        <f t="shared" si="2279"/>
        <v>1468</v>
      </c>
      <c r="AG257" s="1573">
        <f t="shared" si="2279"/>
        <v>1551</v>
      </c>
      <c r="AH257" s="1572">
        <f t="shared" si="2279"/>
        <v>1618</v>
      </c>
      <c r="AI257" s="1572">
        <f t="shared" si="2279"/>
        <v>1688</v>
      </c>
      <c r="AJ257" s="1572">
        <f t="shared" si="2279"/>
        <v>1754</v>
      </c>
      <c r="AK257" s="1573">
        <f t="shared" si="2279"/>
        <v>1832</v>
      </c>
      <c r="AL257" s="1572">
        <f t="shared" si="2279"/>
        <v>1943</v>
      </c>
      <c r="AM257" s="1572">
        <f t="shared" si="2279"/>
        <v>2038</v>
      </c>
      <c r="AN257" s="1572">
        <f t="shared" si="2279"/>
        <v>2103</v>
      </c>
      <c r="AO257" s="1573">
        <f t="shared" si="2279"/>
        <v>2218</v>
      </c>
      <c r="AP257" s="1572">
        <f t="shared" ref="AP257:AQ257" si="2280">+AP376+AP382</f>
        <v>2351</v>
      </c>
      <c r="AQ257" s="1572">
        <f t="shared" si="2280"/>
        <v>2467</v>
      </c>
      <c r="AR257" s="1572"/>
      <c r="AS257" s="1573"/>
      <c r="AT257" s="1572"/>
      <c r="AU257" s="1572"/>
      <c r="AV257" s="1572"/>
      <c r="AW257" s="1573"/>
      <c r="AX257" s="398"/>
      <c r="AY257" s="398"/>
      <c r="AZ257" s="398"/>
      <c r="BA257" s="401"/>
      <c r="BB257" s="1013"/>
      <c r="BC257" s="1670"/>
      <c r="BD257" s="1670"/>
      <c r="BE257" s="1670"/>
      <c r="BF257" s="1670"/>
      <c r="BG257" s="1670"/>
      <c r="BH257" s="1670"/>
      <c r="BI257" s="1670"/>
      <c r="BJ257" s="1671">
        <f>SUM(AA257:AC257)</f>
        <v>3593</v>
      </c>
      <c r="BK257" s="1670">
        <f>SUM(AD257:AG257)</f>
        <v>5759</v>
      </c>
      <c r="BL257" s="1670">
        <f>SUM(AH257:AK257)</f>
        <v>6892</v>
      </c>
      <c r="BM257" s="1670">
        <f>SUM(AL257:AO257)</f>
        <v>8302</v>
      </c>
      <c r="BN257" s="1670">
        <f>SUM(AP257:AS257)</f>
        <v>4818</v>
      </c>
      <c r="BO257" s="1670">
        <f>SUM(AT257:AW257)</f>
        <v>0</v>
      </c>
      <c r="BP257" s="1670">
        <f>SUM(AX257:BA257)</f>
        <v>0</v>
      </c>
      <c r="BR257" s="1483"/>
      <c r="BS257" s="1483"/>
      <c r="BT257" s="1483"/>
      <c r="BU257" s="1672"/>
    </row>
    <row r="258" spans="1:73" s="304" customFormat="1" ht="12" hidden="1" outlineLevel="1">
      <c r="A258" s="1548" t="s">
        <v>507</v>
      </c>
      <c r="B258" s="836"/>
      <c r="C258" s="1003"/>
      <c r="D258" s="1003"/>
      <c r="E258" s="1004"/>
      <c r="F258" s="1673"/>
      <c r="G258" s="1673"/>
      <c r="H258" s="1673"/>
      <c r="I258" s="1543"/>
      <c r="J258" s="1673"/>
      <c r="K258" s="1673"/>
      <c r="L258" s="1673"/>
      <c r="M258" s="1543"/>
      <c r="N258" s="836"/>
      <c r="O258" s="836"/>
      <c r="P258" s="836"/>
      <c r="Q258" s="1041"/>
      <c r="R258" s="836">
        <f t="shared" ref="R258:AQ258" si="2281">+(R257/N257)-1</f>
        <v>0.3504043126684635</v>
      </c>
      <c r="S258" s="1294">
        <f t="shared" si="2281"/>
        <v>0.34517766497461921</v>
      </c>
      <c r="T258" s="1294">
        <f t="shared" si="2281"/>
        <v>0.27562642369020507</v>
      </c>
      <c r="U258" s="1557">
        <f t="shared" si="2281"/>
        <v>0.28758169934640532</v>
      </c>
      <c r="V258" s="1294">
        <f t="shared" si="2281"/>
        <v>0.23952095808383222</v>
      </c>
      <c r="W258" s="1294">
        <f t="shared" si="2281"/>
        <v>0.21509433962264146</v>
      </c>
      <c r="X258" s="1294">
        <f t="shared" si="2281"/>
        <v>0.27678571428571419</v>
      </c>
      <c r="Y258" s="1557">
        <f t="shared" si="2281"/>
        <v>0.30287648054145522</v>
      </c>
      <c r="Z258" s="1294">
        <f t="shared" si="2281"/>
        <v>0.36070853462157815</v>
      </c>
      <c r="AA258" s="1294">
        <f t="shared" si="2281"/>
        <v>0.74068322981366452</v>
      </c>
      <c r="AB258" s="1294">
        <f t="shared" si="2281"/>
        <v>0.66713286713286712</v>
      </c>
      <c r="AC258" s="1557">
        <f t="shared" si="2281"/>
        <v>0.66233766233766245</v>
      </c>
      <c r="AD258" s="1294">
        <f t="shared" si="2281"/>
        <v>0.59644970414201182</v>
      </c>
      <c r="AE258" s="1294">
        <f t="shared" si="2281"/>
        <v>0.24085637823371986</v>
      </c>
      <c r="AF258" s="1294">
        <f t="shared" si="2281"/>
        <v>0.23154362416107377</v>
      </c>
      <c r="AG258" s="1557">
        <f t="shared" si="2281"/>
        <v>0.21171874999999996</v>
      </c>
      <c r="AH258" s="1294">
        <f t="shared" si="2281"/>
        <v>0.19940696812453673</v>
      </c>
      <c r="AI258" s="1294">
        <f t="shared" si="2281"/>
        <v>0.21351545650611081</v>
      </c>
      <c r="AJ258" s="1294">
        <f t="shared" si="2281"/>
        <v>0.19482288828337868</v>
      </c>
      <c r="AK258" s="1557">
        <f t="shared" si="2281"/>
        <v>0.18117343649258544</v>
      </c>
      <c r="AL258" s="1294">
        <f t="shared" si="2281"/>
        <v>0.2008652657601977</v>
      </c>
      <c r="AM258" s="1294">
        <f t="shared" si="2281"/>
        <v>0.20734597156398094</v>
      </c>
      <c r="AN258" s="1294">
        <f t="shared" si="2281"/>
        <v>0.19897377423033058</v>
      </c>
      <c r="AO258" s="1557">
        <f t="shared" si="2281"/>
        <v>0.2106986899563319</v>
      </c>
      <c r="AP258" s="1294">
        <f t="shared" si="2281"/>
        <v>0.20998455995882659</v>
      </c>
      <c r="AQ258" s="1294">
        <f t="shared" si="2281"/>
        <v>0.21050049067713439</v>
      </c>
      <c r="AR258" s="398"/>
      <c r="AS258" s="401"/>
      <c r="AT258" s="398"/>
      <c r="AU258" s="398"/>
      <c r="AV258" s="398"/>
      <c r="AW258" s="401"/>
      <c r="AX258" s="398"/>
      <c r="AY258" s="398"/>
      <c r="AZ258" s="398"/>
      <c r="BA258" s="401"/>
      <c r="BB258" s="398"/>
      <c r="BC258" s="1674"/>
      <c r="BD258" s="1674"/>
      <c r="BE258" s="1674"/>
      <c r="BF258" s="1674"/>
      <c r="BG258" s="1674"/>
      <c r="BH258" s="1674"/>
      <c r="BI258" s="1674"/>
      <c r="BJ258" s="1546"/>
      <c r="BK258" s="1674"/>
      <c r="BL258" s="1674"/>
      <c r="BM258" s="1674"/>
      <c r="BN258" s="1674"/>
      <c r="BO258" s="1674"/>
      <c r="BP258" s="1674"/>
      <c r="BR258" s="1483"/>
      <c r="BS258" s="1483"/>
      <c r="BT258" s="1483"/>
      <c r="BU258" s="1675"/>
    </row>
    <row r="259" spans="1:73" s="304" customFormat="1" ht="12" hidden="1" outlineLevel="1">
      <c r="A259" s="1548" t="s">
        <v>508</v>
      </c>
      <c r="B259" s="836"/>
      <c r="C259" s="837"/>
      <c r="D259" s="837"/>
      <c r="E259" s="838"/>
      <c r="F259" s="837"/>
      <c r="G259" s="837"/>
      <c r="H259" s="837"/>
      <c r="I259" s="838"/>
      <c r="J259" s="837"/>
      <c r="K259" s="837"/>
      <c r="L259" s="837"/>
      <c r="M259" s="838"/>
      <c r="N259" s="836"/>
      <c r="O259" s="836"/>
      <c r="P259" s="836"/>
      <c r="Q259" s="1041"/>
      <c r="R259" s="1549">
        <f t="shared" ref="R259:AQ259" si="2282">+R257-N257</f>
        <v>130</v>
      </c>
      <c r="S259" s="1550">
        <f t="shared" si="2282"/>
        <v>136</v>
      </c>
      <c r="T259" s="1550">
        <f t="shared" si="2282"/>
        <v>121</v>
      </c>
      <c r="U259" s="1551">
        <f t="shared" si="2282"/>
        <v>132</v>
      </c>
      <c r="V259" s="1550">
        <f t="shared" si="2282"/>
        <v>120</v>
      </c>
      <c r="W259" s="1550">
        <f t="shared" si="2282"/>
        <v>114</v>
      </c>
      <c r="X259" s="1550">
        <f t="shared" si="2282"/>
        <v>155</v>
      </c>
      <c r="Y259" s="1551">
        <f t="shared" si="2282"/>
        <v>179</v>
      </c>
      <c r="Z259" s="1550">
        <f t="shared" si="2282"/>
        <v>224</v>
      </c>
      <c r="AA259" s="1550">
        <f t="shared" si="2282"/>
        <v>477</v>
      </c>
      <c r="AB259" s="1550">
        <f t="shared" si="2282"/>
        <v>477</v>
      </c>
      <c r="AC259" s="1551">
        <f t="shared" si="2282"/>
        <v>510</v>
      </c>
      <c r="AD259" s="1550">
        <f t="shared" si="2282"/>
        <v>504</v>
      </c>
      <c r="AE259" s="1550">
        <f t="shared" si="2282"/>
        <v>270</v>
      </c>
      <c r="AF259" s="1550">
        <f t="shared" si="2282"/>
        <v>276</v>
      </c>
      <c r="AG259" s="1551">
        <f t="shared" si="2282"/>
        <v>271</v>
      </c>
      <c r="AH259" s="1550">
        <f t="shared" si="2282"/>
        <v>269</v>
      </c>
      <c r="AI259" s="1550">
        <f t="shared" si="2282"/>
        <v>297</v>
      </c>
      <c r="AJ259" s="1550">
        <f t="shared" si="2282"/>
        <v>286</v>
      </c>
      <c r="AK259" s="1551">
        <f t="shared" si="2282"/>
        <v>281</v>
      </c>
      <c r="AL259" s="1550">
        <f t="shared" si="2282"/>
        <v>325</v>
      </c>
      <c r="AM259" s="1550">
        <f t="shared" si="2282"/>
        <v>350</v>
      </c>
      <c r="AN259" s="1550">
        <f t="shared" si="2282"/>
        <v>349</v>
      </c>
      <c r="AO259" s="1551">
        <f t="shared" si="2282"/>
        <v>386</v>
      </c>
      <c r="AP259" s="1550">
        <f t="shared" si="2282"/>
        <v>408</v>
      </c>
      <c r="AQ259" s="1550">
        <f t="shared" si="2282"/>
        <v>429</v>
      </c>
      <c r="AR259" s="398"/>
      <c r="AS259" s="401"/>
      <c r="AT259" s="398"/>
      <c r="AU259" s="398"/>
      <c r="AV259" s="398"/>
      <c r="AW259" s="401"/>
      <c r="AX259" s="398"/>
      <c r="AY259" s="398"/>
      <c r="AZ259" s="398"/>
      <c r="BA259" s="401"/>
      <c r="BB259" s="401"/>
      <c r="BC259" s="1676"/>
      <c r="BD259" s="1676"/>
      <c r="BE259" s="1676"/>
      <c r="BF259" s="1676"/>
      <c r="BG259" s="1676"/>
      <c r="BH259" s="1676"/>
      <c r="BI259" s="1676"/>
      <c r="BJ259" s="1546"/>
      <c r="BK259" s="1676">
        <f>BK257-BJ257</f>
        <v>2166</v>
      </c>
      <c r="BL259" s="1676">
        <f>BL257-BK257</f>
        <v>1133</v>
      </c>
      <c r="BM259" s="1676">
        <f>BM257-BL257</f>
        <v>1410</v>
      </c>
      <c r="BN259" s="1674"/>
      <c r="BO259" s="1674"/>
      <c r="BP259" s="1674"/>
      <c r="BR259" s="1483"/>
      <c r="BS259" s="1483"/>
      <c r="BT259" s="1483"/>
      <c r="BU259" s="1675"/>
    </row>
    <row r="260" spans="1:73" s="304" customFormat="1" ht="12" hidden="1" outlineLevel="1">
      <c r="A260" s="1548" t="s">
        <v>509</v>
      </c>
      <c r="B260" s="836"/>
      <c r="C260" s="1003"/>
      <c r="D260" s="1003"/>
      <c r="E260" s="1004"/>
      <c r="F260" s="1673"/>
      <c r="G260" s="1673"/>
      <c r="H260" s="1673"/>
      <c r="I260" s="1543"/>
      <c r="J260" s="1673"/>
      <c r="K260" s="1673"/>
      <c r="L260" s="1673"/>
      <c r="M260" s="1543"/>
      <c r="N260" s="836"/>
      <c r="O260" s="1552">
        <f t="shared" ref="O260:AQ260" si="2283">+(O257/N257)-1</f>
        <v>6.1994609164420567E-2</v>
      </c>
      <c r="P260" s="1552">
        <f t="shared" si="2283"/>
        <v>0.1142131979695431</v>
      </c>
      <c r="Q260" s="1553">
        <f t="shared" si="2283"/>
        <v>4.5558086560364419E-2</v>
      </c>
      <c r="R260" s="1552">
        <f t="shared" si="2283"/>
        <v>9.1503267973856106E-2</v>
      </c>
      <c r="S260" s="1552">
        <f t="shared" si="2283"/>
        <v>5.7884231536926123E-2</v>
      </c>
      <c r="T260" s="1552">
        <f t="shared" si="2283"/>
        <v>5.6603773584905648E-2</v>
      </c>
      <c r="U260" s="1553">
        <f t="shared" si="2283"/>
        <v>5.5357142857142883E-2</v>
      </c>
      <c r="V260" s="1552">
        <f t="shared" si="2283"/>
        <v>5.0761421319796884E-2</v>
      </c>
      <c r="W260" s="1552">
        <f t="shared" si="2283"/>
        <v>3.7037037037036979E-2</v>
      </c>
      <c r="X260" s="1552">
        <f t="shared" si="2283"/>
        <v>0.11024844720496896</v>
      </c>
      <c r="Y260" s="1553">
        <f t="shared" si="2283"/>
        <v>7.6923076923076872E-2</v>
      </c>
      <c r="Z260" s="1552">
        <f t="shared" si="2283"/>
        <v>9.740259740259738E-2</v>
      </c>
      <c r="AA260" s="1552">
        <f t="shared" si="2283"/>
        <v>0.32662721893491131</v>
      </c>
      <c r="AB260" s="1552">
        <f t="shared" si="2283"/>
        <v>6.3336306868867043E-2</v>
      </c>
      <c r="AC260" s="1553">
        <f t="shared" si="2283"/>
        <v>7.3825503355704702E-2</v>
      </c>
      <c r="AD260" s="1552">
        <f t="shared" si="2283"/>
        <v>5.3906250000000044E-2</v>
      </c>
      <c r="AE260" s="1552">
        <f t="shared" si="2283"/>
        <v>3.1134173461823567E-2</v>
      </c>
      <c r="AF260" s="1552">
        <f t="shared" si="2283"/>
        <v>5.5355859094176951E-2</v>
      </c>
      <c r="AG260" s="1553">
        <f t="shared" si="2283"/>
        <v>5.653950953678466E-2</v>
      </c>
      <c r="AH260" s="1552">
        <f t="shared" si="2283"/>
        <v>4.3197936814957982E-2</v>
      </c>
      <c r="AI260" s="1552">
        <f t="shared" si="2283"/>
        <v>4.3263288009888656E-2</v>
      </c>
      <c r="AJ260" s="1552">
        <f t="shared" si="2283"/>
        <v>3.9099526066350698E-2</v>
      </c>
      <c r="AK260" s="1553">
        <f t="shared" si="2283"/>
        <v>4.4469783352337533E-2</v>
      </c>
      <c r="AL260" s="1552">
        <f t="shared" si="2283"/>
        <v>6.0589519650654955E-2</v>
      </c>
      <c r="AM260" s="1552">
        <f t="shared" si="2283"/>
        <v>4.8893463715903307E-2</v>
      </c>
      <c r="AN260" s="1552">
        <f t="shared" si="2283"/>
        <v>3.1894013738959837E-2</v>
      </c>
      <c r="AO260" s="1553">
        <f t="shared" si="2283"/>
        <v>5.468378506894922E-2</v>
      </c>
      <c r="AP260" s="1552">
        <f t="shared" si="2283"/>
        <v>5.996393146979262E-2</v>
      </c>
      <c r="AQ260" s="1552">
        <f t="shared" si="2283"/>
        <v>4.9340706082518171E-2</v>
      </c>
      <c r="AR260" s="398"/>
      <c r="AS260" s="401"/>
      <c r="AT260" s="398"/>
      <c r="AU260" s="398"/>
      <c r="AV260" s="398"/>
      <c r="AW260" s="401"/>
      <c r="AX260" s="398"/>
      <c r="AY260" s="398"/>
      <c r="AZ260" s="398"/>
      <c r="BA260" s="401"/>
      <c r="BB260" s="401"/>
      <c r="BC260" s="1674"/>
      <c r="BD260" s="1674"/>
      <c r="BE260" s="1674"/>
      <c r="BF260" s="1674"/>
      <c r="BG260" s="1674"/>
      <c r="BH260" s="1674"/>
      <c r="BI260" s="1674"/>
      <c r="BJ260" s="1546"/>
      <c r="BK260" s="1674"/>
      <c r="BL260" s="1674"/>
      <c r="BM260" s="1674"/>
      <c r="BN260" s="1674"/>
      <c r="BO260" s="1674"/>
      <c r="BP260" s="1674"/>
      <c r="BR260" s="1483"/>
      <c r="BS260" s="1483"/>
      <c r="BT260" s="1483"/>
      <c r="BU260" s="1675"/>
    </row>
    <row r="261" spans="1:73" s="304" customFormat="1" ht="12" hidden="1" outlineLevel="1">
      <c r="A261" s="1548" t="s">
        <v>510</v>
      </c>
      <c r="B261" s="836"/>
      <c r="C261" s="837"/>
      <c r="D261" s="837"/>
      <c r="E261" s="838"/>
      <c r="F261" s="837"/>
      <c r="G261" s="837"/>
      <c r="H261" s="837"/>
      <c r="I261" s="838"/>
      <c r="J261" s="837"/>
      <c r="K261" s="837"/>
      <c r="L261" s="837"/>
      <c r="M261" s="838"/>
      <c r="N261" s="1549"/>
      <c r="O261" s="1550">
        <f t="shared" ref="O261:AQ261" si="2284">+O257-N257</f>
        <v>23</v>
      </c>
      <c r="P261" s="1550">
        <f t="shared" si="2284"/>
        <v>45</v>
      </c>
      <c r="Q261" s="1551">
        <f t="shared" si="2284"/>
        <v>20</v>
      </c>
      <c r="R261" s="1549">
        <f t="shared" si="2284"/>
        <v>42</v>
      </c>
      <c r="S261" s="1550">
        <f t="shared" si="2284"/>
        <v>29</v>
      </c>
      <c r="T261" s="1550">
        <f t="shared" si="2284"/>
        <v>30</v>
      </c>
      <c r="U261" s="1551">
        <f t="shared" si="2284"/>
        <v>31</v>
      </c>
      <c r="V261" s="1550">
        <f t="shared" si="2284"/>
        <v>30</v>
      </c>
      <c r="W261" s="1550">
        <f t="shared" si="2284"/>
        <v>23</v>
      </c>
      <c r="X261" s="1550">
        <f t="shared" si="2284"/>
        <v>71</v>
      </c>
      <c r="Y261" s="1551">
        <f t="shared" si="2284"/>
        <v>55</v>
      </c>
      <c r="Z261" s="1550">
        <f t="shared" si="2284"/>
        <v>75</v>
      </c>
      <c r="AA261" s="1550">
        <f t="shared" si="2284"/>
        <v>276</v>
      </c>
      <c r="AB261" s="1550">
        <f t="shared" si="2284"/>
        <v>71</v>
      </c>
      <c r="AC261" s="1551">
        <f t="shared" si="2284"/>
        <v>88</v>
      </c>
      <c r="AD261" s="1550">
        <f t="shared" si="2284"/>
        <v>69</v>
      </c>
      <c r="AE261" s="1550">
        <f t="shared" si="2284"/>
        <v>42</v>
      </c>
      <c r="AF261" s="1550">
        <f t="shared" si="2284"/>
        <v>77</v>
      </c>
      <c r="AG261" s="1551">
        <f t="shared" si="2284"/>
        <v>83</v>
      </c>
      <c r="AH261" s="1550">
        <f t="shared" si="2284"/>
        <v>67</v>
      </c>
      <c r="AI261" s="1550">
        <f t="shared" si="2284"/>
        <v>70</v>
      </c>
      <c r="AJ261" s="1550">
        <f t="shared" si="2284"/>
        <v>66</v>
      </c>
      <c r="AK261" s="1551">
        <f t="shared" si="2284"/>
        <v>78</v>
      </c>
      <c r="AL261" s="1550">
        <f t="shared" si="2284"/>
        <v>111</v>
      </c>
      <c r="AM261" s="1550">
        <f t="shared" si="2284"/>
        <v>95</v>
      </c>
      <c r="AN261" s="1550">
        <f t="shared" si="2284"/>
        <v>65</v>
      </c>
      <c r="AO261" s="1551">
        <f t="shared" si="2284"/>
        <v>115</v>
      </c>
      <c r="AP261" s="1550">
        <f t="shared" si="2284"/>
        <v>133</v>
      </c>
      <c r="AQ261" s="1550">
        <f t="shared" si="2284"/>
        <v>116</v>
      </c>
      <c r="AR261" s="398"/>
      <c r="AS261" s="401"/>
      <c r="AT261" s="398"/>
      <c r="AU261" s="398"/>
      <c r="AV261" s="398"/>
      <c r="AW261" s="401"/>
      <c r="AX261" s="398"/>
      <c r="AY261" s="398"/>
      <c r="AZ261" s="398"/>
      <c r="BA261" s="401"/>
      <c r="BB261" s="401"/>
      <c r="BC261" s="1670"/>
      <c r="BD261" s="1670"/>
      <c r="BE261" s="1670"/>
      <c r="BF261" s="1670"/>
      <c r="BG261" s="1670"/>
      <c r="BH261" s="1670"/>
      <c r="BI261" s="1670"/>
      <c r="BJ261" s="1546"/>
      <c r="BK261" s="1670">
        <f>SUM(AD261:AG261)</f>
        <v>271</v>
      </c>
      <c r="BL261" s="1670">
        <f>SUM(AH261:AK261)</f>
        <v>281</v>
      </c>
      <c r="BM261" s="1670">
        <f>SUM(AL261:AO261)</f>
        <v>386</v>
      </c>
      <c r="BN261" s="1670">
        <f>SUM(AP261:AS261)</f>
        <v>249</v>
      </c>
      <c r="BO261" s="1670">
        <f>SUM(AT261:AW261)</f>
        <v>0</v>
      </c>
      <c r="BP261" s="1670">
        <f>SUM(AX261:BA261)</f>
        <v>0</v>
      </c>
      <c r="BR261" s="1483"/>
      <c r="BS261" s="1483"/>
      <c r="BT261" s="1483"/>
      <c r="BU261" s="1675"/>
    </row>
    <row r="262" spans="1:73" s="304" customFormat="1" ht="11.65" hidden="1" customHeight="1" outlineLevel="1">
      <c r="A262" s="1548"/>
      <c r="B262" s="836"/>
      <c r="C262" s="837"/>
      <c r="D262" s="837"/>
      <c r="E262" s="838"/>
      <c r="F262" s="837"/>
      <c r="G262" s="837"/>
      <c r="H262" s="837"/>
      <c r="I262" s="838"/>
      <c r="J262" s="837"/>
      <c r="K262" s="837"/>
      <c r="L262" s="837"/>
      <c r="M262" s="838"/>
      <c r="N262" s="836"/>
      <c r="O262" s="836"/>
      <c r="P262" s="836"/>
      <c r="Q262" s="1041"/>
      <c r="R262" s="836"/>
      <c r="S262" s="1294"/>
      <c r="T262" s="1294"/>
      <c r="U262" s="1557"/>
      <c r="V262" s="1294"/>
      <c r="W262" s="1294"/>
      <c r="X262" s="1294"/>
      <c r="Y262" s="1557"/>
      <c r="Z262" s="1294"/>
      <c r="AA262" s="1294"/>
      <c r="AB262" s="1294"/>
      <c r="AC262" s="1557"/>
      <c r="AD262" s="1294"/>
      <c r="AE262" s="1294"/>
      <c r="AF262" s="1294"/>
      <c r="AG262" s="1557"/>
      <c r="AH262" s="1294"/>
      <c r="AI262" s="1294"/>
      <c r="AJ262" s="1294"/>
      <c r="AK262" s="1557"/>
      <c r="AL262" s="1294"/>
      <c r="AM262" s="1294"/>
      <c r="AN262" s="398"/>
      <c r="AO262" s="401"/>
      <c r="AP262" s="398"/>
      <c r="AQ262" s="398"/>
      <c r="AR262" s="398"/>
      <c r="AS262" s="401"/>
      <c r="AT262" s="398"/>
      <c r="AU262" s="398"/>
      <c r="AV262" s="398"/>
      <c r="AW262" s="401"/>
      <c r="AX262" s="398"/>
      <c r="AY262" s="398"/>
      <c r="AZ262" s="398"/>
      <c r="BA262" s="401"/>
      <c r="BB262" s="398"/>
      <c r="BC262" s="1674"/>
      <c r="BD262" s="1674"/>
      <c r="BE262" s="1674"/>
      <c r="BF262" s="1674"/>
      <c r="BG262" s="1674"/>
      <c r="BH262" s="1674"/>
      <c r="BI262" s="1674"/>
      <c r="BJ262" s="1546"/>
      <c r="BK262" s="1674"/>
      <c r="BL262" s="1674"/>
      <c r="BM262" s="1674"/>
      <c r="BN262" s="1674"/>
      <c r="BO262" s="1674"/>
      <c r="BP262" s="1674"/>
      <c r="BR262" s="1483"/>
      <c r="BS262" s="1483"/>
      <c r="BT262" s="1483"/>
      <c r="BU262" s="1675"/>
    </row>
    <row r="263" spans="1:73" s="304" customFormat="1" ht="11.65" customHeight="1" collapsed="1">
      <c r="A263" s="1547" t="s">
        <v>595</v>
      </c>
      <c r="B263" s="836"/>
      <c r="C263" s="837"/>
      <c r="D263" s="837"/>
      <c r="E263" s="838"/>
      <c r="F263" s="837"/>
      <c r="G263" s="837"/>
      <c r="H263" s="837"/>
      <c r="I263" s="838"/>
      <c r="J263" s="837"/>
      <c r="K263" s="837"/>
      <c r="L263" s="837"/>
      <c r="M263" s="838"/>
      <c r="N263" s="836"/>
      <c r="O263" s="836"/>
      <c r="P263" s="836"/>
      <c r="Q263" s="1041"/>
      <c r="R263" s="836"/>
      <c r="S263" s="1294"/>
      <c r="T263" s="1294"/>
      <c r="U263" s="1557"/>
      <c r="V263" s="1294"/>
      <c r="W263" s="1294"/>
      <c r="X263" s="1294"/>
      <c r="Y263" s="1557"/>
      <c r="Z263" s="1294"/>
      <c r="AA263" s="1294"/>
      <c r="AB263" s="1294"/>
      <c r="AC263" s="1557"/>
      <c r="AD263" s="1294"/>
      <c r="AE263" s="1294"/>
      <c r="AF263" s="1294"/>
      <c r="AG263" s="1557"/>
      <c r="AH263" s="1294"/>
      <c r="AI263" s="1294"/>
      <c r="AJ263" s="1294"/>
      <c r="AK263" s="1557"/>
      <c r="AL263" s="1294"/>
      <c r="AM263" s="1294"/>
      <c r="AN263" s="398"/>
      <c r="AO263" s="401"/>
      <c r="AP263" s="398"/>
      <c r="AQ263" s="398"/>
      <c r="AR263" s="398"/>
      <c r="AS263" s="401"/>
      <c r="AT263" s="398"/>
      <c r="AU263" s="398"/>
      <c r="AV263" s="398"/>
      <c r="AW263" s="401"/>
      <c r="AX263" s="398"/>
      <c r="AY263" s="398"/>
      <c r="AZ263" s="398"/>
      <c r="BA263" s="401"/>
      <c r="BB263" s="398"/>
      <c r="BC263" s="1674"/>
      <c r="BD263" s="1674"/>
      <c r="BE263" s="1674"/>
      <c r="BF263" s="1674"/>
      <c r="BG263" s="1674"/>
      <c r="BH263" s="1674"/>
      <c r="BI263" s="1674"/>
      <c r="BJ263" s="1546"/>
      <c r="BK263" s="1674"/>
      <c r="BL263" s="1674"/>
      <c r="BM263" s="1674"/>
      <c r="BN263" s="1674"/>
      <c r="BO263" s="1674"/>
      <c r="BP263" s="1674"/>
      <c r="BR263" s="1483"/>
      <c r="BS263" s="1483"/>
      <c r="BT263" s="1483"/>
      <c r="BU263" s="1675"/>
    </row>
    <row r="264" spans="1:73" s="304" customFormat="1" ht="11.65" customHeight="1">
      <c r="A264" s="1677" t="s">
        <v>596</v>
      </c>
      <c r="B264" s="836"/>
      <c r="C264" s="837"/>
      <c r="D264" s="837"/>
      <c r="E264" s="838"/>
      <c r="F264" s="837"/>
      <c r="G264" s="837"/>
      <c r="H264" s="837"/>
      <c r="I264" s="838"/>
      <c r="J264" s="837"/>
      <c r="K264" s="837"/>
      <c r="L264" s="837"/>
      <c r="M264" s="838"/>
      <c r="N264" s="836"/>
      <c r="O264" s="836"/>
      <c r="P264" s="836"/>
      <c r="Q264" s="1041"/>
      <c r="R264" s="836"/>
      <c r="S264" s="1294"/>
      <c r="T264" s="1294"/>
      <c r="U264" s="1557"/>
      <c r="V264" s="1294"/>
      <c r="W264" s="1294"/>
      <c r="X264" s="1294"/>
      <c r="Y264" s="1557"/>
      <c r="Z264" s="1294"/>
      <c r="AA264" s="1294"/>
      <c r="AB264" s="1294"/>
      <c r="AC264" s="1557"/>
      <c r="AD264" s="1294"/>
      <c r="AE264" s="1294"/>
      <c r="AF264" s="1294"/>
      <c r="AG264" s="1557"/>
      <c r="AH264" s="1294"/>
      <c r="AI264" s="1294"/>
      <c r="AJ264" s="1294"/>
      <c r="AK264" s="1557"/>
      <c r="AL264" s="1294"/>
      <c r="AM264" s="1294"/>
      <c r="AN264" s="398"/>
      <c r="AO264" s="401"/>
      <c r="AP264" s="398"/>
      <c r="AQ264" s="398"/>
      <c r="AR264" s="398"/>
      <c r="AS264" s="401"/>
      <c r="AT264" s="398"/>
      <c r="AU264" s="398"/>
      <c r="AV264" s="398"/>
      <c r="AW264" s="401"/>
      <c r="AX264" s="398"/>
      <c r="AY264" s="398"/>
      <c r="AZ264" s="398"/>
      <c r="BA264" s="401"/>
      <c r="BB264" s="398"/>
      <c r="BC264" s="1674"/>
      <c r="BD264" s="1674"/>
      <c r="BE264" s="1674"/>
      <c r="BF264" s="1674"/>
      <c r="BG264" s="1674"/>
      <c r="BH264" s="1674"/>
      <c r="BI264" s="1674" t="s">
        <v>622</v>
      </c>
      <c r="BJ264" s="1674" t="s">
        <v>598</v>
      </c>
      <c r="BK264" s="1674" t="s">
        <v>598</v>
      </c>
      <c r="BL264" s="1674" t="s">
        <v>598</v>
      </c>
      <c r="BM264" s="1674" t="s">
        <v>723</v>
      </c>
      <c r="BN264" s="1674"/>
      <c r="BO264" s="1674"/>
      <c r="BP264" s="1674"/>
      <c r="BR264" s="1483"/>
      <c r="BS264" s="1483"/>
      <c r="BT264" s="1483"/>
      <c r="BU264" s="1675"/>
    </row>
    <row r="265" spans="1:73" s="304" customFormat="1" ht="11.65" customHeight="1">
      <c r="A265" s="1684" t="s">
        <v>556</v>
      </c>
      <c r="B265" s="836"/>
      <c r="C265" s="837"/>
      <c r="D265" s="837"/>
      <c r="E265" s="838"/>
      <c r="F265" s="837"/>
      <c r="G265" s="837"/>
      <c r="H265" s="837"/>
      <c r="I265" s="838"/>
      <c r="J265" s="837"/>
      <c r="K265" s="837"/>
      <c r="L265" s="837"/>
      <c r="M265" s="838"/>
      <c r="N265" s="836"/>
      <c r="O265" s="836"/>
      <c r="P265" s="836"/>
      <c r="Q265" s="1041"/>
      <c r="R265" s="836"/>
      <c r="S265" s="1294"/>
      <c r="T265" s="1294"/>
      <c r="U265" s="1557"/>
      <c r="V265" s="1294"/>
      <c r="W265" s="1294"/>
      <c r="X265" s="1294"/>
      <c r="Y265" s="1557"/>
      <c r="Z265" s="1294"/>
      <c r="AA265" s="1294"/>
      <c r="AB265" s="1294"/>
      <c r="AC265" s="1557"/>
      <c r="AD265" s="1294"/>
      <c r="AE265" s="1294"/>
      <c r="AF265" s="1294"/>
      <c r="AG265" s="1557"/>
      <c r="AH265" s="1294"/>
      <c r="AI265" s="1294"/>
      <c r="AJ265" s="1294"/>
      <c r="AK265" s="1557"/>
      <c r="AL265" s="1294"/>
      <c r="AM265" s="1294"/>
      <c r="AN265" s="398"/>
      <c r="AO265" s="401"/>
      <c r="AP265" s="398"/>
      <c r="AQ265" s="398"/>
      <c r="AR265" s="398"/>
      <c r="AS265" s="401"/>
      <c r="AT265" s="398"/>
      <c r="AU265" s="398"/>
      <c r="AV265" s="398"/>
      <c r="AW265" s="401"/>
      <c r="AX265" s="398"/>
      <c r="AY265" s="398"/>
      <c r="AZ265" s="398"/>
      <c r="BA265" s="401"/>
      <c r="BB265" s="398"/>
      <c r="BC265" s="1674"/>
      <c r="BD265" s="1674"/>
      <c r="BE265" s="1674"/>
      <c r="BF265" s="1674"/>
      <c r="BG265" s="1674"/>
      <c r="BH265" s="1674"/>
      <c r="BI265" s="1674"/>
      <c r="BJ265" s="1674" t="s">
        <v>600</v>
      </c>
      <c r="BK265" s="1674" t="s">
        <v>600</v>
      </c>
      <c r="BL265" s="1674" t="s">
        <v>599</v>
      </c>
      <c r="BM265" s="1674"/>
      <c r="BN265" s="1674"/>
      <c r="BO265" s="1674"/>
      <c r="BP265" s="1674"/>
      <c r="BR265" s="1483"/>
      <c r="BS265" s="1483"/>
      <c r="BT265" s="1483"/>
      <c r="BU265" s="1675"/>
    </row>
    <row r="266" spans="1:73" s="304" customFormat="1" ht="11.65" customHeight="1">
      <c r="A266" s="1684" t="s">
        <v>597</v>
      </c>
      <c r="B266" s="836"/>
      <c r="C266" s="837"/>
      <c r="D266" s="837"/>
      <c r="E266" s="838"/>
      <c r="F266" s="837"/>
      <c r="G266" s="837"/>
      <c r="H266" s="837"/>
      <c r="I266" s="838"/>
      <c r="J266" s="837"/>
      <c r="K266" s="837"/>
      <c r="L266" s="837"/>
      <c r="M266" s="838"/>
      <c r="N266" s="836"/>
      <c r="O266" s="836"/>
      <c r="P266" s="836"/>
      <c r="Q266" s="1041"/>
      <c r="R266" s="836"/>
      <c r="S266" s="1294"/>
      <c r="T266" s="1294"/>
      <c r="U266" s="1557"/>
      <c r="V266" s="1294"/>
      <c r="W266" s="1294"/>
      <c r="X266" s="1294"/>
      <c r="Y266" s="1557"/>
      <c r="Z266" s="1294"/>
      <c r="AA266" s="1294"/>
      <c r="AB266" s="1294"/>
      <c r="AC266" s="1557"/>
      <c r="AD266" s="1294"/>
      <c r="AE266" s="1294"/>
      <c r="AF266" s="1294"/>
      <c r="AG266" s="1557"/>
      <c r="AH266" s="1294"/>
      <c r="AI266" s="1294"/>
      <c r="AJ266" s="1294"/>
      <c r="AK266" s="1557"/>
      <c r="AL266" s="1294"/>
      <c r="AM266" s="1294"/>
      <c r="AN266" s="398"/>
      <c r="AO266" s="401"/>
      <c r="AP266" s="398"/>
      <c r="AQ266" s="398"/>
      <c r="AR266" s="398"/>
      <c r="AS266" s="401"/>
      <c r="AT266" s="398"/>
      <c r="AU266" s="398"/>
      <c r="AV266" s="398"/>
      <c r="AW266" s="401"/>
      <c r="AX266" s="398"/>
      <c r="AY266" s="398"/>
      <c r="AZ266" s="398"/>
      <c r="BA266" s="401"/>
      <c r="BB266" s="398"/>
      <c r="BC266" s="1674"/>
      <c r="BD266" s="1674"/>
      <c r="BE266" s="1674"/>
      <c r="BF266" s="1674"/>
      <c r="BG266" s="1674"/>
      <c r="BH266" s="1674"/>
      <c r="BI266" s="1674"/>
      <c r="BJ266" s="1674" t="s">
        <v>600</v>
      </c>
      <c r="BK266" s="1674" t="s">
        <v>600</v>
      </c>
      <c r="BL266" s="1674" t="s">
        <v>600</v>
      </c>
      <c r="BM266" s="1674"/>
      <c r="BN266" s="1674"/>
      <c r="BO266" s="1674"/>
      <c r="BP266" s="1674"/>
      <c r="BR266" s="1483"/>
      <c r="BS266" s="1483"/>
      <c r="BT266" s="1483"/>
      <c r="BU266" s="1675"/>
    </row>
    <row r="267" spans="1:73" s="304" customFormat="1" ht="11.65" customHeight="1">
      <c r="A267" s="1684" t="s">
        <v>660</v>
      </c>
      <c r="B267" s="836"/>
      <c r="C267" s="837"/>
      <c r="D267" s="837"/>
      <c r="E267" s="838"/>
      <c r="F267" s="837"/>
      <c r="G267" s="837"/>
      <c r="H267" s="837"/>
      <c r="I267" s="838"/>
      <c r="J267" s="837"/>
      <c r="K267" s="837"/>
      <c r="L267" s="837"/>
      <c r="M267" s="838"/>
      <c r="N267" s="836"/>
      <c r="O267" s="836"/>
      <c r="P267" s="836"/>
      <c r="Q267" s="1041"/>
      <c r="R267" s="836"/>
      <c r="S267" s="1294"/>
      <c r="T267" s="1294"/>
      <c r="U267" s="1557"/>
      <c r="V267" s="1294"/>
      <c r="W267" s="1294"/>
      <c r="X267" s="1294"/>
      <c r="Y267" s="1557"/>
      <c r="Z267" s="1294"/>
      <c r="AA267" s="1294"/>
      <c r="AB267" s="1294"/>
      <c r="AC267" s="1557"/>
      <c r="AD267" s="1294"/>
      <c r="AE267" s="1294"/>
      <c r="AF267" s="1294"/>
      <c r="AG267" s="1557"/>
      <c r="AH267" s="1294"/>
      <c r="AI267" s="1294"/>
      <c r="AJ267" s="1294"/>
      <c r="AK267" s="1557"/>
      <c r="AL267" s="1294"/>
      <c r="AM267" s="1294"/>
      <c r="AN267" s="398"/>
      <c r="AO267" s="401"/>
      <c r="AP267" s="398"/>
      <c r="AQ267" s="398"/>
      <c r="AR267" s="398"/>
      <c r="AS267" s="401"/>
      <c r="AT267" s="398"/>
      <c r="AU267" s="398"/>
      <c r="AV267" s="398"/>
      <c r="AW267" s="401"/>
      <c r="AX267" s="398"/>
      <c r="AY267" s="398"/>
      <c r="AZ267" s="398"/>
      <c r="BA267" s="401"/>
      <c r="BB267" s="398"/>
      <c r="BC267" s="1674"/>
      <c r="BD267" s="1674"/>
      <c r="BE267" s="1674"/>
      <c r="BF267" s="1674"/>
      <c r="BG267" s="1674"/>
      <c r="BH267" s="1674"/>
      <c r="BI267" s="1674" t="s">
        <v>600</v>
      </c>
      <c r="BJ267" s="1546"/>
      <c r="BK267" s="1674"/>
      <c r="BL267" s="1674"/>
      <c r="BM267" s="1674"/>
      <c r="BN267" s="1674"/>
      <c r="BO267" s="1674"/>
      <c r="BP267" s="1674"/>
      <c r="BR267" s="1483"/>
      <c r="BS267" s="1483"/>
      <c r="BT267" s="1483"/>
      <c r="BU267" s="1675"/>
    </row>
    <row r="268" spans="1:73" s="304" customFormat="1" ht="11.65" customHeight="1">
      <c r="A268" s="1684" t="s">
        <v>390</v>
      </c>
      <c r="B268" s="836"/>
      <c r="C268" s="837"/>
      <c r="D268" s="837"/>
      <c r="E268" s="838"/>
      <c r="F268" s="837"/>
      <c r="G268" s="837"/>
      <c r="H268" s="837"/>
      <c r="I268" s="838"/>
      <c r="J268" s="837"/>
      <c r="K268" s="837"/>
      <c r="L268" s="837"/>
      <c r="M268" s="838"/>
      <c r="N268" s="836"/>
      <c r="O268" s="836"/>
      <c r="P268" s="836"/>
      <c r="Q268" s="1041"/>
      <c r="R268" s="836"/>
      <c r="S268" s="1294"/>
      <c r="T268" s="1294"/>
      <c r="U268" s="1557"/>
      <c r="V268" s="1294"/>
      <c r="W268" s="1294"/>
      <c r="X268" s="1294"/>
      <c r="Y268" s="1557"/>
      <c r="Z268" s="1294"/>
      <c r="AA268" s="1294"/>
      <c r="AB268" s="1294"/>
      <c r="AC268" s="1557"/>
      <c r="AD268" s="1294"/>
      <c r="AE268" s="1294"/>
      <c r="AF268" s="1294"/>
      <c r="AG268" s="1557"/>
      <c r="AH268" s="1294"/>
      <c r="AI268" s="1294"/>
      <c r="AJ268" s="1294"/>
      <c r="AK268" s="1557"/>
      <c r="AL268" s="1294"/>
      <c r="AM268" s="1294"/>
      <c r="AN268" s="398"/>
      <c r="AO268" s="401"/>
      <c r="AP268" s="398"/>
      <c r="AQ268" s="398"/>
      <c r="AR268" s="398"/>
      <c r="AS268" s="401"/>
      <c r="AT268" s="398"/>
      <c r="AU268" s="398"/>
      <c r="AV268" s="398"/>
      <c r="AW268" s="401"/>
      <c r="AX268" s="398"/>
      <c r="AY268" s="398"/>
      <c r="AZ268" s="398"/>
      <c r="BA268" s="401"/>
      <c r="BB268" s="398"/>
      <c r="BC268" s="1674"/>
      <c r="BD268" s="1674"/>
      <c r="BE268" s="1674"/>
      <c r="BF268" s="1674"/>
      <c r="BG268" s="1674"/>
      <c r="BH268" s="1674"/>
      <c r="BI268" s="1674" t="s">
        <v>600</v>
      </c>
      <c r="BJ268" s="1546"/>
      <c r="BK268" s="1674"/>
      <c r="BL268" s="1674"/>
      <c r="BM268" s="1674"/>
      <c r="BN268" s="1674"/>
      <c r="BO268" s="1674"/>
      <c r="BP268" s="1674"/>
      <c r="BR268" s="1483"/>
      <c r="BS268" s="1483"/>
      <c r="BT268" s="1483"/>
      <c r="BU268" s="1675"/>
    </row>
    <row r="269" spans="1:73" s="304" customFormat="1" ht="11.65" customHeight="1">
      <c r="A269" s="1684" t="s">
        <v>661</v>
      </c>
      <c r="B269" s="836"/>
      <c r="C269" s="837"/>
      <c r="D269" s="837"/>
      <c r="E269" s="838"/>
      <c r="F269" s="837"/>
      <c r="G269" s="837"/>
      <c r="H269" s="837"/>
      <c r="I269" s="838"/>
      <c r="J269" s="837"/>
      <c r="K269" s="837"/>
      <c r="L269" s="837"/>
      <c r="M269" s="838"/>
      <c r="N269" s="836"/>
      <c r="O269" s="836"/>
      <c r="P269" s="836"/>
      <c r="Q269" s="1041"/>
      <c r="R269" s="836"/>
      <c r="S269" s="1294"/>
      <c r="T269" s="1294"/>
      <c r="U269" s="1557"/>
      <c r="V269" s="1294"/>
      <c r="W269" s="1294"/>
      <c r="X269" s="1294"/>
      <c r="Y269" s="1557"/>
      <c r="Z269" s="1294"/>
      <c r="AA269" s="1294"/>
      <c r="AB269" s="1294"/>
      <c r="AC269" s="1557"/>
      <c r="AD269" s="1294"/>
      <c r="AE269" s="1294"/>
      <c r="AF269" s="1294"/>
      <c r="AG269" s="1557"/>
      <c r="AH269" s="1294"/>
      <c r="AI269" s="1294"/>
      <c r="AJ269" s="1294"/>
      <c r="AK269" s="1557"/>
      <c r="AL269" s="1294"/>
      <c r="AM269" s="1294"/>
      <c r="AN269" s="398"/>
      <c r="AO269" s="401"/>
      <c r="AP269" s="398"/>
      <c r="AQ269" s="398"/>
      <c r="AR269" s="398"/>
      <c r="AS269" s="401"/>
      <c r="AT269" s="398"/>
      <c r="AU269" s="398"/>
      <c r="AV269" s="398"/>
      <c r="AW269" s="401"/>
      <c r="AX269" s="398"/>
      <c r="AY269" s="398"/>
      <c r="AZ269" s="398"/>
      <c r="BA269" s="401"/>
      <c r="BB269" s="1799"/>
      <c r="BC269" s="1674"/>
      <c r="BD269" s="1674"/>
      <c r="BE269" s="1674"/>
      <c r="BF269" s="1674"/>
      <c r="BG269" s="1674"/>
      <c r="BH269" s="1674"/>
      <c r="BI269" s="1674" t="s">
        <v>662</v>
      </c>
      <c r="BJ269" s="1546"/>
      <c r="BK269" s="1674"/>
      <c r="BL269" s="1674"/>
      <c r="BM269" s="1674"/>
      <c r="BN269" s="1674"/>
      <c r="BO269" s="1674"/>
      <c r="BP269" s="1674"/>
      <c r="BR269" s="1483"/>
      <c r="BS269" s="1483"/>
      <c r="BT269" s="1483"/>
      <c r="BU269" s="1675"/>
    </row>
    <row r="270" spans="1:73" s="304" customFormat="1" ht="11.65" customHeight="1">
      <c r="A270" s="1548"/>
      <c r="B270" s="836"/>
      <c r="C270" s="837"/>
      <c r="D270" s="837"/>
      <c r="E270" s="838"/>
      <c r="F270" s="837"/>
      <c r="G270" s="837"/>
      <c r="H270" s="837"/>
      <c r="I270" s="838"/>
      <c r="J270" s="837"/>
      <c r="K270" s="837"/>
      <c r="L270" s="837"/>
      <c r="M270" s="838"/>
      <c r="N270" s="836"/>
      <c r="O270" s="836"/>
      <c r="P270" s="836"/>
      <c r="Q270" s="1041"/>
      <c r="R270" s="836"/>
      <c r="S270" s="1294"/>
      <c r="T270" s="1294"/>
      <c r="U270" s="1557"/>
      <c r="V270" s="1294"/>
      <c r="W270" s="1294"/>
      <c r="X270" s="1294"/>
      <c r="Y270" s="1557"/>
      <c r="Z270" s="1294"/>
      <c r="AA270" s="1294"/>
      <c r="AB270" s="1294"/>
      <c r="AC270" s="1557"/>
      <c r="AD270" s="1294"/>
      <c r="AE270" s="1294"/>
      <c r="AF270" s="1294"/>
      <c r="AG270" s="1557"/>
      <c r="AH270" s="1294"/>
      <c r="AI270" s="1294"/>
      <c r="AJ270" s="1294"/>
      <c r="AK270" s="1557"/>
      <c r="AL270" s="1294"/>
      <c r="AM270" s="1294"/>
      <c r="AN270" s="398"/>
      <c r="AO270" s="401"/>
      <c r="AP270" s="398"/>
      <c r="AQ270" s="398"/>
      <c r="AR270" s="398"/>
      <c r="AS270" s="401"/>
      <c r="AT270" s="398"/>
      <c r="AU270" s="398"/>
      <c r="AV270" s="398"/>
      <c r="AW270" s="401"/>
      <c r="AX270" s="398"/>
      <c r="AY270" s="398"/>
      <c r="AZ270" s="398"/>
      <c r="BA270" s="401"/>
      <c r="BB270" s="1799"/>
      <c r="BC270" s="1674"/>
      <c r="BD270" s="1674"/>
      <c r="BE270" s="1674"/>
      <c r="BF270" s="1674"/>
      <c r="BG270" s="1674"/>
      <c r="BH270" s="1674"/>
      <c r="BI270" s="1674"/>
      <c r="BJ270" s="1546"/>
      <c r="BK270" s="1674"/>
      <c r="BL270" s="1674"/>
      <c r="BM270" s="1674"/>
      <c r="BN270" s="1674"/>
      <c r="BO270" s="1674"/>
      <c r="BP270" s="1674"/>
      <c r="BR270" s="1483"/>
      <c r="BS270" s="1483"/>
      <c r="BT270" s="1483"/>
      <c r="BU270" s="1675"/>
    </row>
    <row r="271" spans="1:73" s="304" customFormat="1" ht="12" customHeight="1">
      <c r="A271" s="1547" t="s">
        <v>550</v>
      </c>
      <c r="B271" s="836"/>
      <c r="C271" s="837"/>
      <c r="D271" s="837"/>
      <c r="E271" s="838"/>
      <c r="F271" s="837"/>
      <c r="G271" s="837"/>
      <c r="H271" s="837"/>
      <c r="I271" s="838"/>
      <c r="J271" s="837"/>
      <c r="K271" s="837"/>
      <c r="L271" s="837"/>
      <c r="M271" s="838"/>
      <c r="N271" s="836"/>
      <c r="O271" s="836"/>
      <c r="P271" s="836"/>
      <c r="Q271" s="1041"/>
      <c r="R271" s="836"/>
      <c r="S271" s="1294"/>
      <c r="T271" s="1294"/>
      <c r="U271" s="1557"/>
      <c r="V271" s="1294"/>
      <c r="W271" s="1294"/>
      <c r="X271" s="1294"/>
      <c r="Y271" s="1557"/>
      <c r="Z271" s="1294"/>
      <c r="AA271" s="1294"/>
      <c r="AB271" s="1294"/>
      <c r="AC271" s="1557"/>
      <c r="AD271" s="1294"/>
      <c r="AE271" s="1294"/>
      <c r="AF271" s="1294"/>
      <c r="AG271" s="1557"/>
      <c r="AH271" s="1294"/>
      <c r="AI271" s="1294"/>
      <c r="AJ271" s="1294"/>
      <c r="AK271" s="1557"/>
      <c r="AL271" s="1294"/>
      <c r="AM271" s="1294"/>
      <c r="AN271" s="398"/>
      <c r="AO271" s="401"/>
      <c r="AP271" s="398"/>
      <c r="AQ271" s="398"/>
      <c r="AR271" s="398"/>
      <c r="AS271" s="401"/>
      <c r="AT271" s="398"/>
      <c r="AU271" s="398"/>
      <c r="AV271" s="398"/>
      <c r="AW271" s="401"/>
      <c r="AX271" s="398"/>
      <c r="AY271" s="398"/>
      <c r="AZ271" s="398"/>
      <c r="BA271" s="401"/>
      <c r="BB271" s="1799"/>
      <c r="BC271" s="1674"/>
      <c r="BD271" s="1674"/>
      <c r="BE271" s="1674"/>
      <c r="BF271" s="1674"/>
      <c r="BG271" s="1674"/>
      <c r="BH271" s="1674"/>
      <c r="BI271" s="1674"/>
      <c r="BJ271" s="1546"/>
      <c r="BK271" s="1674"/>
      <c r="BL271" s="1674"/>
      <c r="BM271" s="1674"/>
      <c r="BN271" s="1674"/>
      <c r="BO271" s="1674"/>
      <c r="BP271" s="1674"/>
      <c r="BR271" s="1483"/>
      <c r="BS271" s="1483"/>
      <c r="BT271" s="1483"/>
      <c r="BU271" s="1675"/>
    </row>
    <row r="272" spans="1:73" s="304" customFormat="1" ht="11.65" customHeight="1">
      <c r="A272" s="1677" t="s">
        <v>663</v>
      </c>
      <c r="B272" s="836"/>
      <c r="C272" s="837"/>
      <c r="D272" s="837"/>
      <c r="E272" s="838"/>
      <c r="F272" s="837"/>
      <c r="G272" s="837"/>
      <c r="H272" s="837"/>
      <c r="I272" s="838"/>
      <c r="J272" s="837"/>
      <c r="K272" s="837"/>
      <c r="L272" s="837"/>
      <c r="M272" s="838"/>
      <c r="N272" s="836"/>
      <c r="O272" s="836"/>
      <c r="P272" s="836"/>
      <c r="Q272" s="1041"/>
      <c r="R272" s="836"/>
      <c r="S272" s="1294"/>
      <c r="T272" s="1294"/>
      <c r="U272" s="1557"/>
      <c r="V272" s="1294"/>
      <c r="W272" s="1294"/>
      <c r="X272" s="1294"/>
      <c r="Y272" s="1557"/>
      <c r="Z272" s="1294"/>
      <c r="AA272" s="1294"/>
      <c r="AB272" s="1294"/>
      <c r="AC272" s="1557"/>
      <c r="AD272" s="1294"/>
      <c r="AE272" s="1294"/>
      <c r="AF272" s="1294"/>
      <c r="AG272" s="1557"/>
      <c r="AH272" s="1294"/>
      <c r="AI272" s="1294"/>
      <c r="AJ272" s="1294"/>
      <c r="AK272" s="1557"/>
      <c r="AL272" s="1294"/>
      <c r="AM272" s="1294"/>
      <c r="AN272" s="398"/>
      <c r="AO272" s="401"/>
      <c r="AP272" s="398"/>
      <c r="AQ272" s="398"/>
      <c r="AR272" s="398"/>
      <c r="AS272" s="401"/>
      <c r="AT272" s="398"/>
      <c r="AU272" s="398"/>
      <c r="AV272" s="398"/>
      <c r="AW272" s="401"/>
      <c r="AX272" s="398"/>
      <c r="AY272" s="398"/>
      <c r="AZ272" s="398"/>
      <c r="BA272" s="401"/>
      <c r="BB272" s="1799"/>
      <c r="BC272" s="1674"/>
      <c r="BD272" s="1674"/>
      <c r="BE272" s="1674"/>
      <c r="BF272" s="1715">
        <f>4.5*75%</f>
        <v>3.375</v>
      </c>
      <c r="BG272" s="1715">
        <v>4.5</v>
      </c>
      <c r="BH272" s="1674"/>
      <c r="BI272" s="1674"/>
      <c r="BJ272" s="1764">
        <f>+BK272/(1+BK273)</f>
        <v>7.0909090909090899</v>
      </c>
      <c r="BK272" s="1715">
        <v>7.8</v>
      </c>
      <c r="BL272" s="1715">
        <v>8.3000000000000007</v>
      </c>
      <c r="BM272" s="1715">
        <v>8.6999999999999993</v>
      </c>
      <c r="BN272" s="1674"/>
      <c r="BO272" s="1674"/>
      <c r="BP272" s="1674"/>
      <c r="BR272" s="1483"/>
      <c r="BS272" s="1483"/>
      <c r="BT272" s="1483"/>
      <c r="BU272" s="1675"/>
    </row>
    <row r="273" spans="1:73" s="304" customFormat="1" ht="11.65" customHeight="1">
      <c r="A273" s="1714" t="s">
        <v>507</v>
      </c>
      <c r="B273" s="836"/>
      <c r="C273" s="837"/>
      <c r="D273" s="837"/>
      <c r="E273" s="838"/>
      <c r="F273" s="837"/>
      <c r="G273" s="837"/>
      <c r="H273" s="837"/>
      <c r="I273" s="838"/>
      <c r="J273" s="837"/>
      <c r="K273" s="837"/>
      <c r="L273" s="837"/>
      <c r="M273" s="838"/>
      <c r="N273" s="836"/>
      <c r="O273" s="836"/>
      <c r="P273" s="836"/>
      <c r="Q273" s="1041"/>
      <c r="R273" s="836"/>
      <c r="S273" s="1294"/>
      <c r="T273" s="1294"/>
      <c r="U273" s="1557"/>
      <c r="V273" s="1294"/>
      <c r="W273" s="1294"/>
      <c r="X273" s="1294"/>
      <c r="Y273" s="1557"/>
      <c r="Z273" s="1294"/>
      <c r="AA273" s="1294"/>
      <c r="AB273" s="1294"/>
      <c r="AC273" s="1557"/>
      <c r="AD273" s="1294"/>
      <c r="AE273" s="1294"/>
      <c r="AF273" s="1294"/>
      <c r="AG273" s="1557"/>
      <c r="AH273" s="1294"/>
      <c r="AI273" s="1294"/>
      <c r="AJ273" s="1294"/>
      <c r="AK273" s="1557"/>
      <c r="AL273" s="1294"/>
      <c r="AM273" s="1294"/>
      <c r="AN273" s="398"/>
      <c r="AO273" s="401"/>
      <c r="AP273" s="398"/>
      <c r="AQ273" s="398"/>
      <c r="AR273" s="398"/>
      <c r="AS273" s="401"/>
      <c r="AT273" s="398"/>
      <c r="AU273" s="398"/>
      <c r="AV273" s="398"/>
      <c r="AW273" s="401"/>
      <c r="AX273" s="398"/>
      <c r="AY273" s="398"/>
      <c r="AZ273" s="398"/>
      <c r="BA273" s="401"/>
      <c r="BB273" s="1799"/>
      <c r="BC273" s="1674"/>
      <c r="BD273" s="1674"/>
      <c r="BE273" s="1674"/>
      <c r="BF273" s="1674"/>
      <c r="BG273" s="1706"/>
      <c r="BH273" s="1674"/>
      <c r="BI273" s="1674"/>
      <c r="BJ273" s="1546"/>
      <c r="BK273" s="1674">
        <v>0.1</v>
      </c>
      <c r="BL273" s="1727">
        <f>BL272/BK272-1</f>
        <v>6.4102564102564319E-2</v>
      </c>
      <c r="BM273" s="1727">
        <f>BM272/BL272-1</f>
        <v>4.8192771084337283E-2</v>
      </c>
      <c r="BN273" s="1674"/>
      <c r="BO273" s="1674"/>
      <c r="BP273" s="1674"/>
      <c r="BR273" s="1483"/>
      <c r="BS273" s="1483"/>
      <c r="BT273" s="1483"/>
      <c r="BU273" s="1675"/>
    </row>
    <row r="274" spans="1:73" s="304" customFormat="1" ht="11.65" customHeight="1">
      <c r="A274" s="1677" t="s">
        <v>632</v>
      </c>
      <c r="B274" s="836"/>
      <c r="C274" s="837"/>
      <c r="D274" s="837"/>
      <c r="E274" s="838"/>
      <c r="F274" s="837"/>
      <c r="G274" s="837"/>
      <c r="H274" s="837"/>
      <c r="I274" s="838"/>
      <c r="J274" s="837"/>
      <c r="K274" s="837"/>
      <c r="L274" s="837"/>
      <c r="M274" s="838"/>
      <c r="N274" s="836"/>
      <c r="O274" s="836"/>
      <c r="P274" s="836"/>
      <c r="Q274" s="1041"/>
      <c r="R274" s="836"/>
      <c r="S274" s="1294"/>
      <c r="T274" s="1294"/>
      <c r="U274" s="1557"/>
      <c r="V274" s="1294"/>
      <c r="W274" s="1294"/>
      <c r="X274" s="1294"/>
      <c r="Y274" s="1557"/>
      <c r="Z274" s="1294"/>
      <c r="AA274" s="1294"/>
      <c r="AB274" s="1294"/>
      <c r="AC274" s="1557"/>
      <c r="AD274" s="1294"/>
      <c r="AE274" s="1294"/>
      <c r="AF274" s="1294"/>
      <c r="AG274" s="1557"/>
      <c r="AH274" s="1294"/>
      <c r="AI274" s="1294"/>
      <c r="AJ274" s="1294"/>
      <c r="AK274" s="1717"/>
      <c r="AL274" s="1294"/>
      <c r="AM274" s="1294"/>
      <c r="AN274" s="398"/>
      <c r="AO274" s="401"/>
      <c r="AP274" s="398"/>
      <c r="AQ274" s="398"/>
      <c r="AR274" s="398"/>
      <c r="AS274" s="401"/>
      <c r="AT274" s="398"/>
      <c r="AU274" s="398"/>
      <c r="AV274" s="398"/>
      <c r="AW274" s="401"/>
      <c r="AX274" s="398"/>
      <c r="AY274" s="398"/>
      <c r="AZ274" s="398"/>
      <c r="BA274" s="401"/>
      <c r="BB274" s="1799"/>
      <c r="BC274" s="1674"/>
      <c r="BD274" s="1674"/>
      <c r="BE274" s="1674"/>
      <c r="BF274" s="1674"/>
      <c r="BG274" s="1674"/>
      <c r="BH274" s="1760">
        <v>455</v>
      </c>
      <c r="BI274" s="1760">
        <v>504</v>
      </c>
      <c r="BJ274" s="1760">
        <v>692</v>
      </c>
      <c r="BK274" s="1760">
        <v>778</v>
      </c>
      <c r="BL274" s="1760">
        <v>859</v>
      </c>
      <c r="BM274" s="1760">
        <v>980</v>
      </c>
      <c r="BN274" s="1674"/>
      <c r="BO274" s="1674"/>
      <c r="BP274" s="1674"/>
      <c r="BR274" s="1483"/>
      <c r="BS274" s="1483"/>
      <c r="BT274" s="1483"/>
      <c r="BU274" s="1675"/>
    </row>
    <row r="275" spans="1:73" s="304" customFormat="1" ht="11.65" customHeight="1">
      <c r="A275" s="1714" t="s">
        <v>507</v>
      </c>
      <c r="B275" s="836"/>
      <c r="C275" s="837"/>
      <c r="D275" s="837"/>
      <c r="E275" s="838"/>
      <c r="F275" s="837"/>
      <c r="G275" s="837"/>
      <c r="H275" s="837"/>
      <c r="I275" s="838"/>
      <c r="J275" s="837"/>
      <c r="K275" s="837"/>
      <c r="L275" s="837"/>
      <c r="M275" s="838"/>
      <c r="N275" s="836"/>
      <c r="O275" s="836"/>
      <c r="P275" s="836"/>
      <c r="Q275" s="1041"/>
      <c r="R275" s="836"/>
      <c r="S275" s="1294"/>
      <c r="T275" s="1294"/>
      <c r="U275" s="1557"/>
      <c r="V275" s="1294"/>
      <c r="W275" s="1294"/>
      <c r="X275" s="1294"/>
      <c r="Y275" s="1557"/>
      <c r="Z275" s="1294"/>
      <c r="AA275" s="1294"/>
      <c r="AB275" s="1294"/>
      <c r="AC275" s="1557"/>
      <c r="AD275" s="1294"/>
      <c r="AE275" s="1294"/>
      <c r="AF275" s="1294"/>
      <c r="AG275" s="1557"/>
      <c r="AH275" s="1294"/>
      <c r="AI275" s="1294"/>
      <c r="AJ275" s="1294"/>
      <c r="AK275" s="1717"/>
      <c r="AL275" s="1294"/>
      <c r="AM275" s="1294"/>
      <c r="AN275" s="398"/>
      <c r="AO275" s="401"/>
      <c r="AP275" s="398"/>
      <c r="AQ275" s="398"/>
      <c r="AR275" s="398"/>
      <c r="AS275" s="401"/>
      <c r="AT275" s="398"/>
      <c r="AU275" s="398"/>
      <c r="AV275" s="398"/>
      <c r="AW275" s="401"/>
      <c r="AX275" s="398"/>
      <c r="AY275" s="398"/>
      <c r="AZ275" s="398"/>
      <c r="BA275" s="401"/>
      <c r="BB275" s="1799"/>
      <c r="BC275" s="1674"/>
      <c r="BD275" s="1674"/>
      <c r="BE275" s="1674"/>
      <c r="BF275" s="1674"/>
      <c r="BG275" s="1674"/>
      <c r="BH275" s="1674"/>
      <c r="BI275" s="1674"/>
      <c r="BJ275" s="1546"/>
      <c r="BK275" s="1719">
        <v>0.12</v>
      </c>
      <c r="BL275" s="1719">
        <v>0.11</v>
      </c>
      <c r="BM275" s="1728">
        <f>BM274/BL274-1</f>
        <v>0.14086146682188594</v>
      </c>
      <c r="BN275" s="1674"/>
      <c r="BO275" s="1674"/>
      <c r="BP275" s="1674"/>
      <c r="BR275" s="1483"/>
      <c r="BS275" s="1483"/>
      <c r="BT275" s="1483"/>
      <c r="BU275" s="1675"/>
    </row>
    <row r="276" spans="1:73" s="304" customFormat="1" ht="11.65" customHeight="1">
      <c r="A276" s="1677" t="s">
        <v>68</v>
      </c>
      <c r="B276" s="836"/>
      <c r="C276" s="837"/>
      <c r="D276" s="837"/>
      <c r="E276" s="838"/>
      <c r="F276" s="837"/>
      <c r="G276" s="837"/>
      <c r="H276" s="837"/>
      <c r="I276" s="838"/>
      <c r="J276" s="837"/>
      <c r="K276" s="837"/>
      <c r="L276" s="837"/>
      <c r="M276" s="838"/>
      <c r="N276" s="836"/>
      <c r="O276" s="836"/>
      <c r="P276" s="836"/>
      <c r="Q276" s="1041"/>
      <c r="R276" s="836"/>
      <c r="S276" s="1294"/>
      <c r="T276" s="1294"/>
      <c r="U276" s="1557"/>
      <c r="V276" s="1294"/>
      <c r="W276" s="1294"/>
      <c r="X276" s="1294"/>
      <c r="Y276" s="1557"/>
      <c r="Z276" s="1294"/>
      <c r="AA276" s="1294"/>
      <c r="AB276" s="1294"/>
      <c r="AC276" s="1557"/>
      <c r="AD276" s="1294"/>
      <c r="AE276" s="1294"/>
      <c r="AF276" s="1294"/>
      <c r="AG276" s="1557"/>
      <c r="AH276" s="1294"/>
      <c r="AI276" s="1294"/>
      <c r="AJ276" s="1294"/>
      <c r="AK276" s="1557"/>
      <c r="AL276" s="1294"/>
      <c r="AM276" s="1294"/>
      <c r="AN276" s="398"/>
      <c r="AO276" s="401"/>
      <c r="AP276" s="398"/>
      <c r="AQ276" s="398"/>
      <c r="AR276" s="398"/>
      <c r="AS276" s="401"/>
      <c r="AT276" s="398"/>
      <c r="AU276" s="398"/>
      <c r="AV276" s="398"/>
      <c r="AW276" s="401"/>
      <c r="AX276" s="398"/>
      <c r="AY276" s="398"/>
      <c r="AZ276" s="398"/>
      <c r="BA276" s="401"/>
      <c r="BB276" s="1799"/>
      <c r="BC276" s="1674"/>
      <c r="BD276" s="1674"/>
      <c r="BE276" s="1715">
        <v>2.2130000000000001</v>
      </c>
      <c r="BF276" s="1715">
        <v>3.0539999999999998</v>
      </c>
      <c r="BG276" s="1715">
        <v>4.0659999999999998</v>
      </c>
      <c r="BH276" s="1715">
        <v>4.5979999999999999</v>
      </c>
      <c r="BI276" s="1715">
        <v>5.3250000000000002</v>
      </c>
      <c r="BJ276" s="1764">
        <f>+BK276/(1+BK277)</f>
        <v>5.9090909090909083</v>
      </c>
      <c r="BK276" s="1715">
        <v>6.5</v>
      </c>
      <c r="BL276" s="1706">
        <f>BK276*(1+BL283)</f>
        <v>7.2150000000000007</v>
      </c>
      <c r="BM276" s="1706">
        <v>7.8</v>
      </c>
      <c r="BN276" s="1674"/>
      <c r="BO276" s="1674"/>
      <c r="BP276" s="1674"/>
      <c r="BR276" s="1483"/>
      <c r="BS276" s="1483"/>
      <c r="BT276" s="1483"/>
      <c r="BU276" s="1675"/>
    </row>
    <row r="277" spans="1:73" s="304" customFormat="1" ht="11.65" customHeight="1">
      <c r="A277" s="1714" t="s">
        <v>507</v>
      </c>
      <c r="B277" s="836"/>
      <c r="C277" s="837"/>
      <c r="D277" s="837"/>
      <c r="E277" s="838"/>
      <c r="F277" s="837"/>
      <c r="G277" s="837"/>
      <c r="H277" s="837"/>
      <c r="I277" s="838"/>
      <c r="J277" s="837"/>
      <c r="K277" s="837"/>
      <c r="L277" s="837"/>
      <c r="M277" s="838"/>
      <c r="N277" s="836"/>
      <c r="O277" s="836"/>
      <c r="P277" s="836"/>
      <c r="Q277" s="1041"/>
      <c r="R277" s="836"/>
      <c r="S277" s="1294"/>
      <c r="T277" s="1294"/>
      <c r="U277" s="1557"/>
      <c r="V277" s="1294"/>
      <c r="W277" s="1294"/>
      <c r="X277" s="1294"/>
      <c r="Y277" s="1557"/>
      <c r="Z277" s="1294"/>
      <c r="AA277" s="1294"/>
      <c r="AB277" s="1294"/>
      <c r="AC277" s="1557"/>
      <c r="AD277" s="1294"/>
      <c r="AE277" s="1294"/>
      <c r="AF277" s="1294"/>
      <c r="AG277" s="1557"/>
      <c r="AH277" s="1294"/>
      <c r="AI277" s="1294"/>
      <c r="AJ277" s="1294"/>
      <c r="AK277" s="1557"/>
      <c r="AL277" s="1294"/>
      <c r="AM277" s="1294"/>
      <c r="AN277" s="398"/>
      <c r="AO277" s="401"/>
      <c r="AP277" s="398"/>
      <c r="AQ277" s="398"/>
      <c r="AR277" s="398"/>
      <c r="AS277" s="401"/>
      <c r="AT277" s="398"/>
      <c r="AU277" s="398"/>
      <c r="AV277" s="398"/>
      <c r="AW277" s="401"/>
      <c r="AX277" s="398"/>
      <c r="AY277" s="398"/>
      <c r="AZ277" s="398"/>
      <c r="BA277" s="401"/>
      <c r="BB277" s="1799"/>
      <c r="BC277" s="1674"/>
      <c r="BD277" s="1674"/>
      <c r="BE277" s="1674"/>
      <c r="BF277" s="1674"/>
      <c r="BG277" s="1706"/>
      <c r="BH277" s="1674"/>
      <c r="BI277" s="1674"/>
      <c r="BJ277" s="1546"/>
      <c r="BK277" s="1674">
        <v>0.1</v>
      </c>
      <c r="BL277" s="1709">
        <f>BL283</f>
        <v>0.11</v>
      </c>
      <c r="BM277" s="1674">
        <v>0.08</v>
      </c>
      <c r="BN277" s="1674"/>
      <c r="BO277" s="1674"/>
      <c r="BP277" s="1674"/>
      <c r="BR277" s="1483"/>
      <c r="BS277" s="1483"/>
      <c r="BT277" s="1483"/>
      <c r="BU277" s="1675"/>
    </row>
    <row r="278" spans="1:73" s="304" customFormat="1" ht="11.65" customHeight="1">
      <c r="A278" s="1677" t="s">
        <v>656</v>
      </c>
      <c r="B278" s="836"/>
      <c r="C278" s="837"/>
      <c r="D278" s="837"/>
      <c r="E278" s="838"/>
      <c r="F278" s="837"/>
      <c r="G278" s="837"/>
      <c r="H278" s="837"/>
      <c r="I278" s="838"/>
      <c r="J278" s="837"/>
      <c r="K278" s="837"/>
      <c r="L278" s="837"/>
      <c r="M278" s="838"/>
      <c r="N278" s="836"/>
      <c r="O278" s="836"/>
      <c r="P278" s="836"/>
      <c r="Q278" s="1041"/>
      <c r="R278" s="836"/>
      <c r="S278" s="1294"/>
      <c r="T278" s="1294"/>
      <c r="U278" s="1557"/>
      <c r="V278" s="1294"/>
      <c r="W278" s="1294"/>
      <c r="X278" s="1294"/>
      <c r="Y278" s="1557"/>
      <c r="Z278" s="1294"/>
      <c r="AA278" s="1294"/>
      <c r="AB278" s="1294"/>
      <c r="AC278" s="1557"/>
      <c r="AD278" s="1294"/>
      <c r="AE278" s="1294"/>
      <c r="AF278" s="1294"/>
      <c r="AG278" s="1557"/>
      <c r="AH278" s="1294"/>
      <c r="AI278" s="1294"/>
      <c r="AJ278" s="1294"/>
      <c r="AK278" s="1717"/>
      <c r="AL278" s="1294"/>
      <c r="AM278" s="1294"/>
      <c r="AN278" s="398"/>
      <c r="AO278" s="401"/>
      <c r="AP278" s="398"/>
      <c r="AQ278" s="398"/>
      <c r="AR278" s="398"/>
      <c r="AS278" s="401"/>
      <c r="AT278" s="398"/>
      <c r="AU278" s="398"/>
      <c r="AV278" s="398"/>
      <c r="AW278" s="401"/>
      <c r="AX278" s="398"/>
      <c r="AY278" s="398"/>
      <c r="AZ278" s="398"/>
      <c r="BA278" s="401"/>
      <c r="BB278" s="1799"/>
      <c r="BC278" s="1674"/>
      <c r="BD278" s="1674"/>
      <c r="BE278" s="1674"/>
      <c r="BF278" s="1674"/>
      <c r="BG278" s="1674"/>
      <c r="BH278" s="1760">
        <v>432</v>
      </c>
      <c r="BI278" s="1760">
        <v>488</v>
      </c>
      <c r="BJ278" s="1760">
        <v>604</v>
      </c>
      <c r="BK278" s="1760">
        <v>699</v>
      </c>
      <c r="BL278" s="1760"/>
      <c r="BM278" s="1674"/>
      <c r="BN278" s="1674"/>
      <c r="BO278" s="1674"/>
      <c r="BP278" s="1674"/>
      <c r="BR278" s="1483"/>
      <c r="BS278" s="1483"/>
      <c r="BT278" s="1483"/>
      <c r="BU278" s="1675"/>
    </row>
    <row r="279" spans="1:73" s="304" customFormat="1" ht="11.65" customHeight="1">
      <c r="A279" s="1714" t="s">
        <v>507</v>
      </c>
      <c r="B279" s="836"/>
      <c r="C279" s="837"/>
      <c r="D279" s="837"/>
      <c r="E279" s="838"/>
      <c r="F279" s="837"/>
      <c r="G279" s="837"/>
      <c r="H279" s="837"/>
      <c r="I279" s="838"/>
      <c r="J279" s="837"/>
      <c r="K279" s="837"/>
      <c r="L279" s="837"/>
      <c r="M279" s="838"/>
      <c r="N279" s="836"/>
      <c r="O279" s="836"/>
      <c r="P279" s="836"/>
      <c r="Q279" s="1041"/>
      <c r="R279" s="836"/>
      <c r="S279" s="1294"/>
      <c r="T279" s="1294"/>
      <c r="U279" s="1557"/>
      <c r="V279" s="1294"/>
      <c r="W279" s="1294"/>
      <c r="X279" s="1294"/>
      <c r="Y279" s="1557"/>
      <c r="Z279" s="1294"/>
      <c r="AA279" s="1294"/>
      <c r="AB279" s="1294"/>
      <c r="AC279" s="1557"/>
      <c r="AD279" s="1294"/>
      <c r="AE279" s="1294"/>
      <c r="AF279" s="1294"/>
      <c r="AG279" s="1557"/>
      <c r="AH279" s="1294"/>
      <c r="AI279" s="1294"/>
      <c r="AJ279" s="1294"/>
      <c r="AK279" s="1717"/>
      <c r="AL279" s="1294"/>
      <c r="AM279" s="1294"/>
      <c r="AN279" s="398"/>
      <c r="AO279" s="401"/>
      <c r="AP279" s="398"/>
      <c r="AQ279" s="398"/>
      <c r="AR279" s="398"/>
      <c r="AS279" s="401"/>
      <c r="AT279" s="398"/>
      <c r="AU279" s="398"/>
      <c r="AV279" s="398"/>
      <c r="AW279" s="401"/>
      <c r="AX279" s="398"/>
      <c r="AY279" s="398"/>
      <c r="AZ279" s="398"/>
      <c r="BA279" s="401"/>
      <c r="BB279" s="1799"/>
      <c r="BC279" s="1674"/>
      <c r="BD279" s="1674"/>
      <c r="BE279" s="1674"/>
      <c r="BF279" s="1674"/>
      <c r="BG279" s="1674"/>
      <c r="BH279" s="1674"/>
      <c r="BI279" s="1674"/>
      <c r="BJ279" s="1546"/>
      <c r="BK279" s="1719">
        <v>0.16</v>
      </c>
      <c r="BL279" s="1719"/>
      <c r="BM279" s="1674"/>
      <c r="BN279" s="1674"/>
      <c r="BO279" s="1674"/>
      <c r="BP279" s="1674"/>
      <c r="BR279" s="1483"/>
      <c r="BS279" s="1483"/>
      <c r="BT279" s="1483"/>
      <c r="BU279" s="1675"/>
    </row>
    <row r="280" spans="1:73" s="304" customFormat="1" ht="11.65" customHeight="1">
      <c r="A280" s="1677" t="s">
        <v>639</v>
      </c>
      <c r="B280" s="836"/>
      <c r="C280" s="837"/>
      <c r="D280" s="837"/>
      <c r="E280" s="838"/>
      <c r="F280" s="837"/>
      <c r="G280" s="837"/>
      <c r="H280" s="837"/>
      <c r="I280" s="838"/>
      <c r="J280" s="837"/>
      <c r="K280" s="837"/>
      <c r="L280" s="837"/>
      <c r="M280" s="838"/>
      <c r="N280" s="836"/>
      <c r="O280" s="836"/>
      <c r="P280" s="836"/>
      <c r="Q280" s="1041"/>
      <c r="R280" s="836"/>
      <c r="S280" s="1294"/>
      <c r="T280" s="1294"/>
      <c r="U280" s="1557"/>
      <c r="V280" s="1294"/>
      <c r="W280" s="1294"/>
      <c r="X280" s="1294"/>
      <c r="Y280" s="1557"/>
      <c r="Z280" s="1294"/>
      <c r="AA280" s="1294"/>
      <c r="AB280" s="1294"/>
      <c r="AC280" s="1557"/>
      <c r="AD280" s="1294"/>
      <c r="AE280" s="1294"/>
      <c r="AF280" s="1294"/>
      <c r="AG280" s="1557"/>
      <c r="AH280" s="1294"/>
      <c r="AI280" s="1294"/>
      <c r="AJ280" s="1294"/>
      <c r="AK280" s="1557"/>
      <c r="AL280" s="1294"/>
      <c r="AM280" s="1294"/>
      <c r="AN280" s="398"/>
      <c r="AO280" s="401"/>
      <c r="AP280" s="398"/>
      <c r="AQ280" s="398"/>
      <c r="AR280" s="398"/>
      <c r="AS280" s="401"/>
      <c r="AT280" s="398"/>
      <c r="AU280" s="398"/>
      <c r="AV280" s="398"/>
      <c r="AW280" s="401"/>
      <c r="AX280" s="398"/>
      <c r="AY280" s="398"/>
      <c r="AZ280" s="398"/>
      <c r="BA280" s="401"/>
      <c r="BB280" s="1799"/>
      <c r="BC280" s="1674"/>
      <c r="BD280" s="1674"/>
      <c r="BE280" s="1674"/>
      <c r="BF280" s="1674"/>
      <c r="BG280" s="1674"/>
      <c r="BH280" s="1674"/>
      <c r="BI280" s="1674"/>
      <c r="BJ280" s="1674"/>
      <c r="BK280" s="1755">
        <v>0.3</v>
      </c>
      <c r="BL280" s="1709"/>
      <c r="BM280" s="1674"/>
      <c r="BN280" s="1674"/>
      <c r="BO280" s="1674"/>
      <c r="BP280" s="1674"/>
      <c r="BR280" s="1483"/>
      <c r="BS280" s="1483"/>
      <c r="BT280" s="1483"/>
      <c r="BU280" s="1675"/>
    </row>
    <row r="281" spans="1:73" s="304" customFormat="1" ht="11.65" customHeight="1">
      <c r="A281" s="1677" t="s">
        <v>638</v>
      </c>
      <c r="B281" s="836"/>
      <c r="C281" s="837"/>
      <c r="D281" s="837"/>
      <c r="E281" s="838"/>
      <c r="F281" s="837"/>
      <c r="G281" s="837"/>
      <c r="H281" s="837"/>
      <c r="I281" s="838"/>
      <c r="J281" s="837"/>
      <c r="K281" s="837"/>
      <c r="L281" s="837"/>
      <c r="M281" s="838"/>
      <c r="N281" s="836"/>
      <c r="O281" s="836"/>
      <c r="P281" s="836"/>
      <c r="Q281" s="1041"/>
      <c r="R281" s="836"/>
      <c r="S281" s="1294"/>
      <c r="T281" s="1294"/>
      <c r="U281" s="1557"/>
      <c r="V281" s="1294"/>
      <c r="W281" s="1294"/>
      <c r="X281" s="1294"/>
      <c r="Y281" s="1557"/>
      <c r="Z281" s="1294"/>
      <c r="AA281" s="1294"/>
      <c r="AB281" s="1294"/>
      <c r="AC281" s="1557"/>
      <c r="AD281" s="1294"/>
      <c r="AE281" s="1294"/>
      <c r="AF281" s="1294"/>
      <c r="AG281" s="1557"/>
      <c r="AH281" s="1294"/>
      <c r="AI281" s="1294"/>
      <c r="AJ281" s="1294"/>
      <c r="AK281" s="1557"/>
      <c r="AL281" s="1294"/>
      <c r="AM281" s="1294"/>
      <c r="AN281" s="398"/>
      <c r="AO281" s="401"/>
      <c r="AP281" s="398"/>
      <c r="AQ281" s="398"/>
      <c r="AR281" s="398"/>
      <c r="AS281" s="401"/>
      <c r="AT281" s="398"/>
      <c r="AU281" s="398"/>
      <c r="AV281" s="398"/>
      <c r="AW281" s="401"/>
      <c r="AX281" s="398"/>
      <c r="AY281" s="398"/>
      <c r="AZ281" s="398"/>
      <c r="BA281" s="401"/>
      <c r="BB281" s="1799"/>
      <c r="BC281" s="1674"/>
      <c r="BD281" s="1674"/>
      <c r="BE281" s="1674"/>
      <c r="BF281" s="1674"/>
      <c r="BG281" s="1674"/>
      <c r="BH281" s="1760">
        <v>721</v>
      </c>
      <c r="BI281" s="1760">
        <v>752</v>
      </c>
      <c r="BJ281" s="1760">
        <v>832</v>
      </c>
      <c r="BK281" s="1760">
        <v>969</v>
      </c>
      <c r="BL281" s="1709"/>
      <c r="BM281" s="1674"/>
      <c r="BN281" s="1674"/>
      <c r="BO281" s="1674"/>
      <c r="BP281" s="1674"/>
      <c r="BR281" s="1483"/>
      <c r="BS281" s="1483"/>
      <c r="BT281" s="1483"/>
      <c r="BU281" s="1675"/>
    </row>
    <row r="282" spans="1:73" s="304" customFormat="1" ht="11.65" customHeight="1">
      <c r="A282" s="1714" t="s">
        <v>507</v>
      </c>
      <c r="B282" s="836"/>
      <c r="C282" s="837"/>
      <c r="D282" s="837"/>
      <c r="E282" s="838"/>
      <c r="F282" s="837"/>
      <c r="G282" s="837"/>
      <c r="H282" s="837"/>
      <c r="I282" s="838"/>
      <c r="J282" s="837"/>
      <c r="K282" s="837"/>
      <c r="L282" s="837"/>
      <c r="M282" s="838"/>
      <c r="N282" s="836"/>
      <c r="O282" s="836"/>
      <c r="P282" s="836"/>
      <c r="Q282" s="1041"/>
      <c r="R282" s="836"/>
      <c r="S282" s="1294"/>
      <c r="T282" s="1294"/>
      <c r="U282" s="1557"/>
      <c r="V282" s="1294"/>
      <c r="W282" s="1294"/>
      <c r="X282" s="1294"/>
      <c r="Y282" s="1557"/>
      <c r="Z282" s="1294"/>
      <c r="AA282" s="1294"/>
      <c r="AB282" s="1294"/>
      <c r="AC282" s="1557"/>
      <c r="AD282" s="1294"/>
      <c r="AE282" s="1294"/>
      <c r="AF282" s="1294"/>
      <c r="AG282" s="1557"/>
      <c r="AH282" s="1294"/>
      <c r="AI282" s="1294"/>
      <c r="AJ282" s="1294"/>
      <c r="AK282" s="1717"/>
      <c r="AL282" s="1294"/>
      <c r="AM282" s="1294"/>
      <c r="AN282" s="398"/>
      <c r="AO282" s="401"/>
      <c r="AP282" s="398"/>
      <c r="AQ282" s="398"/>
      <c r="AR282" s="398"/>
      <c r="AS282" s="401"/>
      <c r="AT282" s="398"/>
      <c r="AU282" s="398"/>
      <c r="AV282" s="398"/>
      <c r="AW282" s="401"/>
      <c r="AX282" s="398"/>
      <c r="AY282" s="398"/>
      <c r="AZ282" s="398"/>
      <c r="BA282" s="401"/>
      <c r="BB282" s="1799"/>
      <c r="BC282" s="1674"/>
      <c r="BD282" s="1674"/>
      <c r="BE282" s="1674"/>
      <c r="BF282" s="1674"/>
      <c r="BG282" s="1674"/>
      <c r="BH282" s="1674"/>
      <c r="BI282" s="1674"/>
      <c r="BJ282" s="1546"/>
      <c r="BK282" s="1719">
        <v>0.17</v>
      </c>
      <c r="BL282" s="1719"/>
      <c r="BM282" s="1674"/>
      <c r="BN282" s="1674"/>
      <c r="BO282" s="1674"/>
      <c r="BP282" s="1674"/>
      <c r="BR282" s="1483"/>
      <c r="BS282" s="1483"/>
      <c r="BT282" s="1483"/>
      <c r="BU282" s="1675"/>
    </row>
    <row r="283" spans="1:73" s="304" customFormat="1" ht="11.65" customHeight="1">
      <c r="A283" s="1677" t="s">
        <v>554</v>
      </c>
      <c r="B283" s="836"/>
      <c r="C283" s="837"/>
      <c r="D283" s="837"/>
      <c r="E283" s="838"/>
      <c r="F283" s="837"/>
      <c r="G283" s="837"/>
      <c r="H283" s="837"/>
      <c r="I283" s="838"/>
      <c r="J283" s="837"/>
      <c r="K283" s="837"/>
      <c r="L283" s="837"/>
      <c r="M283" s="838"/>
      <c r="N283" s="836"/>
      <c r="O283" s="836"/>
      <c r="P283" s="836"/>
      <c r="Q283" s="1041"/>
      <c r="R283" s="836"/>
      <c r="S283" s="1294"/>
      <c r="T283" s="1294"/>
      <c r="U283" s="1557"/>
      <c r="V283" s="1294"/>
      <c r="W283" s="1294"/>
      <c r="X283" s="1294"/>
      <c r="Y283" s="1557"/>
      <c r="Z283" s="1294"/>
      <c r="AA283" s="1294"/>
      <c r="AB283" s="1294"/>
      <c r="AC283" s="1557"/>
      <c r="AD283" s="1294"/>
      <c r="AE283" s="1294"/>
      <c r="AF283" s="1294"/>
      <c r="AG283" s="1557"/>
      <c r="AH283" s="1294"/>
      <c r="AI283" s="1294"/>
      <c r="AJ283" s="1294"/>
      <c r="AK283" s="1557"/>
      <c r="AL283" s="1294"/>
      <c r="AM283" s="1294"/>
      <c r="AN283" s="398"/>
      <c r="AO283" s="401"/>
      <c r="AP283" s="398"/>
      <c r="AQ283" s="398"/>
      <c r="AR283" s="398"/>
      <c r="AS283" s="401"/>
      <c r="AT283" s="398"/>
      <c r="AU283" s="398"/>
      <c r="AV283" s="398"/>
      <c r="AW283" s="401"/>
      <c r="AX283" s="398"/>
      <c r="AY283" s="398"/>
      <c r="AZ283" s="398"/>
      <c r="BA283" s="401"/>
      <c r="BB283" s="1799"/>
      <c r="BC283" s="1674"/>
      <c r="BD283" s="1674"/>
      <c r="BE283" s="1674"/>
      <c r="BF283" s="1674"/>
      <c r="BG283" s="1674"/>
      <c r="BH283" s="1674"/>
      <c r="BI283" s="1674"/>
      <c r="BJ283" s="1546"/>
      <c r="BK283" s="1674"/>
      <c r="BL283" s="1709">
        <v>0.11</v>
      </c>
      <c r="BM283" s="1709">
        <v>0.08</v>
      </c>
      <c r="BN283" s="1674"/>
      <c r="BO283" s="1674"/>
      <c r="BP283" s="1674"/>
      <c r="BR283" s="1483"/>
      <c r="BS283" s="1483"/>
      <c r="BT283" s="1483"/>
      <c r="BU283" s="1675"/>
    </row>
    <row r="284" spans="1:73" s="304" customFormat="1" ht="11.65" customHeight="1">
      <c r="A284" s="1677" t="s">
        <v>561</v>
      </c>
      <c r="B284" s="836"/>
      <c r="C284" s="837"/>
      <c r="D284" s="837"/>
      <c r="E284" s="838"/>
      <c r="F284" s="837"/>
      <c r="G284" s="837"/>
      <c r="H284" s="837"/>
      <c r="I284" s="838"/>
      <c r="J284" s="837"/>
      <c r="K284" s="837"/>
      <c r="L284" s="837"/>
      <c r="M284" s="838"/>
      <c r="N284" s="836"/>
      <c r="O284" s="836"/>
      <c r="P284" s="836"/>
      <c r="Q284" s="1041"/>
      <c r="R284" s="836"/>
      <c r="S284" s="1294"/>
      <c r="T284" s="1294"/>
      <c r="U284" s="1557"/>
      <c r="V284" s="1294"/>
      <c r="W284" s="1294"/>
      <c r="X284" s="1294"/>
      <c r="Y284" s="1557"/>
      <c r="Z284" s="1294"/>
      <c r="AA284" s="1294"/>
      <c r="AB284" s="1294"/>
      <c r="AC284" s="1557"/>
      <c r="AD284" s="1294"/>
      <c r="AE284" s="1294"/>
      <c r="AF284" s="1294"/>
      <c r="AG284" s="1557"/>
      <c r="AH284" s="1294"/>
      <c r="AI284" s="1294"/>
      <c r="AJ284" s="1294"/>
      <c r="AK284" s="1557"/>
      <c r="AL284" s="1294"/>
      <c r="AM284" s="1294"/>
      <c r="AN284" s="398"/>
      <c r="AO284" s="401"/>
      <c r="AP284" s="398"/>
      <c r="AQ284" s="398"/>
      <c r="AR284" s="398"/>
      <c r="AS284" s="401"/>
      <c r="AT284" s="398"/>
      <c r="AU284" s="398"/>
      <c r="AV284" s="398"/>
      <c r="AW284" s="401"/>
      <c r="AX284" s="398"/>
      <c r="AY284" s="398"/>
      <c r="AZ284" s="398"/>
      <c r="BA284" s="401"/>
      <c r="BB284" s="1799"/>
      <c r="BC284" s="1674"/>
      <c r="BD284" s="1674"/>
      <c r="BE284" s="1674"/>
      <c r="BF284" s="1674"/>
      <c r="BG284" s="1706"/>
      <c r="BH284" s="1674"/>
      <c r="BI284" s="1674"/>
      <c r="BJ284" s="1546"/>
      <c r="BK284" s="1730">
        <f>+BL284-1%</f>
        <v>0.80999999999999994</v>
      </c>
      <c r="BL284" s="1719">
        <v>0.82</v>
      </c>
      <c r="BM284" s="1719">
        <v>0.83</v>
      </c>
      <c r="BN284" s="1674"/>
      <c r="BO284" s="1674"/>
      <c r="BP284" s="1674"/>
      <c r="BR284" s="1483"/>
      <c r="BS284" s="1483"/>
      <c r="BT284" s="1483"/>
      <c r="BU284" s="1675"/>
    </row>
    <row r="285" spans="1:73" s="304" customFormat="1" ht="11.65" customHeight="1">
      <c r="A285" s="1677" t="s">
        <v>557</v>
      </c>
      <c r="B285" s="836"/>
      <c r="C285" s="837"/>
      <c r="D285" s="837"/>
      <c r="E285" s="838"/>
      <c r="F285" s="837"/>
      <c r="G285" s="837"/>
      <c r="H285" s="837"/>
      <c r="I285" s="838"/>
      <c r="J285" s="837"/>
      <c r="K285" s="837"/>
      <c r="L285" s="837"/>
      <c r="M285" s="838"/>
      <c r="N285" s="836"/>
      <c r="O285" s="836"/>
      <c r="P285" s="836"/>
      <c r="Q285" s="1041"/>
      <c r="R285" s="836"/>
      <c r="S285" s="1294"/>
      <c r="T285" s="1294"/>
      <c r="U285" s="1557"/>
      <c r="V285" s="1294"/>
      <c r="W285" s="1294"/>
      <c r="X285" s="1294"/>
      <c r="Y285" s="1557"/>
      <c r="Z285" s="1294"/>
      <c r="AA285" s="1294"/>
      <c r="AB285" s="1294"/>
      <c r="AC285" s="1557"/>
      <c r="AD285" s="1294"/>
      <c r="AE285" s="1294"/>
      <c r="AF285" s="1294"/>
      <c r="AG285" s="1557"/>
      <c r="AH285" s="1294"/>
      <c r="AI285" s="1294"/>
      <c r="AJ285" s="1294"/>
      <c r="AK285" s="1717">
        <v>0.24</v>
      </c>
      <c r="AL285" s="1294"/>
      <c r="AM285" s="1294"/>
      <c r="AN285" s="398"/>
      <c r="AO285" s="401"/>
      <c r="AP285" s="398"/>
      <c r="AQ285" s="398"/>
      <c r="AR285" s="398"/>
      <c r="AS285" s="401"/>
      <c r="AT285" s="398"/>
      <c r="AU285" s="398"/>
      <c r="AV285" s="398"/>
      <c r="AW285" s="401"/>
      <c r="AX285" s="398"/>
      <c r="AY285" s="398"/>
      <c r="AZ285" s="398"/>
      <c r="BA285" s="401"/>
      <c r="BB285" s="1799"/>
      <c r="BC285" s="1674"/>
      <c r="BD285" s="1674"/>
      <c r="BE285" s="1674"/>
      <c r="BF285" s="1674"/>
      <c r="BG285" s="1674"/>
      <c r="BH285" s="1674"/>
      <c r="BI285" s="1674"/>
      <c r="BJ285" s="1546"/>
      <c r="BK285" s="1674"/>
      <c r="BL285" s="1718"/>
      <c r="BM285" s="1674"/>
      <c r="BN285" s="1674"/>
      <c r="BO285" s="1674"/>
      <c r="BP285" s="1674"/>
      <c r="BR285" s="1483"/>
      <c r="BS285" s="1483"/>
      <c r="BT285" s="1483"/>
      <c r="BU285" s="1675"/>
    </row>
    <row r="286" spans="1:73" s="304" customFormat="1" ht="11.65" customHeight="1">
      <c r="A286" s="1677" t="s">
        <v>589</v>
      </c>
      <c r="B286" s="836"/>
      <c r="C286" s="837"/>
      <c r="D286" s="837"/>
      <c r="E286" s="838"/>
      <c r="F286" s="837"/>
      <c r="G286" s="837"/>
      <c r="H286" s="837"/>
      <c r="I286" s="838"/>
      <c r="J286" s="837"/>
      <c r="K286" s="837"/>
      <c r="L286" s="837"/>
      <c r="M286" s="838"/>
      <c r="N286" s="836"/>
      <c r="O286" s="836"/>
      <c r="P286" s="836"/>
      <c r="Q286" s="1041"/>
      <c r="R286" s="836"/>
      <c r="S286" s="1294"/>
      <c r="T286" s="1294"/>
      <c r="U286" s="1557"/>
      <c r="V286" s="1294"/>
      <c r="W286" s="1294"/>
      <c r="X286" s="1294"/>
      <c r="Y286" s="1557"/>
      <c r="Z286" s="1294"/>
      <c r="AA286" s="1294"/>
      <c r="AB286" s="1294"/>
      <c r="AC286" s="1557"/>
      <c r="AD286" s="1294"/>
      <c r="AE286" s="1294"/>
      <c r="AF286" s="1294"/>
      <c r="AG286" s="1557"/>
      <c r="AH286" s="1294"/>
      <c r="AI286" s="1294"/>
      <c r="AJ286" s="1294"/>
      <c r="AK286" s="1717"/>
      <c r="AL286" s="1294"/>
      <c r="AM286" s="1294"/>
      <c r="AN286" s="398"/>
      <c r="AO286" s="401"/>
      <c r="AP286" s="398"/>
      <c r="AQ286" s="398"/>
      <c r="AR286" s="398"/>
      <c r="AS286" s="401"/>
      <c r="AT286" s="398"/>
      <c r="AU286" s="398"/>
      <c r="AV286" s="398"/>
      <c r="AW286" s="401"/>
      <c r="AX286" s="398"/>
      <c r="AY286" s="398"/>
      <c r="AZ286" s="398"/>
      <c r="BA286" s="401"/>
      <c r="BB286" s="1799"/>
      <c r="BC286" s="1674"/>
      <c r="BD286" s="1674"/>
      <c r="BE286" s="1674"/>
      <c r="BF286" s="1674"/>
      <c r="BG286" s="1674"/>
      <c r="BH286" s="1674"/>
      <c r="BI286" s="1674"/>
      <c r="BJ286" s="1546"/>
      <c r="BK286" s="1674"/>
      <c r="BL286" s="1719"/>
      <c r="BM286" s="1674"/>
      <c r="BN286" s="1674"/>
      <c r="BO286" s="1674"/>
      <c r="BP286" s="1674"/>
      <c r="BR286" s="1483"/>
      <c r="BS286" s="1483"/>
      <c r="BT286" s="1483"/>
      <c r="BU286" s="1675"/>
    </row>
    <row r="287" spans="1:73" s="1722" customFormat="1" ht="11.65" customHeight="1">
      <c r="A287" s="1714" t="s">
        <v>507</v>
      </c>
      <c r="B287" s="836"/>
      <c r="C287" s="837"/>
      <c r="D287" s="837"/>
      <c r="E287" s="838"/>
      <c r="F287" s="837"/>
      <c r="G287" s="837"/>
      <c r="H287" s="837"/>
      <c r="I287" s="838"/>
      <c r="J287" s="837"/>
      <c r="K287" s="837"/>
      <c r="L287" s="837"/>
      <c r="M287" s="838"/>
      <c r="N287" s="836"/>
      <c r="O287" s="836"/>
      <c r="P287" s="836"/>
      <c r="Q287" s="1041"/>
      <c r="R287" s="836"/>
      <c r="S287" s="1720"/>
      <c r="T287" s="1720"/>
      <c r="U287" s="1721"/>
      <c r="V287" s="1720"/>
      <c r="W287" s="1720"/>
      <c r="X287" s="1720"/>
      <c r="Y287" s="1721"/>
      <c r="Z287" s="1720"/>
      <c r="AA287" s="1720"/>
      <c r="AB287" s="1720"/>
      <c r="AC287" s="1721"/>
      <c r="AD287" s="1720"/>
      <c r="AE287" s="1720"/>
      <c r="AF287" s="1720"/>
      <c r="AG287" s="1721"/>
      <c r="AH287" s="1720"/>
      <c r="AI287" s="1720"/>
      <c r="AJ287" s="1720"/>
      <c r="AK287" s="1744"/>
      <c r="AL287" s="1720"/>
      <c r="AM287" s="1720"/>
      <c r="AN287" s="1175"/>
      <c r="AO287" s="1176"/>
      <c r="AP287" s="1175"/>
      <c r="AQ287" s="1175"/>
      <c r="AR287" s="1175"/>
      <c r="AS287" s="1176"/>
      <c r="AT287" s="1175"/>
      <c r="AU287" s="1175"/>
      <c r="AV287" s="1175"/>
      <c r="AW287" s="1176"/>
      <c r="AX287" s="1175"/>
      <c r="AY287" s="1175"/>
      <c r="AZ287" s="1175"/>
      <c r="BA287" s="1176"/>
      <c r="BB287" s="1871"/>
      <c r="BC287" s="1674"/>
      <c r="BD287" s="1674"/>
      <c r="BE287" s="1674"/>
      <c r="BF287" s="1674"/>
      <c r="BG287" s="1674"/>
      <c r="BH287" s="1674"/>
      <c r="BI287" s="1674"/>
      <c r="BJ287" s="1546"/>
      <c r="BK287" s="1709">
        <v>0.31</v>
      </c>
      <c r="BL287" s="1728">
        <v>0.13</v>
      </c>
      <c r="BM287" s="1728">
        <v>0.04</v>
      </c>
      <c r="BN287" s="1674"/>
      <c r="BO287" s="1674"/>
      <c r="BP287" s="1674"/>
      <c r="BR287" s="1723"/>
      <c r="BS287" s="1723"/>
      <c r="BT287" s="1723"/>
      <c r="BU287" s="1724"/>
    </row>
    <row r="288" spans="1:73" s="304" customFormat="1" ht="11.65" customHeight="1">
      <c r="A288" s="1677" t="s">
        <v>640</v>
      </c>
      <c r="B288" s="836"/>
      <c r="C288" s="837"/>
      <c r="D288" s="837"/>
      <c r="E288" s="838"/>
      <c r="F288" s="837"/>
      <c r="G288" s="837"/>
      <c r="H288" s="837"/>
      <c r="I288" s="838"/>
      <c r="J288" s="837"/>
      <c r="K288" s="837"/>
      <c r="L288" s="837"/>
      <c r="M288" s="838"/>
      <c r="N288" s="836"/>
      <c r="O288" s="836"/>
      <c r="P288" s="836"/>
      <c r="Q288" s="1041"/>
      <c r="R288" s="836"/>
      <c r="S288" s="1294"/>
      <c r="T288" s="1294"/>
      <c r="U288" s="1557"/>
      <c r="V288" s="1294"/>
      <c r="W288" s="1294"/>
      <c r="X288" s="1294"/>
      <c r="Y288" s="1557"/>
      <c r="Z288" s="1294"/>
      <c r="AA288" s="1294"/>
      <c r="AB288" s="1294"/>
      <c r="AC288" s="1557"/>
      <c r="AD288" s="1294"/>
      <c r="AE288" s="1294"/>
      <c r="AF288" s="1294"/>
      <c r="AG288" s="1557"/>
      <c r="AH288" s="1294"/>
      <c r="AI288" s="1294"/>
      <c r="AJ288" s="1294"/>
      <c r="AK288" s="1717"/>
      <c r="AL288" s="1294"/>
      <c r="AM288" s="1294"/>
      <c r="AN288" s="398"/>
      <c r="AO288" s="401"/>
      <c r="AP288" s="398"/>
      <c r="AQ288" s="398"/>
      <c r="AR288" s="398"/>
      <c r="AS288" s="401"/>
      <c r="AT288" s="398"/>
      <c r="AU288" s="398"/>
      <c r="AV288" s="398"/>
      <c r="AW288" s="401"/>
      <c r="AX288" s="398"/>
      <c r="AY288" s="398"/>
      <c r="AZ288" s="398"/>
      <c r="BA288" s="401"/>
      <c r="BB288" s="1799"/>
      <c r="BC288" s="1674"/>
      <c r="BD288" s="1674"/>
      <c r="BE288" s="1674"/>
      <c r="BF288" s="1674"/>
      <c r="BG288" s="1674"/>
      <c r="BH288" s="1674"/>
      <c r="BI288" s="1674"/>
      <c r="BJ288" s="1546"/>
      <c r="BK288" s="1715">
        <v>2.2999999999999998</v>
      </c>
      <c r="BL288" s="1719"/>
      <c r="BM288" s="1674"/>
      <c r="BN288" s="1674"/>
      <c r="BO288" s="1674"/>
      <c r="BP288" s="1674"/>
      <c r="BR288" s="1483"/>
      <c r="BS288" s="1483"/>
      <c r="BT288" s="1483"/>
      <c r="BU288" s="1675"/>
    </row>
    <row r="289" spans="1:73" s="1722" customFormat="1" ht="11.65" customHeight="1">
      <c r="A289" s="1714" t="s">
        <v>507</v>
      </c>
      <c r="B289" s="836"/>
      <c r="C289" s="837"/>
      <c r="D289" s="837"/>
      <c r="E289" s="838"/>
      <c r="F289" s="837"/>
      <c r="G289" s="837"/>
      <c r="H289" s="837"/>
      <c r="I289" s="838"/>
      <c r="J289" s="837"/>
      <c r="K289" s="837"/>
      <c r="L289" s="837"/>
      <c r="M289" s="838"/>
      <c r="N289" s="836"/>
      <c r="O289" s="836"/>
      <c r="P289" s="836"/>
      <c r="Q289" s="1041"/>
      <c r="R289" s="836"/>
      <c r="S289" s="1720"/>
      <c r="T289" s="1720"/>
      <c r="U289" s="1721"/>
      <c r="V289" s="1720"/>
      <c r="W289" s="1720"/>
      <c r="X289" s="1720"/>
      <c r="Y289" s="1721"/>
      <c r="Z289" s="1720"/>
      <c r="AA289" s="1720"/>
      <c r="AB289" s="1720"/>
      <c r="AC289" s="1721"/>
      <c r="AD289" s="1720"/>
      <c r="AE289" s="1720"/>
      <c r="AF289" s="1720"/>
      <c r="AG289" s="1721"/>
      <c r="AH289" s="1720"/>
      <c r="AI289" s="1720"/>
      <c r="AJ289" s="1720"/>
      <c r="AK289" s="1744"/>
      <c r="AL289" s="1720"/>
      <c r="AM289" s="1720"/>
      <c r="AN289" s="1175"/>
      <c r="AO289" s="1176"/>
      <c r="AP289" s="1175"/>
      <c r="AQ289" s="1175"/>
      <c r="AR289" s="1175"/>
      <c r="AS289" s="1176"/>
      <c r="AT289" s="1175"/>
      <c r="AU289" s="1175"/>
      <c r="AV289" s="1175"/>
      <c r="AW289" s="1176"/>
      <c r="AX289" s="1175"/>
      <c r="AY289" s="1175"/>
      <c r="AZ289" s="1175"/>
      <c r="BA289" s="1176"/>
      <c r="BB289" s="1871"/>
      <c r="BC289" s="1674"/>
      <c r="BD289" s="1674"/>
      <c r="BE289" s="1674"/>
      <c r="BF289" s="1674"/>
      <c r="BG289" s="1674"/>
      <c r="BH289" s="1674"/>
      <c r="BI289" s="1674"/>
      <c r="BJ289" s="1546"/>
      <c r="BK289" s="1709">
        <v>0.09</v>
      </c>
      <c r="BL289" s="1728"/>
      <c r="BM289" s="1674"/>
      <c r="BN289" s="1674"/>
      <c r="BO289" s="1674"/>
      <c r="BP289" s="1674"/>
      <c r="BR289" s="1723"/>
      <c r="BS289" s="1723"/>
      <c r="BT289" s="1723"/>
      <c r="BU289" s="1724"/>
    </row>
    <row r="290" spans="1:73" s="1722" customFormat="1" ht="11.65" customHeight="1">
      <c r="A290" s="1677" t="s">
        <v>591</v>
      </c>
      <c r="B290" s="836"/>
      <c r="C290" s="837"/>
      <c r="D290" s="837"/>
      <c r="E290" s="838"/>
      <c r="F290" s="837"/>
      <c r="G290" s="837"/>
      <c r="H290" s="837"/>
      <c r="I290" s="838"/>
      <c r="J290" s="837"/>
      <c r="K290" s="837"/>
      <c r="L290" s="837"/>
      <c r="M290" s="838"/>
      <c r="N290" s="836"/>
      <c r="O290" s="836"/>
      <c r="P290" s="836"/>
      <c r="Q290" s="1041"/>
      <c r="R290" s="836"/>
      <c r="S290" s="1720"/>
      <c r="T290" s="1720"/>
      <c r="U290" s="1721"/>
      <c r="V290" s="1720"/>
      <c r="W290" s="1720"/>
      <c r="X290" s="1720"/>
      <c r="Y290" s="1721"/>
      <c r="Z290" s="1720"/>
      <c r="AA290" s="1720"/>
      <c r="AB290" s="1720"/>
      <c r="AC290" s="1721"/>
      <c r="AD290" s="1720"/>
      <c r="AE290" s="1720"/>
      <c r="AF290" s="1720"/>
      <c r="AG290" s="1721"/>
      <c r="AH290" s="1720"/>
      <c r="AI290" s="1720"/>
      <c r="AJ290" s="1720"/>
      <c r="AK290" s="1744"/>
      <c r="AL290" s="1720"/>
      <c r="AM290" s="1720"/>
      <c r="AN290" s="1175"/>
      <c r="AO290" s="1176"/>
      <c r="AP290" s="1175"/>
      <c r="AQ290" s="1175"/>
      <c r="AR290" s="1175"/>
      <c r="AS290" s="1176"/>
      <c r="AT290" s="1175"/>
      <c r="AU290" s="1175"/>
      <c r="AV290" s="1175"/>
      <c r="AW290" s="1176"/>
      <c r="AX290" s="1175"/>
      <c r="AY290" s="1175"/>
      <c r="AZ290" s="1175"/>
      <c r="BA290" s="1176"/>
      <c r="BB290" s="1871"/>
      <c r="BC290" s="1674"/>
      <c r="BD290" s="1674"/>
      <c r="BE290" s="1674"/>
      <c r="BF290" s="1674"/>
      <c r="BG290" s="1674"/>
      <c r="BH290" s="1674"/>
      <c r="BI290" s="1674"/>
      <c r="BJ290" s="1546"/>
      <c r="BK290" s="1674"/>
      <c r="BL290" s="1715">
        <v>1.9</v>
      </c>
      <c r="BM290" s="1674"/>
      <c r="BN290" s="1674"/>
      <c r="BO290" s="1674"/>
      <c r="BP290" s="1674"/>
      <c r="BR290" s="1723"/>
      <c r="BS290" s="1723"/>
      <c r="BT290" s="1723"/>
      <c r="BU290" s="1724"/>
    </row>
    <row r="291" spans="1:73" s="1722" customFormat="1" ht="11.65" customHeight="1">
      <c r="A291" s="1677" t="s">
        <v>592</v>
      </c>
      <c r="B291" s="836"/>
      <c r="C291" s="837"/>
      <c r="D291" s="837"/>
      <c r="E291" s="838"/>
      <c r="F291" s="837"/>
      <c r="G291" s="837"/>
      <c r="H291" s="837"/>
      <c r="I291" s="838"/>
      <c r="J291" s="837"/>
      <c r="K291" s="837"/>
      <c r="L291" s="837"/>
      <c r="M291" s="838"/>
      <c r="N291" s="836"/>
      <c r="O291" s="836"/>
      <c r="P291" s="836"/>
      <c r="Q291" s="1041"/>
      <c r="R291" s="836"/>
      <c r="S291" s="1720"/>
      <c r="T291" s="1720"/>
      <c r="U291" s="1721"/>
      <c r="V291" s="1720"/>
      <c r="W291" s="1720"/>
      <c r="X291" s="1720"/>
      <c r="Y291" s="1721"/>
      <c r="Z291" s="1720"/>
      <c r="AA291" s="1720"/>
      <c r="AB291" s="1720"/>
      <c r="AC291" s="1721"/>
      <c r="AD291" s="1720"/>
      <c r="AE291" s="1720"/>
      <c r="AF291" s="1720"/>
      <c r="AG291" s="1721"/>
      <c r="AH291" s="1720"/>
      <c r="AI291" s="1720"/>
      <c r="AJ291" s="1720"/>
      <c r="AK291" s="1744"/>
      <c r="AL291" s="1720"/>
      <c r="AM291" s="1720"/>
      <c r="AN291" s="1175"/>
      <c r="AO291" s="1176"/>
      <c r="AP291" s="1175"/>
      <c r="AQ291" s="1175"/>
      <c r="AR291" s="1175"/>
      <c r="AS291" s="1176"/>
      <c r="AT291" s="1175"/>
      <c r="AU291" s="1175"/>
      <c r="AV291" s="1175"/>
      <c r="AW291" s="1176"/>
      <c r="AX291" s="1175"/>
      <c r="AY291" s="1175"/>
      <c r="AZ291" s="1175"/>
      <c r="BA291" s="1176"/>
      <c r="BB291" s="1871"/>
      <c r="BC291" s="1674"/>
      <c r="BD291" s="1674"/>
      <c r="BE291" s="1674"/>
      <c r="BF291" s="1674"/>
      <c r="BG291" s="1674"/>
      <c r="BH291" s="1674"/>
      <c r="BI291" s="1674"/>
      <c r="BJ291" s="1546"/>
      <c r="BK291" s="1674"/>
      <c r="BL291" s="1715">
        <v>0.8</v>
      </c>
      <c r="BM291" s="1674"/>
      <c r="BN291" s="1674"/>
      <c r="BO291" s="1674"/>
      <c r="BP291" s="1674"/>
      <c r="BR291" s="1723"/>
      <c r="BS291" s="1723"/>
      <c r="BT291" s="1723"/>
      <c r="BU291" s="1724"/>
    </row>
    <row r="292" spans="1:73" s="1722" customFormat="1" ht="11.65" customHeight="1">
      <c r="A292" s="1714" t="s">
        <v>593</v>
      </c>
      <c r="B292" s="836"/>
      <c r="C292" s="837"/>
      <c r="D292" s="837"/>
      <c r="E292" s="838"/>
      <c r="F292" s="837"/>
      <c r="G292" s="837"/>
      <c r="H292" s="837"/>
      <c r="I292" s="838"/>
      <c r="J292" s="837"/>
      <c r="K292" s="837"/>
      <c r="L292" s="837"/>
      <c r="M292" s="838"/>
      <c r="N292" s="836"/>
      <c r="O292" s="836"/>
      <c r="P292" s="836"/>
      <c r="Q292" s="1041"/>
      <c r="R292" s="836"/>
      <c r="S292" s="1720"/>
      <c r="T292" s="1720"/>
      <c r="U292" s="1721"/>
      <c r="V292" s="1720"/>
      <c r="W292" s="1720"/>
      <c r="X292" s="1720"/>
      <c r="Y292" s="1721"/>
      <c r="Z292" s="1720"/>
      <c r="AA292" s="1720"/>
      <c r="AB292" s="1720"/>
      <c r="AC292" s="1721"/>
      <c r="AD292" s="1720"/>
      <c r="AE292" s="1720"/>
      <c r="AF292" s="1720"/>
      <c r="AG292" s="1721"/>
      <c r="AH292" s="1720"/>
      <c r="AI292" s="1720"/>
      <c r="AJ292" s="1720"/>
      <c r="AK292" s="1744"/>
      <c r="AL292" s="1720"/>
      <c r="AM292" s="1720"/>
      <c r="AN292" s="1175"/>
      <c r="AO292" s="1176"/>
      <c r="AP292" s="1175"/>
      <c r="AQ292" s="1175"/>
      <c r="AR292" s="1175"/>
      <c r="AS292" s="1176"/>
      <c r="AT292" s="1175"/>
      <c r="AU292" s="1175"/>
      <c r="AV292" s="1175"/>
      <c r="AW292" s="1176"/>
      <c r="AX292" s="1175"/>
      <c r="AY292" s="1175"/>
      <c r="AZ292" s="1175"/>
      <c r="BA292" s="1176"/>
      <c r="BB292" s="1175"/>
      <c r="BC292" s="1674"/>
      <c r="BD292" s="1674"/>
      <c r="BE292" s="1674"/>
      <c r="BF292" s="1674"/>
      <c r="BG292" s="1674"/>
      <c r="BH292" s="1674"/>
      <c r="BI292" s="1674"/>
      <c r="BJ292" s="1546"/>
      <c r="BK292" s="1674"/>
      <c r="BL292" s="1728">
        <f>+BL291/BL290</f>
        <v>0.4210526315789474</v>
      </c>
      <c r="BM292" s="1674"/>
      <c r="BN292" s="1674"/>
      <c r="BO292" s="1674"/>
      <c r="BP292" s="1674"/>
      <c r="BR292" s="1723"/>
      <c r="BS292" s="1723"/>
      <c r="BT292" s="1723"/>
      <c r="BU292" s="1724"/>
    </row>
    <row r="293" spans="1:73" s="304" customFormat="1" ht="12">
      <c r="A293" s="1677" t="s">
        <v>511</v>
      </c>
      <c r="B293" s="836"/>
      <c r="C293" s="837"/>
      <c r="D293" s="837"/>
      <c r="E293" s="838"/>
      <c r="F293" s="837"/>
      <c r="G293" s="837"/>
      <c r="H293" s="837"/>
      <c r="I293" s="838"/>
      <c r="J293" s="837"/>
      <c r="K293" s="837"/>
      <c r="L293" s="837"/>
      <c r="M293" s="838"/>
      <c r="N293" s="836"/>
      <c r="O293" s="836"/>
      <c r="P293" s="836"/>
      <c r="Q293" s="1041"/>
      <c r="R293" s="836"/>
      <c r="S293" s="1294"/>
      <c r="T293" s="1294"/>
      <c r="U293" s="1557"/>
      <c r="V293" s="1294"/>
      <c r="W293" s="1294"/>
      <c r="X293" s="1294"/>
      <c r="Y293" s="1557"/>
      <c r="Z293" s="1294"/>
      <c r="AA293" s="1294"/>
      <c r="AB293" s="1294"/>
      <c r="AC293" s="1557"/>
      <c r="AD293" s="1294"/>
      <c r="AE293" s="1294"/>
      <c r="AF293" s="1294"/>
      <c r="AG293" s="1557"/>
      <c r="AH293" s="1294"/>
      <c r="AI293" s="1294"/>
      <c r="AJ293" s="1294"/>
      <c r="AK293" s="1557"/>
      <c r="AL293" s="1294"/>
      <c r="AM293" s="1294"/>
      <c r="AN293" s="1678">
        <v>0.4</v>
      </c>
      <c r="AO293" s="401"/>
      <c r="AP293" s="398"/>
      <c r="AQ293" s="398"/>
      <c r="AR293" s="398"/>
      <c r="AS293" s="401"/>
      <c r="AT293" s="398"/>
      <c r="AU293" s="398"/>
      <c r="AV293" s="398"/>
      <c r="AW293" s="401"/>
      <c r="AX293" s="398"/>
      <c r="AY293" s="398"/>
      <c r="AZ293" s="398"/>
      <c r="BA293" s="401"/>
      <c r="BB293" s="398"/>
      <c r="BC293" s="1674"/>
      <c r="BD293" s="1674"/>
      <c r="BE293" s="1674"/>
      <c r="BF293" s="1674"/>
      <c r="BG293" s="1674"/>
      <c r="BH293" s="1674"/>
      <c r="BI293" s="1674"/>
      <c r="BJ293" s="1546"/>
      <c r="BK293" s="1674"/>
      <c r="BL293" s="1674"/>
      <c r="BM293" s="1674"/>
      <c r="BN293" s="1674"/>
      <c r="BO293" s="1674"/>
      <c r="BP293" s="1674"/>
      <c r="BR293" s="1483"/>
      <c r="BS293" s="1483"/>
      <c r="BT293" s="1483"/>
      <c r="BU293" s="1675"/>
    </row>
    <row r="294" spans="1:73" s="304" customFormat="1" ht="12">
      <c r="A294" s="1677" t="s">
        <v>512</v>
      </c>
      <c r="B294" s="836"/>
      <c r="C294" s="837"/>
      <c r="D294" s="837"/>
      <c r="E294" s="838"/>
      <c r="F294" s="837"/>
      <c r="G294" s="837"/>
      <c r="H294" s="837"/>
      <c r="I294" s="838"/>
      <c r="J294" s="837"/>
      <c r="K294" s="837"/>
      <c r="L294" s="837"/>
      <c r="M294" s="838"/>
      <c r="N294" s="836"/>
      <c r="O294" s="836"/>
      <c r="P294" s="836"/>
      <c r="Q294" s="1041"/>
      <c r="R294" s="836"/>
      <c r="S294" s="1294"/>
      <c r="T294" s="1294"/>
      <c r="U294" s="1557"/>
      <c r="V294" s="1294"/>
      <c r="W294" s="1294"/>
      <c r="X294" s="1294"/>
      <c r="Y294" s="1557"/>
      <c r="Z294" s="1294"/>
      <c r="AA294" s="1294"/>
      <c r="AB294" s="1294"/>
      <c r="AC294" s="1557"/>
      <c r="AD294" s="1294"/>
      <c r="AE294" s="1294"/>
      <c r="AF294" s="1294"/>
      <c r="AG294" s="1557"/>
      <c r="AH294" s="1294"/>
      <c r="AI294" s="1294"/>
      <c r="AJ294" s="1294"/>
      <c r="AK294" s="1557"/>
      <c r="AL294" s="1294"/>
      <c r="AM294" s="1294"/>
      <c r="AN294" s="1678">
        <v>0.17</v>
      </c>
      <c r="AO294" s="401"/>
      <c r="AP294" s="398"/>
      <c r="AQ294" s="398"/>
      <c r="AR294" s="398"/>
      <c r="AS294" s="401"/>
      <c r="AT294" s="398"/>
      <c r="AU294" s="398"/>
      <c r="AV294" s="398"/>
      <c r="AW294" s="401"/>
      <c r="AX294" s="398"/>
      <c r="AY294" s="398"/>
      <c r="AZ294" s="398"/>
      <c r="BA294" s="401"/>
      <c r="BB294" s="398"/>
      <c r="BC294" s="1674"/>
      <c r="BD294" s="1674"/>
      <c r="BE294" s="1674"/>
      <c r="BF294" s="1674"/>
      <c r="BG294" s="1674"/>
      <c r="BH294" s="1674"/>
      <c r="BI294" s="1674"/>
      <c r="BJ294" s="1546"/>
      <c r="BK294" s="1674"/>
      <c r="BL294" s="1674"/>
      <c r="BM294" s="1674"/>
      <c r="BN294" s="1674"/>
      <c r="BO294" s="1674"/>
      <c r="BP294" s="1674"/>
      <c r="BR294" s="1483"/>
      <c r="BS294" s="1483"/>
      <c r="BT294" s="1483"/>
      <c r="BU294" s="1675"/>
    </row>
    <row r="295" spans="1:73" s="304" customFormat="1" ht="11.25" customHeight="1">
      <c r="A295" s="1677" t="s">
        <v>630</v>
      </c>
      <c r="B295" s="836"/>
      <c r="C295" s="837"/>
      <c r="D295" s="837"/>
      <c r="E295" s="838"/>
      <c r="F295" s="837"/>
      <c r="G295" s="837"/>
      <c r="H295" s="837"/>
      <c r="I295" s="838"/>
      <c r="J295" s="837"/>
      <c r="K295" s="837"/>
      <c r="L295" s="837"/>
      <c r="M295" s="838"/>
      <c r="N295" s="836"/>
      <c r="O295" s="836"/>
      <c r="P295" s="836"/>
      <c r="Q295" s="1041"/>
      <c r="R295" s="836"/>
      <c r="S295" s="1294"/>
      <c r="T295" s="1294"/>
      <c r="U295" s="1557"/>
      <c r="V295" s="1294"/>
      <c r="W295" s="1294"/>
      <c r="X295" s="1294"/>
      <c r="Y295" s="1557"/>
      <c r="Z295" s="1294"/>
      <c r="AA295" s="1294"/>
      <c r="AB295" s="1294"/>
      <c r="AC295" s="1557"/>
      <c r="AD295" s="1294"/>
      <c r="AE295" s="1294"/>
      <c r="AF295" s="1294"/>
      <c r="AG295" s="1557"/>
      <c r="AH295" s="1294"/>
      <c r="AI295" s="1294"/>
      <c r="AJ295" s="1294"/>
      <c r="AK295" s="1557"/>
      <c r="AL295" s="1294"/>
      <c r="AM295" s="1294"/>
      <c r="AN295" s="398"/>
      <c r="AO295" s="401"/>
      <c r="AP295" s="398"/>
      <c r="AQ295" s="398"/>
      <c r="AR295" s="398"/>
      <c r="AS295" s="401"/>
      <c r="AT295" s="398"/>
      <c r="AU295" s="398"/>
      <c r="AV295" s="398"/>
      <c r="AW295" s="401"/>
      <c r="AX295" s="398"/>
      <c r="AY295" s="398"/>
      <c r="AZ295" s="398"/>
      <c r="BA295" s="401"/>
      <c r="BB295" s="398"/>
      <c r="BC295" s="1674"/>
      <c r="BD295" s="1674"/>
      <c r="BE295" s="1674"/>
      <c r="BF295" s="1674"/>
      <c r="BG295" s="1674"/>
      <c r="BH295" s="1674"/>
      <c r="BI295" s="1674"/>
      <c r="BJ295" s="1546"/>
      <c r="BK295" s="1674"/>
      <c r="BL295" s="1676">
        <v>48000</v>
      </c>
      <c r="BM295" s="1674"/>
      <c r="BN295" s="1674"/>
      <c r="BO295" s="1674"/>
      <c r="BP295" s="1674"/>
      <c r="BR295" s="1483"/>
      <c r="BS295" s="1483"/>
      <c r="BT295" s="1483"/>
      <c r="BU295" s="1675"/>
    </row>
    <row r="296" spans="1:73" s="304" customFormat="1" ht="11.25" customHeight="1">
      <c r="A296" s="1677" t="s">
        <v>631</v>
      </c>
      <c r="B296" s="836"/>
      <c r="C296" s="837"/>
      <c r="D296" s="837"/>
      <c r="E296" s="838"/>
      <c r="F296" s="837"/>
      <c r="G296" s="837"/>
      <c r="H296" s="837"/>
      <c r="I296" s="838"/>
      <c r="J296" s="837"/>
      <c r="K296" s="837"/>
      <c r="L296" s="837"/>
      <c r="M296" s="838"/>
      <c r="N296" s="836"/>
      <c r="O296" s="836"/>
      <c r="P296" s="836"/>
      <c r="Q296" s="1041"/>
      <c r="R296" s="836"/>
      <c r="S296" s="1294"/>
      <c r="T296" s="1294"/>
      <c r="U296" s="1557"/>
      <c r="V296" s="1294"/>
      <c r="W296" s="1294"/>
      <c r="X296" s="1294"/>
      <c r="Y296" s="1557"/>
      <c r="Z296" s="1294"/>
      <c r="AA296" s="1294"/>
      <c r="AB296" s="1294"/>
      <c r="AC296" s="1557"/>
      <c r="AD296" s="1294"/>
      <c r="AE296" s="1294"/>
      <c r="AF296" s="1294"/>
      <c r="AG296" s="1557"/>
      <c r="AH296" s="1294"/>
      <c r="AI296" s="1294"/>
      <c r="AJ296" s="1294"/>
      <c r="AK296" s="1557"/>
      <c r="AL296" s="1294"/>
      <c r="AM296" s="1294"/>
      <c r="AN296" s="398"/>
      <c r="AO296" s="401"/>
      <c r="AP296" s="398"/>
      <c r="AQ296" s="398"/>
      <c r="AR296" s="398"/>
      <c r="AS296" s="401"/>
      <c r="AT296" s="398"/>
      <c r="AU296" s="398"/>
      <c r="AV296" s="398"/>
      <c r="AW296" s="401"/>
      <c r="AX296" s="398"/>
      <c r="AY296" s="398"/>
      <c r="AZ296" s="398"/>
      <c r="BA296" s="401"/>
      <c r="BB296" s="398"/>
      <c r="BC296" s="1674"/>
      <c r="BD296" s="1674"/>
      <c r="BE296" s="1674"/>
      <c r="BF296" s="1674"/>
      <c r="BG296" s="1674"/>
      <c r="BH296" s="1674"/>
      <c r="BI296" s="1674"/>
      <c r="BJ296" s="1546"/>
      <c r="BK296" s="1674"/>
      <c r="BL296" s="1676">
        <v>48000</v>
      </c>
      <c r="BM296" s="1674"/>
      <c r="BN296" s="1674"/>
      <c r="BO296" s="1674"/>
      <c r="BP296" s="1674"/>
      <c r="BR296" s="1483"/>
      <c r="BS296" s="1483"/>
      <c r="BT296" s="1483"/>
      <c r="BU296" s="1675"/>
    </row>
    <row r="297" spans="1:73" s="304" customFormat="1" ht="12" customHeight="1">
      <c r="A297" s="1547"/>
      <c r="B297" s="836"/>
      <c r="C297" s="837"/>
      <c r="D297" s="837"/>
      <c r="E297" s="838"/>
      <c r="F297" s="837"/>
      <c r="G297" s="837"/>
      <c r="H297" s="837"/>
      <c r="I297" s="838"/>
      <c r="J297" s="837"/>
      <c r="K297" s="837"/>
      <c r="L297" s="837"/>
      <c r="M297" s="838"/>
      <c r="N297" s="836"/>
      <c r="O297" s="836"/>
      <c r="P297" s="836"/>
      <c r="Q297" s="1041"/>
      <c r="R297" s="836"/>
      <c r="S297" s="1294"/>
      <c r="T297" s="1294"/>
      <c r="U297" s="1557"/>
      <c r="V297" s="1294"/>
      <c r="W297" s="1294"/>
      <c r="X297" s="1294"/>
      <c r="Y297" s="1557"/>
      <c r="Z297" s="1294"/>
      <c r="AA297" s="1294"/>
      <c r="AB297" s="1294"/>
      <c r="AC297" s="1557"/>
      <c r="AD297" s="1294"/>
      <c r="AE297" s="1294"/>
      <c r="AF297" s="1294"/>
      <c r="AG297" s="1557"/>
      <c r="AH297" s="1294"/>
      <c r="AI297" s="1294"/>
      <c r="AJ297" s="1294"/>
      <c r="AK297" s="1557"/>
      <c r="AL297" s="1294"/>
      <c r="AM297" s="1294"/>
      <c r="AN297" s="398"/>
      <c r="AO297" s="401"/>
      <c r="AP297" s="398"/>
      <c r="AQ297" s="398"/>
      <c r="AR297" s="398"/>
      <c r="AS297" s="401"/>
      <c r="AT297" s="398"/>
      <c r="AU297" s="398"/>
      <c r="AV297" s="398"/>
      <c r="AW297" s="401"/>
      <c r="AX297" s="398"/>
      <c r="AY297" s="398"/>
      <c r="AZ297" s="398"/>
      <c r="BA297" s="401"/>
      <c r="BB297" s="398"/>
      <c r="BC297" s="1674"/>
      <c r="BD297" s="1674"/>
      <c r="BE297" s="1674"/>
      <c r="BF297" s="1674"/>
      <c r="BG297" s="1674"/>
      <c r="BH297" s="1674"/>
      <c r="BI297" s="1674"/>
      <c r="BJ297" s="1546"/>
      <c r="BK297" s="1674"/>
      <c r="BL297" s="1674"/>
      <c r="BM297" s="1674"/>
      <c r="BN297" s="1674"/>
      <c r="BO297" s="1674"/>
      <c r="BP297" s="1674"/>
      <c r="BR297" s="1483"/>
      <c r="BS297" s="1483"/>
      <c r="BT297" s="1483"/>
      <c r="BU297" s="1675"/>
    </row>
    <row r="298" spans="1:73" s="304" customFormat="1" ht="11.65" customHeight="1">
      <c r="A298" s="1547" t="s">
        <v>679</v>
      </c>
      <c r="B298" s="836"/>
      <c r="C298" s="837"/>
      <c r="D298" s="837"/>
      <c r="E298" s="838"/>
      <c r="F298" s="837"/>
      <c r="G298" s="837"/>
      <c r="H298" s="837"/>
      <c r="I298" s="838"/>
      <c r="J298" s="837"/>
      <c r="K298" s="837"/>
      <c r="L298" s="837"/>
      <c r="M298" s="838"/>
      <c r="N298" s="836"/>
      <c r="O298" s="836"/>
      <c r="P298" s="836"/>
      <c r="Q298" s="1041"/>
      <c r="R298" s="836"/>
      <c r="S298" s="1294"/>
      <c r="T298" s="1294"/>
      <c r="U298" s="1557"/>
      <c r="V298" s="1294"/>
      <c r="W298" s="1294"/>
      <c r="X298" s="1294"/>
      <c r="Y298" s="1557"/>
      <c r="Z298" s="1294"/>
      <c r="AA298" s="1294"/>
      <c r="AB298" s="1294"/>
      <c r="AC298" s="1557"/>
      <c r="AD298" s="1294"/>
      <c r="AE298" s="1294"/>
      <c r="AF298" s="1294"/>
      <c r="AG298" s="1557"/>
      <c r="AH298" s="1294"/>
      <c r="AI298" s="1294"/>
      <c r="AJ298" s="1294"/>
      <c r="AK298" s="1557"/>
      <c r="AL298" s="1294"/>
      <c r="AM298" s="1294"/>
      <c r="AN298" s="398"/>
      <c r="AO298" s="401"/>
      <c r="AP298" s="398"/>
      <c r="AQ298" s="398"/>
      <c r="AR298" s="398"/>
      <c r="AS298" s="401"/>
      <c r="AT298" s="398"/>
      <c r="AU298" s="398"/>
      <c r="AV298" s="398"/>
      <c r="AW298" s="401"/>
      <c r="AX298" s="398"/>
      <c r="AY298" s="398"/>
      <c r="AZ298" s="398"/>
      <c r="BA298" s="401"/>
      <c r="BB298" s="398"/>
      <c r="BC298" s="1674"/>
      <c r="BD298" s="1674"/>
      <c r="BE298" s="1674"/>
      <c r="BF298" s="1674"/>
      <c r="BG298" s="1674"/>
      <c r="BH298" s="1674"/>
      <c r="BI298" s="1674"/>
      <c r="BJ298" s="1546"/>
      <c r="BK298" s="1674"/>
      <c r="BL298" s="1674"/>
      <c r="BM298" s="1674"/>
      <c r="BN298" s="1674"/>
      <c r="BO298" s="1674"/>
      <c r="BP298" s="1674"/>
      <c r="BR298" s="1483"/>
      <c r="BS298" s="1483"/>
      <c r="BT298" s="1483"/>
      <c r="BU298" s="1675"/>
    </row>
    <row r="299" spans="1:73" s="304" customFormat="1" ht="11.65" customHeight="1">
      <c r="A299" s="1677" t="s">
        <v>590</v>
      </c>
      <c r="B299" s="836"/>
      <c r="C299" s="837"/>
      <c r="D299" s="837"/>
      <c r="E299" s="838"/>
      <c r="F299" s="837"/>
      <c r="G299" s="837"/>
      <c r="H299" s="837"/>
      <c r="I299" s="838"/>
      <c r="J299" s="837"/>
      <c r="K299" s="837"/>
      <c r="L299" s="837"/>
      <c r="M299" s="838"/>
      <c r="N299" s="836"/>
      <c r="O299" s="836"/>
      <c r="P299" s="836"/>
      <c r="Q299" s="1041"/>
      <c r="R299" s="836"/>
      <c r="S299" s="1294"/>
      <c r="T299" s="1294"/>
      <c r="U299" s="1557"/>
      <c r="V299" s="1294"/>
      <c r="W299" s="1294"/>
      <c r="X299" s="1294"/>
      <c r="Y299" s="1557"/>
      <c r="Z299" s="1294"/>
      <c r="AA299" s="1294"/>
      <c r="AB299" s="1294"/>
      <c r="AC299" s="1557"/>
      <c r="AD299" s="1294"/>
      <c r="AE299" s="1294"/>
      <c r="AF299" s="1294"/>
      <c r="AG299" s="1557"/>
      <c r="AH299" s="1294"/>
      <c r="AI299" s="1294"/>
      <c r="AJ299" s="1294"/>
      <c r="AK299" s="1717"/>
      <c r="AL299" s="1294"/>
      <c r="AM299" s="1294"/>
      <c r="AN299" s="398"/>
      <c r="AO299" s="401"/>
      <c r="AP299" s="398"/>
      <c r="AQ299" s="398"/>
      <c r="AR299" s="398"/>
      <c r="AS299" s="401"/>
      <c r="AT299" s="398"/>
      <c r="AU299" s="398"/>
      <c r="AV299" s="398"/>
      <c r="AW299" s="401"/>
      <c r="AX299" s="398"/>
      <c r="AY299" s="398"/>
      <c r="AZ299" s="398"/>
      <c r="BA299" s="401"/>
      <c r="BB299" s="1799"/>
      <c r="BC299" s="1674"/>
      <c r="BD299" s="1674"/>
      <c r="BE299" s="1674"/>
      <c r="BF299" s="1674"/>
      <c r="BG299" s="1674"/>
      <c r="BH299" s="1674"/>
      <c r="BI299" s="1674"/>
      <c r="BJ299" s="1546"/>
      <c r="BK299" s="1674"/>
      <c r="BL299" s="1719"/>
      <c r="BM299" s="1674"/>
      <c r="BN299" s="1674"/>
      <c r="BO299" s="1674"/>
      <c r="BP299" s="1674"/>
      <c r="BR299" s="1483"/>
      <c r="BS299" s="1483"/>
      <c r="BT299" s="1483"/>
      <c r="BU299" s="1675"/>
    </row>
    <row r="300" spans="1:73" s="1722" customFormat="1" ht="11.65" customHeight="1">
      <c r="A300" s="1714" t="s">
        <v>507</v>
      </c>
      <c r="B300" s="836"/>
      <c r="C300" s="837"/>
      <c r="D300" s="837"/>
      <c r="E300" s="838"/>
      <c r="F300" s="837"/>
      <c r="G300" s="837"/>
      <c r="H300" s="837"/>
      <c r="I300" s="838"/>
      <c r="J300" s="837"/>
      <c r="K300" s="837"/>
      <c r="L300" s="837"/>
      <c r="M300" s="838"/>
      <c r="N300" s="836"/>
      <c r="O300" s="836"/>
      <c r="P300" s="836"/>
      <c r="Q300" s="1041"/>
      <c r="R300" s="836"/>
      <c r="S300" s="1720"/>
      <c r="T300" s="1720"/>
      <c r="U300" s="1721"/>
      <c r="V300" s="1720"/>
      <c r="W300" s="1720"/>
      <c r="X300" s="1720"/>
      <c r="Y300" s="1721"/>
      <c r="Z300" s="1720"/>
      <c r="AA300" s="1720"/>
      <c r="AB300" s="1720"/>
      <c r="AC300" s="1721"/>
      <c r="AD300" s="1720"/>
      <c r="AE300" s="1720"/>
      <c r="AF300" s="1720"/>
      <c r="AG300" s="1721"/>
      <c r="AH300" s="1720"/>
      <c r="AI300" s="1720"/>
      <c r="AJ300" s="1720"/>
      <c r="AK300" s="1744"/>
      <c r="AL300" s="1720"/>
      <c r="AM300" s="1720"/>
      <c r="AN300" s="1175"/>
      <c r="AO300" s="1176"/>
      <c r="AP300" s="1175"/>
      <c r="AQ300" s="1175"/>
      <c r="AR300" s="1175"/>
      <c r="AS300" s="1176"/>
      <c r="AT300" s="1175"/>
      <c r="AU300" s="1175"/>
      <c r="AV300" s="1175"/>
      <c r="AW300" s="1176"/>
      <c r="AX300" s="1175"/>
      <c r="AY300" s="1175"/>
      <c r="AZ300" s="1175"/>
      <c r="BA300" s="1176"/>
      <c r="BB300" s="1871"/>
      <c r="BC300" s="1674"/>
      <c r="BD300" s="1674"/>
      <c r="BE300" s="1674"/>
      <c r="BF300" s="1674"/>
      <c r="BG300" s="1674"/>
      <c r="BH300" s="1674"/>
      <c r="BI300" s="1674"/>
      <c r="BJ300" s="1546"/>
      <c r="BK300" s="1728">
        <v>4</v>
      </c>
      <c r="BL300" s="1728">
        <v>0.69</v>
      </c>
      <c r="BM300" s="1674"/>
      <c r="BN300" s="1674"/>
      <c r="BO300" s="1674"/>
      <c r="BP300" s="1674"/>
      <c r="BR300" s="1723"/>
      <c r="BS300" s="1723"/>
      <c r="BT300" s="1723"/>
      <c r="BU300" s="1724"/>
    </row>
    <row r="301" spans="1:73" s="304" customFormat="1" ht="11.65" customHeight="1">
      <c r="A301" s="1677" t="s">
        <v>546</v>
      </c>
      <c r="B301" s="836"/>
      <c r="C301" s="837"/>
      <c r="D301" s="837"/>
      <c r="E301" s="838"/>
      <c r="F301" s="837"/>
      <c r="G301" s="837"/>
      <c r="H301" s="837"/>
      <c r="I301" s="838"/>
      <c r="J301" s="837"/>
      <c r="K301" s="837"/>
      <c r="L301" s="837"/>
      <c r="M301" s="838"/>
      <c r="N301" s="836"/>
      <c r="O301" s="836"/>
      <c r="P301" s="836"/>
      <c r="Q301" s="1041"/>
      <c r="R301" s="836"/>
      <c r="S301" s="1294"/>
      <c r="T301" s="1294"/>
      <c r="U301" s="1557"/>
      <c r="V301" s="1294"/>
      <c r="W301" s="1294"/>
      <c r="X301" s="1294"/>
      <c r="Y301" s="1557"/>
      <c r="Z301" s="1294"/>
      <c r="AA301" s="1294"/>
      <c r="AB301" s="1294"/>
      <c r="AC301" s="1557"/>
      <c r="AD301" s="1294"/>
      <c r="AE301" s="1294"/>
      <c r="AF301" s="1294"/>
      <c r="AG301" s="1557"/>
      <c r="AH301" s="1294"/>
      <c r="AI301" s="1294"/>
      <c r="AJ301" s="1294"/>
      <c r="AK301" s="1557"/>
      <c r="AL301" s="1294"/>
      <c r="AM301" s="1294"/>
      <c r="AN301" s="398"/>
      <c r="AO301" s="401"/>
      <c r="AP301" s="398"/>
      <c r="AQ301" s="398"/>
      <c r="AR301" s="398"/>
      <c r="AS301" s="401"/>
      <c r="AT301" s="398"/>
      <c r="AU301" s="398"/>
      <c r="AV301" s="398"/>
      <c r="AW301" s="401"/>
      <c r="AX301" s="398"/>
      <c r="AY301" s="398"/>
      <c r="AZ301" s="398"/>
      <c r="BA301" s="401"/>
      <c r="BB301" s="1799"/>
      <c r="BC301" s="1674"/>
      <c r="BD301" s="1674"/>
      <c r="BE301" s="1674"/>
      <c r="BF301" s="1674"/>
      <c r="BG301" s="1674"/>
      <c r="BH301" s="1674"/>
      <c r="BI301" s="1674"/>
      <c r="BJ301" s="1546"/>
      <c r="BK301" s="1726">
        <v>0.82</v>
      </c>
      <c r="BL301" s="1726">
        <v>0.84</v>
      </c>
      <c r="BM301" s="1674"/>
      <c r="BN301" s="1674"/>
      <c r="BO301" s="1674"/>
      <c r="BP301" s="1674"/>
      <c r="BR301" s="1483"/>
      <c r="BS301" s="1483"/>
      <c r="BT301" s="1483"/>
      <c r="BU301" s="1675"/>
    </row>
    <row r="302" spans="1:73" s="304" customFormat="1" ht="11.65" customHeight="1">
      <c r="A302" s="1677" t="s">
        <v>558</v>
      </c>
      <c r="B302" s="836"/>
      <c r="C302" s="837"/>
      <c r="D302" s="837"/>
      <c r="E302" s="838"/>
      <c r="F302" s="837"/>
      <c r="G302" s="837"/>
      <c r="H302" s="837"/>
      <c r="I302" s="838"/>
      <c r="J302" s="837"/>
      <c r="K302" s="837"/>
      <c r="L302" s="837"/>
      <c r="M302" s="838"/>
      <c r="N302" s="836"/>
      <c r="O302" s="836"/>
      <c r="P302" s="836"/>
      <c r="Q302" s="1041"/>
      <c r="R302" s="836"/>
      <c r="S302" s="1294"/>
      <c r="T302" s="1294"/>
      <c r="U302" s="1557"/>
      <c r="V302" s="1294"/>
      <c r="W302" s="1294"/>
      <c r="X302" s="1294"/>
      <c r="Y302" s="1557"/>
      <c r="Z302" s="1294"/>
      <c r="AA302" s="1294"/>
      <c r="AB302" s="1294"/>
      <c r="AC302" s="1557"/>
      <c r="AD302" s="1294"/>
      <c r="AE302" s="1294"/>
      <c r="AF302" s="1294"/>
      <c r="AG302" s="1557"/>
      <c r="AH302" s="1294"/>
      <c r="AI302" s="1294"/>
      <c r="AJ302" s="1294"/>
      <c r="AK302" s="1557"/>
      <c r="AL302" s="1294"/>
      <c r="AM302" s="1294"/>
      <c r="AN302" s="398"/>
      <c r="AO302" s="401"/>
      <c r="AP302" s="398"/>
      <c r="AQ302" s="398"/>
      <c r="AR302" s="398"/>
      <c r="AS302" s="401"/>
      <c r="AT302" s="398"/>
      <c r="AU302" s="398"/>
      <c r="AV302" s="398"/>
      <c r="AW302" s="401"/>
      <c r="AX302" s="398"/>
      <c r="AY302" s="398"/>
      <c r="AZ302" s="398"/>
      <c r="BA302" s="401"/>
      <c r="BB302" s="1799"/>
      <c r="BC302" s="1674"/>
      <c r="BD302" s="1674"/>
      <c r="BE302" s="1674"/>
      <c r="BF302" s="1674"/>
      <c r="BG302" s="1674"/>
      <c r="BH302" s="1674"/>
      <c r="BI302" s="1674"/>
      <c r="BJ302" s="1546"/>
      <c r="BK302" s="1674"/>
      <c r="BL302" s="1725"/>
      <c r="BM302" s="1674"/>
      <c r="BN302" s="1674"/>
      <c r="BO302" s="1674"/>
      <c r="BP302" s="1674"/>
      <c r="BR302" s="1483"/>
      <c r="BS302" s="1483"/>
      <c r="BT302" s="1483"/>
      <c r="BU302" s="1675"/>
    </row>
    <row r="303" spans="1:73" s="1722" customFormat="1" ht="11.65" customHeight="1">
      <c r="A303" s="1714" t="s">
        <v>507</v>
      </c>
      <c r="B303" s="836"/>
      <c r="C303" s="837"/>
      <c r="D303" s="837"/>
      <c r="E303" s="838"/>
      <c r="F303" s="837"/>
      <c r="G303" s="837"/>
      <c r="H303" s="837"/>
      <c r="I303" s="838"/>
      <c r="J303" s="837"/>
      <c r="K303" s="837"/>
      <c r="L303" s="837"/>
      <c r="M303" s="838"/>
      <c r="N303" s="836"/>
      <c r="O303" s="836"/>
      <c r="P303" s="836"/>
      <c r="Q303" s="1041"/>
      <c r="R303" s="836"/>
      <c r="S303" s="1720"/>
      <c r="T303" s="1720"/>
      <c r="U303" s="1721"/>
      <c r="V303" s="1720"/>
      <c r="W303" s="1720"/>
      <c r="X303" s="1720"/>
      <c r="Y303" s="1721"/>
      <c r="Z303" s="1720"/>
      <c r="AA303" s="1720"/>
      <c r="AB303" s="1720"/>
      <c r="AC303" s="1721"/>
      <c r="AD303" s="1720"/>
      <c r="AE303" s="1720"/>
      <c r="AF303" s="1720"/>
      <c r="AG303" s="1721"/>
      <c r="AH303" s="1720"/>
      <c r="AI303" s="1720"/>
      <c r="AJ303" s="1720"/>
      <c r="AK303" s="1721"/>
      <c r="AL303" s="1720"/>
      <c r="AM303" s="1720"/>
      <c r="AN303" s="1175"/>
      <c r="AO303" s="1176"/>
      <c r="AP303" s="1175"/>
      <c r="AQ303" s="1175"/>
      <c r="AR303" s="1175"/>
      <c r="AS303" s="1176"/>
      <c r="AT303" s="1175"/>
      <c r="AU303" s="1175"/>
      <c r="AV303" s="1175"/>
      <c r="AW303" s="1176"/>
      <c r="AX303" s="1175"/>
      <c r="AY303" s="1175"/>
      <c r="AZ303" s="1175"/>
      <c r="BA303" s="1176"/>
      <c r="BB303" s="1871"/>
      <c r="BC303" s="1674"/>
      <c r="BD303" s="1674"/>
      <c r="BE303" s="1674"/>
      <c r="BF303" s="1674"/>
      <c r="BG303" s="1674"/>
      <c r="BH303" s="1674"/>
      <c r="BI303" s="1674"/>
      <c r="BJ303" s="1546"/>
      <c r="BK303" s="1674"/>
      <c r="BL303" s="1708">
        <v>0.36</v>
      </c>
      <c r="BM303" s="1674"/>
      <c r="BN303" s="1674"/>
      <c r="BO303" s="1674"/>
      <c r="BP303" s="1674"/>
      <c r="BR303" s="1723"/>
      <c r="BS303" s="1723"/>
      <c r="BT303" s="1723"/>
      <c r="BU303" s="1724"/>
    </row>
    <row r="304" spans="1:73" s="304" customFormat="1" ht="11.65" customHeight="1">
      <c r="A304" s="1677" t="s">
        <v>547</v>
      </c>
      <c r="B304" s="836"/>
      <c r="C304" s="837"/>
      <c r="D304" s="837"/>
      <c r="E304" s="838"/>
      <c r="F304" s="837"/>
      <c r="G304" s="837"/>
      <c r="H304" s="837"/>
      <c r="I304" s="838"/>
      <c r="J304" s="837"/>
      <c r="K304" s="837"/>
      <c r="L304" s="837"/>
      <c r="M304" s="838"/>
      <c r="N304" s="836"/>
      <c r="O304" s="836"/>
      <c r="P304" s="836"/>
      <c r="Q304" s="1041"/>
      <c r="R304" s="836"/>
      <c r="S304" s="1294"/>
      <c r="T304" s="1294"/>
      <c r="U304" s="1557"/>
      <c r="V304" s="1294"/>
      <c r="W304" s="1294"/>
      <c r="X304" s="1294"/>
      <c r="Y304" s="1557"/>
      <c r="Z304" s="1294"/>
      <c r="AA304" s="1294"/>
      <c r="AB304" s="1294"/>
      <c r="AC304" s="1557"/>
      <c r="AD304" s="1294"/>
      <c r="AE304" s="1294"/>
      <c r="AF304" s="1294"/>
      <c r="AG304" s="1557"/>
      <c r="AH304" s="1294"/>
      <c r="AI304" s="1294"/>
      <c r="AJ304" s="1294"/>
      <c r="AK304" s="1557"/>
      <c r="AL304" s="1294"/>
      <c r="AM304" s="1294"/>
      <c r="AN304" s="398"/>
      <c r="AO304" s="401"/>
      <c r="AP304" s="398"/>
      <c r="AQ304" s="398"/>
      <c r="AR304" s="398"/>
      <c r="AS304" s="401"/>
      <c r="AT304" s="398"/>
      <c r="AU304" s="398"/>
      <c r="AV304" s="398"/>
      <c r="AW304" s="401"/>
      <c r="AX304" s="398"/>
      <c r="AY304" s="398"/>
      <c r="AZ304" s="398"/>
      <c r="BA304" s="401"/>
      <c r="BB304" s="1799"/>
      <c r="BC304" s="1674"/>
      <c r="BD304" s="1674"/>
      <c r="BE304" s="1674"/>
      <c r="BF304" s="1674"/>
      <c r="BG304" s="1674"/>
      <c r="BH304" s="1674"/>
      <c r="BI304" s="1674"/>
      <c r="BJ304" s="1546"/>
      <c r="BK304" s="1708"/>
      <c r="BL304" s="1726">
        <v>5</v>
      </c>
      <c r="BM304" s="1674"/>
      <c r="BN304" s="1674"/>
      <c r="BO304" s="1674"/>
      <c r="BP304" s="1674"/>
      <c r="BR304" s="1483"/>
      <c r="BS304" s="1483"/>
      <c r="BT304" s="1483"/>
      <c r="BU304" s="1675"/>
    </row>
    <row r="305" spans="1:73" s="304" customFormat="1" ht="11.65" customHeight="1">
      <c r="A305" s="1677" t="s">
        <v>559</v>
      </c>
      <c r="B305" s="836"/>
      <c r="C305" s="837"/>
      <c r="D305" s="837"/>
      <c r="E305" s="838"/>
      <c r="F305" s="837"/>
      <c r="G305" s="837"/>
      <c r="H305" s="837"/>
      <c r="I305" s="838"/>
      <c r="J305" s="837"/>
      <c r="K305" s="837"/>
      <c r="L305" s="837"/>
      <c r="M305" s="838"/>
      <c r="N305" s="836"/>
      <c r="O305" s="836"/>
      <c r="P305" s="836"/>
      <c r="Q305" s="1041"/>
      <c r="R305" s="836"/>
      <c r="S305" s="1294"/>
      <c r="T305" s="1294"/>
      <c r="U305" s="1557"/>
      <c r="V305" s="1294"/>
      <c r="W305" s="1294"/>
      <c r="X305" s="1294"/>
      <c r="Y305" s="1557"/>
      <c r="Z305" s="1294"/>
      <c r="AA305" s="1294"/>
      <c r="AB305" s="1294"/>
      <c r="AC305" s="1557"/>
      <c r="AD305" s="1294"/>
      <c r="AE305" s="1294"/>
      <c r="AF305" s="1294"/>
      <c r="AG305" s="1557"/>
      <c r="AH305" s="1294"/>
      <c r="AI305" s="1294"/>
      <c r="AJ305" s="1294"/>
      <c r="AK305" s="1557"/>
      <c r="AL305" s="1294"/>
      <c r="AM305" s="1294"/>
      <c r="AN305" s="398"/>
      <c r="AO305" s="401"/>
      <c r="AP305" s="398"/>
      <c r="AQ305" s="398"/>
      <c r="AR305" s="398"/>
      <c r="AS305" s="401"/>
      <c r="AT305" s="398"/>
      <c r="AU305" s="398"/>
      <c r="AV305" s="398"/>
      <c r="AW305" s="401"/>
      <c r="AX305" s="398"/>
      <c r="AY305" s="398"/>
      <c r="AZ305" s="398"/>
      <c r="BA305" s="401"/>
      <c r="BB305" s="1799"/>
      <c r="BC305" s="1674"/>
      <c r="BD305" s="1674"/>
      <c r="BE305" s="1674"/>
      <c r="BF305" s="1674"/>
      <c r="BG305" s="1674"/>
      <c r="BH305" s="1674"/>
      <c r="BI305" s="1674"/>
      <c r="BJ305" s="1546"/>
      <c r="BK305" s="1708"/>
      <c r="BL305" s="1726">
        <v>0.12</v>
      </c>
      <c r="BM305" s="1726">
        <v>0.12</v>
      </c>
      <c r="BN305" s="1674"/>
      <c r="BO305" s="1674"/>
      <c r="BP305" s="1674"/>
      <c r="BR305" s="1483"/>
      <c r="BS305" s="1483"/>
      <c r="BT305" s="1483"/>
      <c r="BU305" s="1675"/>
    </row>
    <row r="306" spans="1:73" s="304" customFormat="1" ht="11.65" customHeight="1">
      <c r="A306" s="1677" t="s">
        <v>560</v>
      </c>
      <c r="B306" s="836"/>
      <c r="C306" s="837"/>
      <c r="D306" s="837"/>
      <c r="E306" s="838"/>
      <c r="F306" s="837"/>
      <c r="G306" s="837"/>
      <c r="H306" s="837"/>
      <c r="I306" s="838"/>
      <c r="J306" s="837"/>
      <c r="K306" s="837"/>
      <c r="L306" s="837"/>
      <c r="M306" s="838"/>
      <c r="N306" s="836"/>
      <c r="O306" s="836"/>
      <c r="P306" s="836"/>
      <c r="Q306" s="1041"/>
      <c r="R306" s="836"/>
      <c r="S306" s="1294"/>
      <c r="T306" s="1294"/>
      <c r="U306" s="1557"/>
      <c r="V306" s="1294"/>
      <c r="W306" s="1294"/>
      <c r="X306" s="1294"/>
      <c r="Y306" s="1557"/>
      <c r="Z306" s="1294"/>
      <c r="AA306" s="1294"/>
      <c r="AB306" s="1294"/>
      <c r="AC306" s="1557"/>
      <c r="AD306" s="1294"/>
      <c r="AE306" s="1294"/>
      <c r="AF306" s="1294"/>
      <c r="AG306" s="1557"/>
      <c r="AH306" s="1294"/>
      <c r="AI306" s="1294"/>
      <c r="AJ306" s="1294"/>
      <c r="AK306" s="1557"/>
      <c r="AL306" s="1294"/>
      <c r="AM306" s="1294"/>
      <c r="AN306" s="398"/>
      <c r="AO306" s="401"/>
      <c r="AP306" s="398"/>
      <c r="AQ306" s="398"/>
      <c r="AR306" s="398"/>
      <c r="AS306" s="401"/>
      <c r="AT306" s="398"/>
      <c r="AU306" s="398"/>
      <c r="AV306" s="398"/>
      <c r="AW306" s="401"/>
      <c r="AX306" s="398"/>
      <c r="AY306" s="398"/>
      <c r="AZ306" s="398"/>
      <c r="BA306" s="401"/>
      <c r="BB306" s="1799"/>
      <c r="BC306" s="1674"/>
      <c r="BD306" s="1674"/>
      <c r="BE306" s="1674"/>
      <c r="BF306" s="1674"/>
      <c r="BG306" s="1674"/>
      <c r="BH306" s="1674"/>
      <c r="BI306" s="1674"/>
      <c r="BJ306" s="1546"/>
      <c r="BK306" s="1708"/>
      <c r="BL306" s="1726">
        <v>0.09</v>
      </c>
      <c r="BM306" s="1726">
        <v>0.09</v>
      </c>
      <c r="BN306" s="1674"/>
      <c r="BO306" s="1674"/>
      <c r="BP306" s="1674"/>
      <c r="BR306" s="1483"/>
      <c r="BS306" s="1483"/>
      <c r="BT306" s="1483"/>
      <c r="BU306" s="1675"/>
    </row>
    <row r="307" spans="1:73" s="304" customFormat="1" ht="11.65" customHeight="1">
      <c r="A307" s="1548"/>
      <c r="B307" s="836"/>
      <c r="C307" s="837"/>
      <c r="D307" s="837"/>
      <c r="E307" s="838"/>
      <c r="F307" s="837"/>
      <c r="G307" s="837"/>
      <c r="H307" s="837"/>
      <c r="I307" s="838"/>
      <c r="J307" s="837"/>
      <c r="K307" s="837"/>
      <c r="L307" s="837"/>
      <c r="M307" s="838"/>
      <c r="N307" s="836"/>
      <c r="O307" s="836"/>
      <c r="P307" s="836"/>
      <c r="Q307" s="1041"/>
      <c r="R307" s="836"/>
      <c r="S307" s="1294"/>
      <c r="T307" s="1294"/>
      <c r="U307" s="1557"/>
      <c r="V307" s="1294"/>
      <c r="W307" s="1294"/>
      <c r="X307" s="1294"/>
      <c r="Y307" s="1557"/>
      <c r="Z307" s="1294"/>
      <c r="AA307" s="1294"/>
      <c r="AB307" s="1294"/>
      <c r="AC307" s="1557"/>
      <c r="AD307" s="1294"/>
      <c r="AE307" s="1294"/>
      <c r="AF307" s="1294"/>
      <c r="AG307" s="1557"/>
      <c r="AH307" s="1294"/>
      <c r="AI307" s="1294"/>
      <c r="AJ307" s="1294"/>
      <c r="AK307" s="1557"/>
      <c r="AL307" s="1294"/>
      <c r="AM307" s="1294"/>
      <c r="AN307" s="398"/>
      <c r="AO307" s="401"/>
      <c r="AP307" s="398"/>
      <c r="AQ307" s="398"/>
      <c r="AR307" s="398"/>
      <c r="AS307" s="401"/>
      <c r="AT307" s="398"/>
      <c r="AU307" s="398"/>
      <c r="AV307" s="398"/>
      <c r="AW307" s="401"/>
      <c r="AX307" s="398"/>
      <c r="AY307" s="398"/>
      <c r="AZ307" s="398"/>
      <c r="BA307" s="401"/>
      <c r="BB307" s="398"/>
      <c r="BC307" s="1674"/>
      <c r="BD307" s="1674"/>
      <c r="BE307" s="1674"/>
      <c r="BF307" s="1674"/>
      <c r="BG307" s="1674"/>
      <c r="BH307" s="1674"/>
      <c r="BI307" s="1674"/>
      <c r="BJ307" s="1546"/>
      <c r="BK307" s="1708"/>
      <c r="BL307" s="1708"/>
      <c r="BM307" s="1674"/>
      <c r="BN307" s="1674"/>
      <c r="BO307" s="1674"/>
      <c r="BP307" s="1674"/>
      <c r="BR307" s="1483"/>
      <c r="BS307" s="1483"/>
      <c r="BT307" s="1483"/>
      <c r="BU307" s="1675"/>
    </row>
    <row r="308" spans="1:73" s="304" customFormat="1" ht="11.65" customHeight="1">
      <c r="A308" s="1547" t="s">
        <v>549</v>
      </c>
      <c r="B308" s="1110"/>
      <c r="C308" s="1108"/>
      <c r="D308" s="1108"/>
      <c r="E308" s="1109"/>
      <c r="F308" s="1108"/>
      <c r="G308" s="1108"/>
      <c r="H308" s="1108"/>
      <c r="I308" s="1109"/>
      <c r="J308" s="1108"/>
      <c r="K308" s="1108"/>
      <c r="L308" s="1108"/>
      <c r="M308" s="1109"/>
      <c r="N308" s="1110"/>
      <c r="O308" s="1110"/>
      <c r="P308" s="1110"/>
      <c r="Q308" s="1111"/>
      <c r="R308" s="1110"/>
      <c r="S308" s="1569"/>
      <c r="T308" s="1569"/>
      <c r="U308" s="1570"/>
      <c r="V308" s="1569"/>
      <c r="W308" s="1569"/>
      <c r="X308" s="1569"/>
      <c r="Y308" s="1570"/>
      <c r="Z308" s="1569"/>
      <c r="AA308" s="1569"/>
      <c r="AB308" s="1569"/>
      <c r="AC308" s="1570"/>
      <c r="AD308" s="1569"/>
      <c r="AE308" s="1569"/>
      <c r="AF308" s="1569"/>
      <c r="AG308" s="1570"/>
      <c r="AH308" s="1569"/>
      <c r="AI308" s="1569"/>
      <c r="AJ308" s="1569"/>
      <c r="AK308" s="1570"/>
      <c r="AL308" s="1569"/>
      <c r="AM308" s="1569"/>
      <c r="AN308" s="398"/>
      <c r="AO308" s="401"/>
      <c r="AP308" s="398"/>
      <c r="AQ308" s="398"/>
      <c r="AR308" s="398"/>
      <c r="AS308" s="401"/>
      <c r="AT308" s="398"/>
      <c r="AU308" s="398"/>
      <c r="AV308" s="398"/>
      <c r="AW308" s="401"/>
      <c r="AX308" s="398"/>
      <c r="AY308" s="398"/>
      <c r="AZ308" s="398"/>
      <c r="BA308" s="401"/>
      <c r="BB308" s="398"/>
      <c r="BC308" s="1710"/>
      <c r="BD308" s="1710"/>
      <c r="BE308" s="1710"/>
      <c r="BF308" s="1710"/>
      <c r="BG308" s="1710"/>
      <c r="BH308" s="1710"/>
      <c r="BI308" s="1710"/>
      <c r="BJ308" s="1711"/>
      <c r="BK308" s="1712"/>
      <c r="BL308" s="1712"/>
      <c r="BM308" s="1710"/>
      <c r="BN308" s="1710"/>
      <c r="BO308" s="1710"/>
      <c r="BP308" s="1710"/>
      <c r="BR308" s="1483"/>
      <c r="BS308" s="1483"/>
      <c r="BT308" s="1483"/>
      <c r="BU308" s="1672"/>
    </row>
    <row r="309" spans="1:73" s="304" customFormat="1" ht="11.65" customHeight="1">
      <c r="A309" s="1677" t="s">
        <v>548</v>
      </c>
      <c r="B309" s="836"/>
      <c r="C309" s="837"/>
      <c r="D309" s="837"/>
      <c r="E309" s="838"/>
      <c r="F309" s="837"/>
      <c r="G309" s="837"/>
      <c r="H309" s="837"/>
      <c r="I309" s="838"/>
      <c r="J309" s="837"/>
      <c r="K309" s="837"/>
      <c r="L309" s="837"/>
      <c r="M309" s="838"/>
      <c r="N309" s="836"/>
      <c r="O309" s="836"/>
      <c r="P309" s="836"/>
      <c r="Q309" s="1041"/>
      <c r="R309" s="836"/>
      <c r="S309" s="1294"/>
      <c r="T309" s="1294"/>
      <c r="U309" s="1557"/>
      <c r="V309" s="1294"/>
      <c r="W309" s="1294"/>
      <c r="X309" s="1294"/>
      <c r="Y309" s="1557"/>
      <c r="Z309" s="1294"/>
      <c r="AA309" s="1294"/>
      <c r="AB309" s="1294"/>
      <c r="AC309" s="1557"/>
      <c r="AD309" s="1294"/>
      <c r="AE309" s="1294"/>
      <c r="AF309" s="1294"/>
      <c r="AG309" s="1557"/>
      <c r="AH309" s="1294"/>
      <c r="AI309" s="1294"/>
      <c r="AJ309" s="1294"/>
      <c r="AK309" s="1557"/>
      <c r="AL309" s="1294"/>
      <c r="AM309" s="1294"/>
      <c r="AN309" s="398"/>
      <c r="AO309" s="401"/>
      <c r="AP309" s="398"/>
      <c r="AQ309" s="398"/>
      <c r="AR309" s="398"/>
      <c r="AS309" s="401"/>
      <c r="AT309" s="398"/>
      <c r="AU309" s="398"/>
      <c r="AV309" s="398"/>
      <c r="AW309" s="401"/>
      <c r="AX309" s="398"/>
      <c r="AY309" s="398"/>
      <c r="AZ309" s="398"/>
      <c r="BA309" s="401"/>
      <c r="BB309" s="398"/>
      <c r="BC309" s="1674"/>
      <c r="BD309" s="1674"/>
      <c r="BE309" s="1674"/>
      <c r="BF309" s="1674"/>
      <c r="BG309" s="1674"/>
      <c r="BH309" s="1674"/>
      <c r="BI309" s="1674"/>
      <c r="BJ309" s="1546"/>
      <c r="BK309" s="1708"/>
      <c r="BL309" s="1739">
        <v>20000</v>
      </c>
      <c r="BM309" s="1739">
        <v>27000</v>
      </c>
      <c r="BN309" s="1674"/>
      <c r="BO309" s="1674"/>
      <c r="BP309" s="1674"/>
      <c r="BR309" s="1483"/>
      <c r="BS309" s="1483"/>
      <c r="BT309" s="1483"/>
      <c r="BU309" s="1675"/>
    </row>
    <row r="310" spans="1:73" s="304" customFormat="1" ht="11.65" customHeight="1">
      <c r="A310" s="1677"/>
      <c r="B310" s="836"/>
      <c r="C310" s="837"/>
      <c r="D310" s="837"/>
      <c r="E310" s="838"/>
      <c r="F310" s="837"/>
      <c r="G310" s="837"/>
      <c r="H310" s="837"/>
      <c r="I310" s="838"/>
      <c r="J310" s="837"/>
      <c r="K310" s="837"/>
      <c r="L310" s="837"/>
      <c r="M310" s="838"/>
      <c r="N310" s="836"/>
      <c r="O310" s="836"/>
      <c r="P310" s="836"/>
      <c r="Q310" s="1041"/>
      <c r="R310" s="836"/>
      <c r="S310" s="1294"/>
      <c r="T310" s="1294"/>
      <c r="U310" s="1557"/>
      <c r="V310" s="1294"/>
      <c r="W310" s="1294"/>
      <c r="X310" s="1294"/>
      <c r="Y310" s="1557"/>
      <c r="Z310" s="1294"/>
      <c r="AA310" s="1294"/>
      <c r="AB310" s="1294"/>
      <c r="AC310" s="1557"/>
      <c r="AD310" s="1294"/>
      <c r="AE310" s="1294"/>
      <c r="AF310" s="1294"/>
      <c r="AG310" s="1557"/>
      <c r="AH310" s="1294"/>
      <c r="AI310" s="1294"/>
      <c r="AJ310" s="1294"/>
      <c r="AK310" s="1557"/>
      <c r="AL310" s="1294"/>
      <c r="AM310" s="1294"/>
      <c r="AN310" s="398"/>
      <c r="AO310" s="401"/>
      <c r="AP310" s="398"/>
      <c r="AQ310" s="398"/>
      <c r="AR310" s="398"/>
      <c r="AS310" s="401"/>
      <c r="AT310" s="398"/>
      <c r="AU310" s="398"/>
      <c r="AV310" s="398"/>
      <c r="AW310" s="401"/>
      <c r="AX310" s="398"/>
      <c r="AY310" s="398"/>
      <c r="AZ310" s="398"/>
      <c r="BA310" s="401"/>
      <c r="BB310" s="398"/>
      <c r="BC310" s="1674"/>
      <c r="BD310" s="1674"/>
      <c r="BE310" s="1674"/>
      <c r="BF310" s="1674"/>
      <c r="BG310" s="1674"/>
      <c r="BH310" s="1674"/>
      <c r="BI310" s="1674"/>
      <c r="BJ310" s="1546"/>
      <c r="BK310" s="1708"/>
      <c r="BL310" s="1739"/>
      <c r="BM310" s="1674"/>
      <c r="BN310" s="1674"/>
      <c r="BO310" s="1674"/>
      <c r="BP310" s="1674"/>
      <c r="BR310" s="1483"/>
      <c r="BS310" s="1483"/>
      <c r="BT310" s="1483"/>
      <c r="BU310" s="1675"/>
    </row>
    <row r="311" spans="1:73" s="304" customFormat="1" ht="11.65" customHeight="1">
      <c r="A311" s="1547" t="s">
        <v>553</v>
      </c>
      <c r="B311" s="836"/>
      <c r="C311" s="837"/>
      <c r="D311" s="837"/>
      <c r="E311" s="838"/>
      <c r="F311" s="837"/>
      <c r="G311" s="837"/>
      <c r="H311" s="837"/>
      <c r="I311" s="838"/>
      <c r="J311" s="837"/>
      <c r="K311" s="837"/>
      <c r="L311" s="837"/>
      <c r="M311" s="838"/>
      <c r="N311" s="836"/>
      <c r="O311" s="836"/>
      <c r="P311" s="836"/>
      <c r="Q311" s="1041"/>
      <c r="R311" s="836"/>
      <c r="S311" s="1294"/>
      <c r="T311" s="1294"/>
      <c r="U311" s="1557"/>
      <c r="V311" s="1294"/>
      <c r="W311" s="1294"/>
      <c r="X311" s="1294"/>
      <c r="Y311" s="1557"/>
      <c r="Z311" s="1294"/>
      <c r="AA311" s="1294"/>
      <c r="AB311" s="1294"/>
      <c r="AC311" s="1557"/>
      <c r="AD311" s="1294"/>
      <c r="AE311" s="1294"/>
      <c r="AF311" s="1294"/>
      <c r="AG311" s="1557"/>
      <c r="AH311" s="1294"/>
      <c r="AI311" s="1294"/>
      <c r="AJ311" s="1294"/>
      <c r="AK311" s="1557"/>
      <c r="AL311" s="1294"/>
      <c r="AM311" s="1294"/>
      <c r="AN311" s="398"/>
      <c r="AO311" s="401"/>
      <c r="AP311" s="398"/>
      <c r="AQ311" s="398"/>
      <c r="AR311" s="398"/>
      <c r="AS311" s="401"/>
      <c r="AT311" s="398"/>
      <c r="AU311" s="398"/>
      <c r="AV311" s="398"/>
      <c r="AW311" s="401"/>
      <c r="AX311" s="398"/>
      <c r="AY311" s="398"/>
      <c r="AZ311" s="398"/>
      <c r="BA311" s="401"/>
      <c r="BB311" s="398"/>
      <c r="BC311" s="1674"/>
      <c r="BD311" s="1674"/>
      <c r="BE311" s="1674"/>
      <c r="BF311" s="1674"/>
      <c r="BG311" s="1674"/>
      <c r="BH311" s="1674"/>
      <c r="BI311" s="1674"/>
      <c r="BJ311" s="1546"/>
      <c r="BK311" s="1674"/>
      <c r="BL311" s="1709"/>
      <c r="BM311" s="1674"/>
      <c r="BN311" s="1674"/>
      <c r="BO311" s="1674"/>
      <c r="BP311" s="1674"/>
      <c r="BR311" s="1483"/>
      <c r="BS311" s="1483"/>
      <c r="BT311" s="1483"/>
      <c r="BU311" s="1675"/>
    </row>
    <row r="312" spans="1:73" s="304" customFormat="1" ht="11.65" customHeight="1">
      <c r="A312" s="1677" t="s">
        <v>555</v>
      </c>
      <c r="B312" s="836"/>
      <c r="C312" s="837"/>
      <c r="D312" s="837"/>
      <c r="E312" s="838"/>
      <c r="F312" s="837"/>
      <c r="G312" s="837"/>
      <c r="H312" s="837"/>
      <c r="I312" s="838"/>
      <c r="J312" s="837"/>
      <c r="K312" s="837"/>
      <c r="L312" s="837"/>
      <c r="M312" s="838"/>
      <c r="N312" s="836"/>
      <c r="O312" s="836"/>
      <c r="P312" s="836"/>
      <c r="Q312" s="1041"/>
      <c r="R312" s="836"/>
      <c r="S312" s="1294"/>
      <c r="T312" s="1294"/>
      <c r="U312" s="1557"/>
      <c r="V312" s="1294"/>
      <c r="W312" s="1294"/>
      <c r="X312" s="1294"/>
      <c r="Y312" s="1557"/>
      <c r="Z312" s="1294"/>
      <c r="AA312" s="1294"/>
      <c r="AB312" s="1294"/>
      <c r="AC312" s="1557"/>
      <c r="AD312" s="1294"/>
      <c r="AE312" s="1294"/>
      <c r="AF312" s="1294"/>
      <c r="AG312" s="1557"/>
      <c r="AH312" s="1294"/>
      <c r="AI312" s="1294"/>
      <c r="AJ312" s="1294"/>
      <c r="AK312" s="1557"/>
      <c r="AL312" s="1294"/>
      <c r="AM312" s="1294"/>
      <c r="AN312" s="398"/>
      <c r="AO312" s="401"/>
      <c r="AP312" s="398"/>
      <c r="AQ312" s="398"/>
      <c r="AR312" s="398"/>
      <c r="AS312" s="401"/>
      <c r="AT312" s="398"/>
      <c r="AU312" s="398"/>
      <c r="AV312" s="398"/>
      <c r="AW312" s="401"/>
      <c r="AX312" s="398"/>
      <c r="AY312" s="398"/>
      <c r="AZ312" s="398"/>
      <c r="BA312" s="401"/>
      <c r="BB312" s="398"/>
      <c r="BC312" s="1674"/>
      <c r="BD312" s="1674"/>
      <c r="BE312" s="1674"/>
      <c r="BF312" s="1674"/>
      <c r="BG312" s="1674"/>
      <c r="BH312" s="1674"/>
      <c r="BI312" s="1674"/>
      <c r="BJ312" s="1546"/>
      <c r="BK312" s="1674"/>
      <c r="BL312" s="1709">
        <v>3</v>
      </c>
      <c r="BM312" s="1674" t="s">
        <v>730</v>
      </c>
      <c r="BN312" s="1674"/>
      <c r="BO312" s="1674"/>
      <c r="BP312" s="1674"/>
      <c r="BR312" s="1483"/>
      <c r="BS312" s="1483"/>
      <c r="BT312" s="1483"/>
      <c r="BU312" s="1675"/>
    </row>
    <row r="313" spans="1:73" s="304" customFormat="1" ht="11.65" customHeight="1">
      <c r="A313" s="1677" t="s">
        <v>542</v>
      </c>
      <c r="B313" s="836"/>
      <c r="C313" s="837"/>
      <c r="D313" s="837"/>
      <c r="E313" s="838"/>
      <c r="F313" s="837"/>
      <c r="G313" s="837"/>
      <c r="H313" s="837"/>
      <c r="I313" s="838"/>
      <c r="J313" s="837"/>
      <c r="K313" s="837"/>
      <c r="L313" s="837"/>
      <c r="M313" s="838"/>
      <c r="N313" s="836"/>
      <c r="O313" s="836"/>
      <c r="P313" s="836"/>
      <c r="Q313" s="1041"/>
      <c r="R313" s="836"/>
      <c r="S313" s="1294"/>
      <c r="T313" s="1294"/>
      <c r="U313" s="1557"/>
      <c r="V313" s="1294"/>
      <c r="W313" s="1294"/>
      <c r="X313" s="1294"/>
      <c r="Y313" s="1557"/>
      <c r="Z313" s="1294"/>
      <c r="AA313" s="1294"/>
      <c r="AB313" s="1294"/>
      <c r="AC313" s="1557"/>
      <c r="AD313" s="1294"/>
      <c r="AE313" s="1294"/>
      <c r="AF313" s="1294"/>
      <c r="AG313" s="1557"/>
      <c r="AH313" s="1294"/>
      <c r="AI313" s="1294"/>
      <c r="AJ313" s="1294"/>
      <c r="AK313" s="1557"/>
      <c r="AL313" s="1294"/>
      <c r="AM313" s="1294"/>
      <c r="AN313" s="398"/>
      <c r="AO313" s="401"/>
      <c r="AP313" s="398"/>
      <c r="AQ313" s="398"/>
      <c r="AR313" s="398"/>
      <c r="AS313" s="401"/>
      <c r="AT313" s="398"/>
      <c r="AU313" s="398"/>
      <c r="AV313" s="398"/>
      <c r="AW313" s="401"/>
      <c r="AX313" s="398"/>
      <c r="AY313" s="398"/>
      <c r="AZ313" s="398"/>
      <c r="BA313" s="401"/>
      <c r="BB313" s="398"/>
      <c r="BC313" s="1674"/>
      <c r="BD313" s="1674"/>
      <c r="BE313" s="1674"/>
      <c r="BF313" s="1674"/>
      <c r="BG313" s="1674"/>
      <c r="BH313" s="1674"/>
      <c r="BI313" s="1674"/>
      <c r="BJ313" s="1546"/>
      <c r="BK313" s="1674"/>
      <c r="BL313" s="1708">
        <v>0.2</v>
      </c>
      <c r="BM313" s="1708">
        <v>0.22</v>
      </c>
      <c r="BN313" s="1674"/>
      <c r="BO313" s="1674"/>
      <c r="BP313" s="1674"/>
      <c r="BR313" s="1483"/>
      <c r="BS313" s="1483"/>
      <c r="BT313" s="1483"/>
      <c r="BU313" s="1675"/>
    </row>
    <row r="314" spans="1:73" s="304" customFormat="1" ht="12" customHeight="1">
      <c r="A314" s="1677" t="s">
        <v>574</v>
      </c>
      <c r="B314" s="836"/>
      <c r="C314" s="837"/>
      <c r="D314" s="837"/>
      <c r="E314" s="838"/>
      <c r="F314" s="837"/>
      <c r="G314" s="837"/>
      <c r="H314" s="837"/>
      <c r="I314" s="838"/>
      <c r="J314" s="837"/>
      <c r="K314" s="837"/>
      <c r="L314" s="837"/>
      <c r="M314" s="838"/>
      <c r="N314" s="836"/>
      <c r="O314" s="836"/>
      <c r="P314" s="836"/>
      <c r="Q314" s="1041"/>
      <c r="R314" s="836"/>
      <c r="S314" s="1294"/>
      <c r="T314" s="1294"/>
      <c r="U314" s="1557"/>
      <c r="V314" s="1294"/>
      <c r="W314" s="1294"/>
      <c r="X314" s="1294"/>
      <c r="Y314" s="1557"/>
      <c r="Z314" s="1294"/>
      <c r="AA314" s="1294"/>
      <c r="AB314" s="1294"/>
      <c r="AC314" s="1557"/>
      <c r="AD314" s="1294"/>
      <c r="AE314" s="1294"/>
      <c r="AF314" s="1294"/>
      <c r="AG314" s="1557"/>
      <c r="AH314" s="1294"/>
      <c r="AI314" s="1294"/>
      <c r="AJ314" s="1294"/>
      <c r="AK314" s="1557"/>
      <c r="AL314" s="1294"/>
      <c r="AM314" s="1294"/>
      <c r="AN314" s="398"/>
      <c r="AO314" s="401"/>
      <c r="AP314" s="398"/>
      <c r="AQ314" s="398"/>
      <c r="AR314" s="398"/>
      <c r="AS314" s="401"/>
      <c r="AT314" s="398"/>
      <c r="AU314" s="398"/>
      <c r="AV314" s="398"/>
      <c r="AW314" s="401"/>
      <c r="AX314" s="398"/>
      <c r="AY314" s="398"/>
      <c r="AZ314" s="398"/>
      <c r="BA314" s="401"/>
      <c r="BB314" s="398"/>
      <c r="BC314" s="1674"/>
      <c r="BD314" s="1674"/>
      <c r="BE314" s="1674"/>
      <c r="BF314" s="1674"/>
      <c r="BG314" s="1674"/>
      <c r="BH314" s="1674"/>
      <c r="BI314" s="1674"/>
      <c r="BJ314" s="1546"/>
      <c r="BK314" s="1674"/>
      <c r="BL314" s="1708">
        <v>4</v>
      </c>
      <c r="BM314" s="1674"/>
      <c r="BN314" s="1674"/>
      <c r="BO314" s="1674"/>
      <c r="BP314" s="1674"/>
      <c r="BR314" s="1483"/>
      <c r="BS314" s="1483"/>
      <c r="BT314" s="1483"/>
      <c r="BU314" s="1675"/>
    </row>
    <row r="315" spans="1:73" s="304" customFormat="1" ht="11.65" customHeight="1">
      <c r="A315" s="1548"/>
      <c r="B315" s="836"/>
      <c r="C315" s="837"/>
      <c r="D315" s="837"/>
      <c r="E315" s="838"/>
      <c r="F315" s="837"/>
      <c r="G315" s="837"/>
      <c r="H315" s="837"/>
      <c r="I315" s="838"/>
      <c r="J315" s="837"/>
      <c r="K315" s="837"/>
      <c r="L315" s="837"/>
      <c r="M315" s="838"/>
      <c r="N315" s="836"/>
      <c r="O315" s="836"/>
      <c r="P315" s="836"/>
      <c r="Q315" s="1041"/>
      <c r="R315" s="836"/>
      <c r="S315" s="1294"/>
      <c r="T315" s="1294"/>
      <c r="U315" s="1557"/>
      <c r="V315" s="1294"/>
      <c r="W315" s="1294"/>
      <c r="X315" s="1294"/>
      <c r="Y315" s="1557"/>
      <c r="Z315" s="1294"/>
      <c r="AA315" s="1294"/>
      <c r="AB315" s="1294"/>
      <c r="AC315" s="1557"/>
      <c r="AD315" s="1294"/>
      <c r="AE315" s="1294"/>
      <c r="AF315" s="1294"/>
      <c r="AG315" s="1557"/>
      <c r="AH315" s="1294"/>
      <c r="AI315" s="1294"/>
      <c r="AJ315" s="1294"/>
      <c r="AK315" s="1557"/>
      <c r="AL315" s="1294"/>
      <c r="AM315" s="1294"/>
      <c r="AN315" s="398"/>
      <c r="AO315" s="401"/>
      <c r="AP315" s="398"/>
      <c r="AQ315" s="398"/>
      <c r="AR315" s="398"/>
      <c r="AS315" s="401"/>
      <c r="AT315" s="398"/>
      <c r="AU315" s="398"/>
      <c r="AV315" s="398"/>
      <c r="AW315" s="401"/>
      <c r="AX315" s="398"/>
      <c r="AY315" s="398"/>
      <c r="AZ315" s="398"/>
      <c r="BA315" s="401"/>
      <c r="BB315" s="398"/>
      <c r="BC315" s="1674"/>
      <c r="BD315" s="1674"/>
      <c r="BE315" s="1674"/>
      <c r="BF315" s="1674"/>
      <c r="BG315" s="1674"/>
      <c r="BH315" s="1674"/>
      <c r="BI315" s="1674"/>
      <c r="BJ315" s="1546"/>
      <c r="BK315" s="1674"/>
      <c r="BL315" s="1707"/>
      <c r="BM315" s="1674"/>
      <c r="BN315" s="1674"/>
      <c r="BO315" s="1674"/>
      <c r="BP315" s="1674"/>
      <c r="BR315" s="1483"/>
      <c r="BS315" s="1483"/>
      <c r="BT315" s="1483"/>
      <c r="BU315" s="1675"/>
    </row>
    <row r="316" spans="1:73" s="304" customFormat="1" ht="11.65" customHeight="1">
      <c r="A316" s="1547" t="s">
        <v>551</v>
      </c>
      <c r="B316" s="836"/>
      <c r="C316" s="837"/>
      <c r="D316" s="837"/>
      <c r="E316" s="838"/>
      <c r="F316" s="837"/>
      <c r="G316" s="837"/>
      <c r="H316" s="837"/>
      <c r="I316" s="838"/>
      <c r="J316" s="837"/>
      <c r="K316" s="837"/>
      <c r="L316" s="837"/>
      <c r="M316" s="838"/>
      <c r="N316" s="836"/>
      <c r="O316" s="836"/>
      <c r="P316" s="836"/>
      <c r="Q316" s="1041"/>
      <c r="R316" s="836"/>
      <c r="S316" s="1294"/>
      <c r="T316" s="1294"/>
      <c r="U316" s="1557"/>
      <c r="V316" s="1294"/>
      <c r="W316" s="1294"/>
      <c r="X316" s="1294"/>
      <c r="Y316" s="1557"/>
      <c r="Z316" s="1294"/>
      <c r="AA316" s="1294"/>
      <c r="AB316" s="1294"/>
      <c r="AC316" s="1557"/>
      <c r="AD316" s="1294"/>
      <c r="AE316" s="1294"/>
      <c r="AF316" s="1294"/>
      <c r="AG316" s="1557"/>
      <c r="AH316" s="1294"/>
      <c r="AI316" s="1294"/>
      <c r="AJ316" s="1294"/>
      <c r="AK316" s="1557"/>
      <c r="AL316" s="1294"/>
      <c r="AM316" s="1294"/>
      <c r="AN316" s="398"/>
      <c r="AO316" s="401"/>
      <c r="AP316" s="398"/>
      <c r="AQ316" s="398"/>
      <c r="AR316" s="398"/>
      <c r="AS316" s="401"/>
      <c r="AT316" s="398"/>
      <c r="AU316" s="398"/>
      <c r="AV316" s="398"/>
      <c r="AW316" s="401"/>
      <c r="AX316" s="398"/>
      <c r="AY316" s="398"/>
      <c r="AZ316" s="398"/>
      <c r="BA316" s="401"/>
      <c r="BB316" s="398"/>
      <c r="BC316" s="1674"/>
      <c r="BD316" s="1674"/>
      <c r="BE316" s="1674"/>
      <c r="BF316" s="1674"/>
      <c r="BG316" s="1674"/>
      <c r="BH316" s="1674"/>
      <c r="BI316" s="1674"/>
      <c r="BJ316" s="1546"/>
      <c r="BK316" s="1674"/>
      <c r="BL316" s="1674"/>
      <c r="BM316" s="1674"/>
      <c r="BN316" s="1674"/>
      <c r="BO316" s="1674"/>
      <c r="BP316" s="1674"/>
      <c r="BR316" s="1483"/>
      <c r="BS316" s="1483"/>
      <c r="BT316" s="1483"/>
      <c r="BU316" s="1675"/>
    </row>
    <row r="317" spans="1:73" s="304" customFormat="1" ht="11.65" customHeight="1">
      <c r="A317" s="1677" t="s">
        <v>543</v>
      </c>
      <c r="B317" s="836"/>
      <c r="C317" s="837"/>
      <c r="D317" s="837"/>
      <c r="E317" s="838"/>
      <c r="F317" s="837"/>
      <c r="G317" s="837"/>
      <c r="H317" s="837"/>
      <c r="I317" s="838"/>
      <c r="J317" s="837"/>
      <c r="K317" s="837"/>
      <c r="L317" s="837"/>
      <c r="M317" s="838"/>
      <c r="N317" s="836"/>
      <c r="O317" s="836"/>
      <c r="P317" s="836"/>
      <c r="Q317" s="1041"/>
      <c r="R317" s="836"/>
      <c r="S317" s="1294"/>
      <c r="T317" s="1294"/>
      <c r="U317" s="1557"/>
      <c r="V317" s="1294"/>
      <c r="W317" s="1294"/>
      <c r="X317" s="1294"/>
      <c r="Y317" s="1557"/>
      <c r="Z317" s="1294"/>
      <c r="AA317" s="1294"/>
      <c r="AB317" s="1294"/>
      <c r="AC317" s="1557"/>
      <c r="AD317" s="1294"/>
      <c r="AE317" s="1294"/>
      <c r="AF317" s="1294"/>
      <c r="AG317" s="1557"/>
      <c r="AH317" s="1294"/>
      <c r="AI317" s="1294"/>
      <c r="AJ317" s="1294"/>
      <c r="AK317" s="1557"/>
      <c r="AL317" s="1294"/>
      <c r="AM317" s="1294"/>
      <c r="AN317" s="398"/>
      <c r="AO317" s="401"/>
      <c r="AP317" s="398"/>
      <c r="AQ317" s="398"/>
      <c r="AR317" s="398"/>
      <c r="AS317" s="401"/>
      <c r="AT317" s="398"/>
      <c r="AU317" s="398"/>
      <c r="AV317" s="398"/>
      <c r="AW317" s="401"/>
      <c r="AX317" s="398"/>
      <c r="AY317" s="398"/>
      <c r="AZ317" s="398"/>
      <c r="BA317" s="401"/>
      <c r="BB317" s="398"/>
      <c r="BC317" s="1674"/>
      <c r="BD317" s="1674"/>
      <c r="BE317" s="1674"/>
      <c r="BF317" s="1674"/>
      <c r="BG317" s="1674"/>
      <c r="BH317" s="1674"/>
      <c r="BI317" s="1674"/>
      <c r="BJ317" s="1546"/>
      <c r="BK317" s="1716">
        <v>18</v>
      </c>
      <c r="BL317" s="1716">
        <v>18</v>
      </c>
      <c r="BM317" s="1716">
        <v>18</v>
      </c>
      <c r="BN317" s="1674"/>
      <c r="BO317" s="1674"/>
      <c r="BP317" s="1674"/>
      <c r="BR317" s="1483"/>
      <c r="BS317" s="1483"/>
      <c r="BT317" s="1483"/>
      <c r="BU317" s="1675"/>
    </row>
    <row r="318" spans="1:73" s="304" customFormat="1" ht="11.65" customHeight="1">
      <c r="A318" s="1677" t="s">
        <v>539</v>
      </c>
      <c r="B318" s="836"/>
      <c r="C318" s="837"/>
      <c r="D318" s="837"/>
      <c r="E318" s="838"/>
      <c r="F318" s="837"/>
      <c r="G318" s="837"/>
      <c r="H318" s="837"/>
      <c r="I318" s="838"/>
      <c r="J318" s="837"/>
      <c r="K318" s="837"/>
      <c r="L318" s="837"/>
      <c r="M318" s="838"/>
      <c r="N318" s="836"/>
      <c r="O318" s="836"/>
      <c r="P318" s="836"/>
      <c r="Q318" s="1041"/>
      <c r="R318" s="836"/>
      <c r="S318" s="1294"/>
      <c r="T318" s="1294"/>
      <c r="U318" s="1557"/>
      <c r="V318" s="1294"/>
      <c r="W318" s="1294"/>
      <c r="X318" s="1294"/>
      <c r="Y318" s="1557"/>
      <c r="Z318" s="1294"/>
      <c r="AA318" s="1294"/>
      <c r="AB318" s="1294"/>
      <c r="AC318" s="1557"/>
      <c r="AD318" s="1294"/>
      <c r="AE318" s="1294"/>
      <c r="AF318" s="1294"/>
      <c r="AG318" s="1557"/>
      <c r="AH318" s="1294"/>
      <c r="AI318" s="1294"/>
      <c r="AJ318" s="1294"/>
      <c r="AK318" s="1557"/>
      <c r="AL318" s="1294"/>
      <c r="AM318" s="1294"/>
      <c r="AN318" s="398"/>
      <c r="AO318" s="401"/>
      <c r="AP318" s="398"/>
      <c r="AQ318" s="398"/>
      <c r="AR318" s="398"/>
      <c r="AS318" s="401"/>
      <c r="AT318" s="398"/>
      <c r="AU318" s="398"/>
      <c r="AV318" s="398"/>
      <c r="AW318" s="401"/>
      <c r="AX318" s="398"/>
      <c r="AY318" s="398"/>
      <c r="AZ318" s="398"/>
      <c r="BA318" s="401"/>
      <c r="BB318" s="398"/>
      <c r="BC318" s="1674"/>
      <c r="BD318" s="1674"/>
      <c r="BE318" s="1674"/>
      <c r="BF318" s="1674"/>
      <c r="BG318" s="1674"/>
      <c r="BH318" s="1674"/>
      <c r="BI318" s="1674"/>
      <c r="BJ318" s="1546"/>
      <c r="BK318" s="1674"/>
      <c r="BL318" s="1676">
        <v>1100</v>
      </c>
      <c r="BM318" s="1676">
        <v>1400</v>
      </c>
      <c r="BN318" s="1674"/>
      <c r="BO318" s="1674"/>
      <c r="BP318" s="1674"/>
      <c r="BR318" s="1483"/>
      <c r="BS318" s="1483"/>
      <c r="BT318" s="1483"/>
      <c r="BU318" s="1675"/>
    </row>
    <row r="319" spans="1:73" s="304" customFormat="1" ht="11.65" customHeight="1">
      <c r="A319" s="1714" t="s">
        <v>507</v>
      </c>
      <c r="B319" s="836"/>
      <c r="C319" s="837"/>
      <c r="D319" s="837"/>
      <c r="E319" s="838"/>
      <c r="F319" s="837"/>
      <c r="G319" s="837"/>
      <c r="H319" s="837"/>
      <c r="I319" s="838"/>
      <c r="J319" s="837"/>
      <c r="K319" s="837"/>
      <c r="L319" s="837"/>
      <c r="M319" s="838"/>
      <c r="N319" s="836"/>
      <c r="O319" s="836"/>
      <c r="P319" s="836"/>
      <c r="Q319" s="1041"/>
      <c r="R319" s="836"/>
      <c r="S319" s="1294"/>
      <c r="T319" s="1294"/>
      <c r="U319" s="1557"/>
      <c r="V319" s="1294"/>
      <c r="W319" s="1294"/>
      <c r="X319" s="1294"/>
      <c r="Y319" s="1557"/>
      <c r="Z319" s="1294"/>
      <c r="AA319" s="1294"/>
      <c r="AB319" s="1294"/>
      <c r="AC319" s="1557"/>
      <c r="AD319" s="1294"/>
      <c r="AE319" s="1294"/>
      <c r="AF319" s="1294"/>
      <c r="AG319" s="1557"/>
      <c r="AH319" s="1294"/>
      <c r="AI319" s="1294"/>
      <c r="AJ319" s="1294"/>
      <c r="AK319" s="1557"/>
      <c r="AL319" s="1294"/>
      <c r="AM319" s="1294"/>
      <c r="AN319" s="398"/>
      <c r="AO319" s="401"/>
      <c r="AP319" s="398"/>
      <c r="AQ319" s="398"/>
      <c r="AR319" s="398"/>
      <c r="AS319" s="401"/>
      <c r="AT319" s="398"/>
      <c r="AU319" s="398"/>
      <c r="AV319" s="398"/>
      <c r="AW319" s="401"/>
      <c r="AX319" s="398"/>
      <c r="AY319" s="398"/>
      <c r="AZ319" s="398"/>
      <c r="BA319" s="401"/>
      <c r="BB319" s="398"/>
      <c r="BC319" s="1674"/>
      <c r="BD319" s="1674"/>
      <c r="BE319" s="1674"/>
      <c r="BF319" s="1674"/>
      <c r="BG319" s="1674"/>
      <c r="BH319" s="1674"/>
      <c r="BI319" s="1674"/>
      <c r="BJ319" s="1546"/>
      <c r="BK319" s="1674"/>
      <c r="BL319" s="1709">
        <v>0.23</v>
      </c>
      <c r="BM319" s="1709">
        <v>0.25</v>
      </c>
      <c r="BN319" s="1674"/>
      <c r="BO319" s="1674"/>
      <c r="BP319" s="1674"/>
      <c r="BR319" s="1483"/>
      <c r="BS319" s="1483"/>
      <c r="BT319" s="1483"/>
      <c r="BU319" s="1675"/>
    </row>
    <row r="320" spans="1:73" s="304" customFormat="1" ht="11.65" customHeight="1">
      <c r="A320" s="1677" t="s">
        <v>585</v>
      </c>
      <c r="B320" s="836"/>
      <c r="C320" s="837"/>
      <c r="D320" s="837"/>
      <c r="E320" s="838"/>
      <c r="F320" s="837"/>
      <c r="G320" s="837"/>
      <c r="H320" s="837"/>
      <c r="I320" s="838"/>
      <c r="J320" s="837"/>
      <c r="K320" s="837"/>
      <c r="L320" s="837"/>
      <c r="M320" s="838"/>
      <c r="N320" s="836"/>
      <c r="O320" s="836"/>
      <c r="P320" s="836"/>
      <c r="Q320" s="1041"/>
      <c r="R320" s="836"/>
      <c r="S320" s="1294"/>
      <c r="T320" s="1294"/>
      <c r="U320" s="1557"/>
      <c r="V320" s="1294"/>
      <c r="W320" s="1294"/>
      <c r="X320" s="1294"/>
      <c r="Y320" s="1557"/>
      <c r="Z320" s="1294"/>
      <c r="AA320" s="1294"/>
      <c r="AB320" s="1294"/>
      <c r="AC320" s="1557"/>
      <c r="AD320" s="1294"/>
      <c r="AE320" s="1294"/>
      <c r="AF320" s="1294"/>
      <c r="AG320" s="1557"/>
      <c r="AH320" s="1294"/>
      <c r="AI320" s="1294"/>
      <c r="AJ320" s="1294"/>
      <c r="AK320" s="1557"/>
      <c r="AL320" s="1294"/>
      <c r="AM320" s="1294"/>
      <c r="AN320" s="398"/>
      <c r="AO320" s="401"/>
      <c r="AP320" s="398"/>
      <c r="AQ320" s="398"/>
      <c r="AR320" s="398"/>
      <c r="AS320" s="401"/>
      <c r="AT320" s="398"/>
      <c r="AU320" s="398"/>
      <c r="AV320" s="398"/>
      <c r="AW320" s="401"/>
      <c r="AX320" s="398"/>
      <c r="AY320" s="398"/>
      <c r="AZ320" s="398"/>
      <c r="BA320" s="401"/>
      <c r="BB320" s="398"/>
      <c r="BC320" s="1674"/>
      <c r="BD320" s="1674"/>
      <c r="BE320" s="1674"/>
      <c r="BF320" s="1674"/>
      <c r="BG320" s="1674"/>
      <c r="BH320" s="1674"/>
      <c r="BI320" s="1674"/>
      <c r="BJ320" s="1546"/>
      <c r="BK320" s="1674"/>
      <c r="BL320" s="1709">
        <v>0.56999999999999995</v>
      </c>
      <c r="BM320" s="1674"/>
      <c r="BN320" s="1674"/>
      <c r="BO320" s="1674"/>
      <c r="BP320" s="1674"/>
      <c r="BR320" s="1483"/>
      <c r="BS320" s="1483"/>
      <c r="BT320" s="1483"/>
      <c r="BU320" s="1675"/>
    </row>
    <row r="321" spans="1:73" s="304" customFormat="1" ht="11.65" customHeight="1">
      <c r="A321" s="1677" t="s">
        <v>584</v>
      </c>
      <c r="B321" s="836"/>
      <c r="C321" s="837"/>
      <c r="D321" s="837"/>
      <c r="E321" s="838"/>
      <c r="F321" s="837"/>
      <c r="G321" s="837"/>
      <c r="H321" s="837"/>
      <c r="I321" s="838"/>
      <c r="J321" s="837"/>
      <c r="K321" s="837"/>
      <c r="L321" s="837"/>
      <c r="M321" s="838"/>
      <c r="N321" s="836"/>
      <c r="O321" s="836"/>
      <c r="P321" s="836"/>
      <c r="Q321" s="1041"/>
      <c r="R321" s="836"/>
      <c r="S321" s="1294"/>
      <c r="T321" s="1294"/>
      <c r="U321" s="1557"/>
      <c r="V321" s="1294"/>
      <c r="W321" s="1294"/>
      <c r="X321" s="1294"/>
      <c r="Y321" s="1557"/>
      <c r="Z321" s="1294"/>
      <c r="AA321" s="1294"/>
      <c r="AB321" s="1294"/>
      <c r="AC321" s="1557"/>
      <c r="AD321" s="1294"/>
      <c r="AE321" s="1294"/>
      <c r="AF321" s="1294"/>
      <c r="AG321" s="1557"/>
      <c r="AH321" s="1294"/>
      <c r="AI321" s="1294"/>
      <c r="AJ321" s="1294"/>
      <c r="AK321" s="1557"/>
      <c r="AL321" s="1294"/>
      <c r="AM321" s="1294"/>
      <c r="AN321" s="398"/>
      <c r="AO321" s="401"/>
      <c r="AP321" s="398"/>
      <c r="AQ321" s="398"/>
      <c r="AR321" s="398"/>
      <c r="AS321" s="401"/>
      <c r="AT321" s="398"/>
      <c r="AU321" s="398"/>
      <c r="AV321" s="398"/>
      <c r="AW321" s="401"/>
      <c r="AX321" s="398"/>
      <c r="AY321" s="398"/>
      <c r="AZ321" s="398"/>
      <c r="BA321" s="401"/>
      <c r="BB321" s="398"/>
      <c r="BC321" s="1674"/>
      <c r="BD321" s="1674"/>
      <c r="BE321" s="1674"/>
      <c r="BF321" s="1674"/>
      <c r="BG321" s="1674"/>
      <c r="BH321" s="1674"/>
      <c r="BI321" s="1674"/>
      <c r="BJ321" s="1546"/>
      <c r="BK321" s="1674"/>
      <c r="BL321" s="1709">
        <v>0.16</v>
      </c>
      <c r="BM321" s="1674"/>
      <c r="BN321" s="1674"/>
      <c r="BO321" s="1674"/>
      <c r="BP321" s="1674"/>
      <c r="BR321" s="1483"/>
      <c r="BS321" s="1483"/>
      <c r="BT321" s="1483"/>
      <c r="BU321" s="1675"/>
    </row>
    <row r="322" spans="1:73" s="304" customFormat="1" ht="11.65" customHeight="1">
      <c r="A322" s="1677" t="s">
        <v>627</v>
      </c>
      <c r="B322" s="836"/>
      <c r="C322" s="837"/>
      <c r="D322" s="837"/>
      <c r="E322" s="838"/>
      <c r="F322" s="837"/>
      <c r="G322" s="837"/>
      <c r="H322" s="837"/>
      <c r="I322" s="838"/>
      <c r="J322" s="837"/>
      <c r="K322" s="837"/>
      <c r="L322" s="837"/>
      <c r="M322" s="838"/>
      <c r="N322" s="836"/>
      <c r="O322" s="836"/>
      <c r="P322" s="836"/>
      <c r="Q322" s="1041"/>
      <c r="R322" s="836"/>
      <c r="S322" s="1294"/>
      <c r="T322" s="1294"/>
      <c r="U322" s="1557"/>
      <c r="V322" s="1294"/>
      <c r="W322" s="1294"/>
      <c r="X322" s="1294"/>
      <c r="Y322" s="1557"/>
      <c r="Z322" s="1294"/>
      <c r="AA322" s="1294"/>
      <c r="AB322" s="1294"/>
      <c r="AC322" s="1557"/>
      <c r="AD322" s="1294"/>
      <c r="AE322" s="1294"/>
      <c r="AF322" s="1294"/>
      <c r="AG322" s="1557"/>
      <c r="AH322" s="1294"/>
      <c r="AI322" s="1294"/>
      <c r="AJ322" s="1294"/>
      <c r="AK322" s="1557"/>
      <c r="AL322" s="1294"/>
      <c r="AM322" s="1294"/>
      <c r="AN322" s="398"/>
      <c r="AO322" s="401"/>
      <c r="AP322" s="398"/>
      <c r="AQ322" s="398"/>
      <c r="AR322" s="398"/>
      <c r="AS322" s="401"/>
      <c r="AT322" s="398"/>
      <c r="AU322" s="398"/>
      <c r="AV322" s="398"/>
      <c r="AW322" s="401"/>
      <c r="AX322" s="398"/>
      <c r="AY322" s="398"/>
      <c r="AZ322" s="398"/>
      <c r="BA322" s="401"/>
      <c r="BB322" s="398"/>
      <c r="BC322" s="1674"/>
      <c r="BD322" s="1674"/>
      <c r="BE322" s="1674"/>
      <c r="BF322" s="1674"/>
      <c r="BG322" s="1674"/>
      <c r="BH322" s="1674"/>
      <c r="BI322" s="1674"/>
      <c r="BJ322" s="1546"/>
      <c r="BK322" s="1676">
        <v>19000</v>
      </c>
      <c r="BL322" s="1676">
        <v>23000</v>
      </c>
      <c r="BM322" s="1674"/>
      <c r="BN322" s="1674"/>
      <c r="BO322" s="1674"/>
      <c r="BP322" s="1674"/>
      <c r="BR322" s="1483"/>
      <c r="BS322" s="1483"/>
      <c r="BT322" s="1483"/>
      <c r="BU322" s="1675"/>
    </row>
    <row r="323" spans="1:73" s="304" customFormat="1" ht="11.65" customHeight="1">
      <c r="A323" s="1677" t="s">
        <v>636</v>
      </c>
      <c r="B323" s="836"/>
      <c r="C323" s="837"/>
      <c r="D323" s="837"/>
      <c r="E323" s="838"/>
      <c r="F323" s="837"/>
      <c r="G323" s="837"/>
      <c r="H323" s="837"/>
      <c r="I323" s="838"/>
      <c r="J323" s="837"/>
      <c r="K323" s="837"/>
      <c r="L323" s="837"/>
      <c r="M323" s="838"/>
      <c r="N323" s="836"/>
      <c r="O323" s="836"/>
      <c r="P323" s="836"/>
      <c r="Q323" s="1041"/>
      <c r="R323" s="836"/>
      <c r="S323" s="1294"/>
      <c r="T323" s="1294"/>
      <c r="U323" s="1557"/>
      <c r="V323" s="1294"/>
      <c r="W323" s="1294"/>
      <c r="X323" s="1294"/>
      <c r="Y323" s="1557"/>
      <c r="Z323" s="1294"/>
      <c r="AA323" s="1294"/>
      <c r="AB323" s="1294"/>
      <c r="AC323" s="1557"/>
      <c r="AD323" s="1294"/>
      <c r="AE323" s="1294"/>
      <c r="AF323" s="1294"/>
      <c r="AG323" s="1557"/>
      <c r="AH323" s="1294"/>
      <c r="AI323" s="1294"/>
      <c r="AJ323" s="1294"/>
      <c r="AK323" s="1557"/>
      <c r="AL323" s="1294"/>
      <c r="AM323" s="1294"/>
      <c r="AN323" s="398"/>
      <c r="AO323" s="401"/>
      <c r="AP323" s="398"/>
      <c r="AQ323" s="398"/>
      <c r="AR323" s="398"/>
      <c r="AS323" s="401"/>
      <c r="AT323" s="398"/>
      <c r="AU323" s="398"/>
      <c r="AV323" s="398"/>
      <c r="AW323" s="401"/>
      <c r="AX323" s="398"/>
      <c r="AY323" s="398"/>
      <c r="AZ323" s="398"/>
      <c r="BA323" s="401"/>
      <c r="BB323" s="398"/>
      <c r="BC323" s="1674"/>
      <c r="BD323" s="1674"/>
      <c r="BE323" s="1674"/>
      <c r="BF323" s="1674"/>
      <c r="BG323" s="1674"/>
      <c r="BH323" s="1674"/>
      <c r="BI323" s="1674"/>
      <c r="BJ323" s="1683">
        <f>+BK323/(1+BK324)</f>
        <v>270642.20183486235</v>
      </c>
      <c r="BK323" s="1676">
        <v>295000</v>
      </c>
      <c r="BL323" s="1676"/>
      <c r="BM323" s="1674"/>
      <c r="BN323" s="1674"/>
      <c r="BO323" s="1674"/>
      <c r="BP323" s="1674"/>
      <c r="BR323" s="1483"/>
      <c r="BS323" s="1483"/>
      <c r="BT323" s="1483"/>
      <c r="BU323" s="1675"/>
    </row>
    <row r="324" spans="1:73" s="304" customFormat="1" ht="11.65" customHeight="1">
      <c r="A324" s="1714" t="s">
        <v>507</v>
      </c>
      <c r="B324" s="836"/>
      <c r="C324" s="837"/>
      <c r="D324" s="837"/>
      <c r="E324" s="838"/>
      <c r="F324" s="837"/>
      <c r="G324" s="837"/>
      <c r="H324" s="837"/>
      <c r="I324" s="838"/>
      <c r="J324" s="837"/>
      <c r="K324" s="837"/>
      <c r="L324" s="837"/>
      <c r="M324" s="838"/>
      <c r="N324" s="836"/>
      <c r="O324" s="836"/>
      <c r="P324" s="836"/>
      <c r="Q324" s="1041"/>
      <c r="R324" s="836"/>
      <c r="S324" s="1294"/>
      <c r="T324" s="1294"/>
      <c r="U324" s="1557"/>
      <c r="V324" s="1294"/>
      <c r="W324" s="1294"/>
      <c r="X324" s="1294"/>
      <c r="Y324" s="1557"/>
      <c r="Z324" s="1294"/>
      <c r="AA324" s="1294"/>
      <c r="AB324" s="1294"/>
      <c r="AC324" s="1557"/>
      <c r="AD324" s="1294"/>
      <c r="AE324" s="1294"/>
      <c r="AF324" s="1294"/>
      <c r="AG324" s="1557"/>
      <c r="AH324" s="1294"/>
      <c r="AI324" s="1294"/>
      <c r="AJ324" s="1294"/>
      <c r="AK324" s="1557"/>
      <c r="AL324" s="1294"/>
      <c r="AM324" s="1294"/>
      <c r="AN324" s="398"/>
      <c r="AO324" s="401"/>
      <c r="AP324" s="398"/>
      <c r="AQ324" s="398"/>
      <c r="AR324" s="398"/>
      <c r="AS324" s="401"/>
      <c r="AT324" s="398"/>
      <c r="AU324" s="398"/>
      <c r="AV324" s="398"/>
      <c r="AW324" s="401"/>
      <c r="AX324" s="398"/>
      <c r="AY324" s="398"/>
      <c r="AZ324" s="398"/>
      <c r="BA324" s="401"/>
      <c r="BB324" s="398"/>
      <c r="BC324" s="1674"/>
      <c r="BD324" s="1674"/>
      <c r="BE324" s="1674"/>
      <c r="BF324" s="1674"/>
      <c r="BG324" s="1674"/>
      <c r="BH324" s="1674"/>
      <c r="BI324" s="1674"/>
      <c r="BJ324" s="1546"/>
      <c r="BK324" s="1709">
        <v>0.09</v>
      </c>
      <c r="BL324" s="1709"/>
      <c r="BM324" s="1674"/>
      <c r="BN324" s="1674"/>
      <c r="BO324" s="1674"/>
      <c r="BP324" s="1674"/>
      <c r="BR324" s="1483"/>
      <c r="BS324" s="1483"/>
      <c r="BT324" s="1483"/>
      <c r="BU324" s="1675"/>
    </row>
    <row r="325" spans="1:73" s="304" customFormat="1" ht="11.65" customHeight="1">
      <c r="A325" s="1677"/>
      <c r="B325" s="836"/>
      <c r="C325" s="837"/>
      <c r="D325" s="837"/>
      <c r="E325" s="838"/>
      <c r="F325" s="837"/>
      <c r="G325" s="837"/>
      <c r="H325" s="837"/>
      <c r="I325" s="838"/>
      <c r="J325" s="837"/>
      <c r="K325" s="837"/>
      <c r="L325" s="837"/>
      <c r="M325" s="838"/>
      <c r="N325" s="836"/>
      <c r="O325" s="836"/>
      <c r="P325" s="836"/>
      <c r="Q325" s="1041"/>
      <c r="R325" s="836"/>
      <c r="S325" s="1294"/>
      <c r="T325" s="1294"/>
      <c r="U325" s="1557"/>
      <c r="V325" s="1294"/>
      <c r="W325" s="1294"/>
      <c r="X325" s="1294"/>
      <c r="Y325" s="1557"/>
      <c r="Z325" s="1294"/>
      <c r="AA325" s="1294"/>
      <c r="AB325" s="1294"/>
      <c r="AC325" s="1557"/>
      <c r="AD325" s="1294"/>
      <c r="AE325" s="1294"/>
      <c r="AF325" s="1294"/>
      <c r="AG325" s="1557"/>
      <c r="AH325" s="1294"/>
      <c r="AI325" s="1294"/>
      <c r="AJ325" s="1294"/>
      <c r="AK325" s="1557"/>
      <c r="AL325" s="1294"/>
      <c r="AM325" s="1294"/>
      <c r="AN325" s="398"/>
      <c r="AO325" s="401"/>
      <c r="AP325" s="398"/>
      <c r="AQ325" s="398"/>
      <c r="AR325" s="398"/>
      <c r="AS325" s="401"/>
      <c r="AT325" s="398"/>
      <c r="AU325" s="398"/>
      <c r="AV325" s="398"/>
      <c r="AW325" s="401"/>
      <c r="AX325" s="398"/>
      <c r="AY325" s="398"/>
      <c r="AZ325" s="398"/>
      <c r="BA325" s="401"/>
      <c r="BB325" s="398"/>
      <c r="BC325" s="1674"/>
      <c r="BD325" s="1674"/>
      <c r="BE325" s="1674"/>
      <c r="BF325" s="1674"/>
      <c r="BG325" s="1674"/>
      <c r="BH325" s="1674"/>
      <c r="BI325" s="1674"/>
      <c r="BJ325" s="1546"/>
      <c r="BK325" s="1674"/>
      <c r="BL325" s="1709"/>
      <c r="BM325" s="1674"/>
      <c r="BN325" s="1674"/>
      <c r="BO325" s="1674"/>
      <c r="BP325" s="1674"/>
      <c r="BR325" s="1483"/>
      <c r="BS325" s="1483"/>
      <c r="BT325" s="1483"/>
      <c r="BU325" s="1675"/>
    </row>
    <row r="326" spans="1:73" s="304" customFormat="1" ht="11.65" customHeight="1">
      <c r="A326" s="1547" t="s">
        <v>552</v>
      </c>
      <c r="B326" s="836"/>
      <c r="C326" s="837"/>
      <c r="D326" s="837"/>
      <c r="E326" s="838"/>
      <c r="F326" s="837"/>
      <c r="G326" s="837"/>
      <c r="H326" s="837"/>
      <c r="I326" s="838"/>
      <c r="J326" s="837"/>
      <c r="K326" s="837"/>
      <c r="L326" s="837"/>
      <c r="M326" s="838"/>
      <c r="N326" s="836"/>
      <c r="O326" s="836"/>
      <c r="P326" s="836"/>
      <c r="Q326" s="1041"/>
      <c r="R326" s="836"/>
      <c r="S326" s="1294"/>
      <c r="T326" s="1294"/>
      <c r="U326" s="1557"/>
      <c r="V326" s="1294"/>
      <c r="W326" s="1294"/>
      <c r="X326" s="1294"/>
      <c r="Y326" s="1557"/>
      <c r="Z326" s="1294"/>
      <c r="AA326" s="1294"/>
      <c r="AB326" s="1294"/>
      <c r="AC326" s="1557"/>
      <c r="AD326" s="1294"/>
      <c r="AE326" s="1294"/>
      <c r="AF326" s="1294"/>
      <c r="AG326" s="1557"/>
      <c r="AH326" s="1294"/>
      <c r="AI326" s="1294"/>
      <c r="AJ326" s="1294"/>
      <c r="AK326" s="1557"/>
      <c r="AL326" s="1294"/>
      <c r="AM326" s="1294"/>
      <c r="AN326" s="398"/>
      <c r="AO326" s="401"/>
      <c r="AP326" s="398"/>
      <c r="AQ326" s="398"/>
      <c r="AR326" s="398"/>
      <c r="AS326" s="401"/>
      <c r="AT326" s="398"/>
      <c r="AU326" s="398"/>
      <c r="AV326" s="398"/>
      <c r="AW326" s="401"/>
      <c r="AX326" s="398"/>
      <c r="AY326" s="398"/>
      <c r="AZ326" s="398"/>
      <c r="BA326" s="401"/>
      <c r="BB326" s="398"/>
      <c r="BC326" s="1674"/>
      <c r="BD326" s="1674"/>
      <c r="BE326" s="1674"/>
      <c r="BF326" s="1674"/>
      <c r="BG326" s="1674"/>
      <c r="BH326" s="1674"/>
      <c r="BI326" s="1674"/>
      <c r="BJ326" s="1546"/>
      <c r="BK326" s="1674"/>
      <c r="BL326" s="1709"/>
      <c r="BM326" s="1674"/>
      <c r="BN326" s="1674"/>
      <c r="BO326" s="1674"/>
      <c r="BP326" s="1674"/>
      <c r="BR326" s="1483"/>
      <c r="BS326" s="1483"/>
      <c r="BT326" s="1483"/>
      <c r="BU326" s="1675"/>
    </row>
    <row r="327" spans="1:73" s="304" customFormat="1" ht="11.65" customHeight="1">
      <c r="A327" s="1677" t="s">
        <v>544</v>
      </c>
      <c r="B327" s="836"/>
      <c r="C327" s="837"/>
      <c r="D327" s="837"/>
      <c r="E327" s="838"/>
      <c r="F327" s="837"/>
      <c r="G327" s="837"/>
      <c r="H327" s="837"/>
      <c r="I327" s="838"/>
      <c r="J327" s="837"/>
      <c r="K327" s="837"/>
      <c r="L327" s="837"/>
      <c r="M327" s="838"/>
      <c r="N327" s="836"/>
      <c r="O327" s="836"/>
      <c r="P327" s="836"/>
      <c r="Q327" s="1041"/>
      <c r="R327" s="836"/>
      <c r="S327" s="1294"/>
      <c r="T327" s="1294"/>
      <c r="U327" s="1557"/>
      <c r="V327" s="1294"/>
      <c r="W327" s="1294"/>
      <c r="X327" s="1294"/>
      <c r="Y327" s="1557"/>
      <c r="Z327" s="1294"/>
      <c r="AA327" s="1294"/>
      <c r="AB327" s="1294"/>
      <c r="AC327" s="1557"/>
      <c r="AD327" s="1294"/>
      <c r="AE327" s="1294"/>
      <c r="AF327" s="1294"/>
      <c r="AG327" s="1557"/>
      <c r="AH327" s="1294"/>
      <c r="AI327" s="1294"/>
      <c r="AJ327" s="1294"/>
      <c r="AK327" s="1557"/>
      <c r="AL327" s="1294"/>
      <c r="AM327" s="1294"/>
      <c r="AN327" s="398"/>
      <c r="AO327" s="401"/>
      <c r="AP327" s="398"/>
      <c r="AQ327" s="398"/>
      <c r="AR327" s="398"/>
      <c r="AS327" s="401"/>
      <c r="AT327" s="398"/>
      <c r="AU327" s="398"/>
      <c r="AV327" s="398"/>
      <c r="AW327" s="401"/>
      <c r="AX327" s="398"/>
      <c r="AY327" s="398"/>
      <c r="AZ327" s="398"/>
      <c r="BA327" s="401"/>
      <c r="BB327" s="398"/>
      <c r="BC327" s="1674"/>
      <c r="BD327" s="1674"/>
      <c r="BE327" s="1674"/>
      <c r="BF327" s="1674"/>
      <c r="BG327" s="1674"/>
      <c r="BH327" s="1674"/>
      <c r="BI327" s="1674"/>
      <c r="BJ327" s="1546"/>
      <c r="BK327" s="1674"/>
      <c r="BL327" s="1676">
        <v>1000</v>
      </c>
      <c r="BM327" s="1676">
        <v>1400</v>
      </c>
      <c r="BN327" s="1674"/>
      <c r="BO327" s="1674"/>
      <c r="BP327" s="1674"/>
      <c r="BR327" s="1483"/>
      <c r="BS327" s="1483"/>
      <c r="BT327" s="1483"/>
      <c r="BU327" s="1675"/>
    </row>
    <row r="328" spans="1:73" s="304" customFormat="1" ht="11.65" customHeight="1">
      <c r="A328" s="1714" t="s">
        <v>507</v>
      </c>
      <c r="B328" s="836"/>
      <c r="C328" s="837"/>
      <c r="D328" s="837"/>
      <c r="E328" s="838"/>
      <c r="F328" s="837"/>
      <c r="G328" s="837"/>
      <c r="H328" s="837"/>
      <c r="I328" s="838"/>
      <c r="J328" s="837"/>
      <c r="K328" s="837"/>
      <c r="L328" s="837"/>
      <c r="M328" s="838"/>
      <c r="N328" s="836"/>
      <c r="O328" s="836"/>
      <c r="P328" s="836"/>
      <c r="Q328" s="1041"/>
      <c r="R328" s="836"/>
      <c r="S328" s="1294"/>
      <c r="T328" s="1294"/>
      <c r="U328" s="1557"/>
      <c r="V328" s="1294"/>
      <c r="W328" s="1294"/>
      <c r="X328" s="1294"/>
      <c r="Y328" s="1557"/>
      <c r="Z328" s="1294"/>
      <c r="AA328" s="1294"/>
      <c r="AB328" s="1294"/>
      <c r="AC328" s="1557"/>
      <c r="AD328" s="1294"/>
      <c r="AE328" s="1294"/>
      <c r="AF328" s="1294"/>
      <c r="AG328" s="1557"/>
      <c r="AH328" s="1294"/>
      <c r="AI328" s="1294"/>
      <c r="AJ328" s="1294"/>
      <c r="AK328" s="1557"/>
      <c r="AL328" s="1294"/>
      <c r="AM328" s="1294"/>
      <c r="AN328" s="398"/>
      <c r="AO328" s="401"/>
      <c r="AP328" s="398"/>
      <c r="AQ328" s="398"/>
      <c r="AR328" s="398"/>
      <c r="AS328" s="401"/>
      <c r="AT328" s="398"/>
      <c r="AU328" s="398"/>
      <c r="AV328" s="398"/>
      <c r="AW328" s="401"/>
      <c r="AX328" s="398"/>
      <c r="AY328" s="398"/>
      <c r="AZ328" s="398"/>
      <c r="BA328" s="401"/>
      <c r="BB328" s="398"/>
      <c r="BC328" s="1674"/>
      <c r="BD328" s="1674"/>
      <c r="BE328" s="1674"/>
      <c r="BF328" s="1674"/>
      <c r="BG328" s="1674"/>
      <c r="BH328" s="1674"/>
      <c r="BI328" s="1674"/>
      <c r="BJ328" s="1546"/>
      <c r="BK328" s="1674"/>
      <c r="BL328" s="1709">
        <v>0.36</v>
      </c>
      <c r="BM328" s="1709">
        <v>0.37</v>
      </c>
      <c r="BN328" s="1674"/>
      <c r="BO328" s="1674"/>
      <c r="BP328" s="1674"/>
      <c r="BR328" s="1483"/>
      <c r="BS328" s="1483"/>
      <c r="BT328" s="1483"/>
      <c r="BU328" s="1675"/>
    </row>
    <row r="329" spans="1:73" s="304" customFormat="1" ht="11.65" customHeight="1">
      <c r="A329" s="1677" t="s">
        <v>576</v>
      </c>
      <c r="B329" s="836"/>
      <c r="C329" s="837"/>
      <c r="D329" s="837"/>
      <c r="E329" s="838"/>
      <c r="F329" s="837"/>
      <c r="G329" s="837"/>
      <c r="H329" s="837"/>
      <c r="I329" s="838"/>
      <c r="J329" s="837"/>
      <c r="K329" s="837"/>
      <c r="L329" s="837"/>
      <c r="M329" s="838"/>
      <c r="N329" s="836"/>
      <c r="O329" s="836"/>
      <c r="P329" s="836"/>
      <c r="Q329" s="1041"/>
      <c r="R329" s="836"/>
      <c r="S329" s="1294"/>
      <c r="T329" s="1294"/>
      <c r="U329" s="1557"/>
      <c r="V329" s="1294"/>
      <c r="W329" s="1294"/>
      <c r="X329" s="1294"/>
      <c r="Y329" s="1557"/>
      <c r="Z329" s="1294"/>
      <c r="AA329" s="1294"/>
      <c r="AB329" s="1294"/>
      <c r="AC329" s="1557"/>
      <c r="AD329" s="1294"/>
      <c r="AE329" s="1294"/>
      <c r="AF329" s="1294"/>
      <c r="AG329" s="1557"/>
      <c r="AH329" s="1294"/>
      <c r="AI329" s="1294"/>
      <c r="AJ329" s="1294"/>
      <c r="AK329" s="1557"/>
      <c r="AL329" s="1294"/>
      <c r="AM329" s="1294"/>
      <c r="AN329" s="398"/>
      <c r="AO329" s="401"/>
      <c r="AP329" s="398"/>
      <c r="AQ329" s="398"/>
      <c r="AR329" s="398"/>
      <c r="AS329" s="401"/>
      <c r="AT329" s="398"/>
      <c r="AU329" s="398"/>
      <c r="AV329" s="398"/>
      <c r="AW329" s="401"/>
      <c r="AX329" s="398"/>
      <c r="AY329" s="398"/>
      <c r="AZ329" s="398"/>
      <c r="BA329" s="401"/>
      <c r="BB329" s="398"/>
      <c r="BC329" s="1674"/>
      <c r="BD329" s="1674"/>
      <c r="BE329" s="1674"/>
      <c r="BF329" s="1674"/>
      <c r="BG329" s="1674"/>
      <c r="BH329" s="1674"/>
      <c r="BI329" s="1674"/>
      <c r="BJ329" s="1683">
        <f>+BK329/(1+BK330)</f>
        <v>125423.72881355933</v>
      </c>
      <c r="BK329" s="1676">
        <v>148000</v>
      </c>
      <c r="BL329" s="1676">
        <v>165000</v>
      </c>
      <c r="BM329" s="1676">
        <v>214000</v>
      </c>
      <c r="BN329" s="1674"/>
      <c r="BO329" s="1674"/>
      <c r="BP329" s="1674"/>
      <c r="BR329" s="1483"/>
      <c r="BS329" s="1483"/>
      <c r="BT329" s="1483"/>
      <c r="BU329" s="1675"/>
    </row>
    <row r="330" spans="1:73" s="304" customFormat="1" ht="11.65" customHeight="1">
      <c r="A330" s="1714" t="s">
        <v>507</v>
      </c>
      <c r="B330" s="836"/>
      <c r="C330" s="837"/>
      <c r="D330" s="837"/>
      <c r="E330" s="838"/>
      <c r="F330" s="837"/>
      <c r="G330" s="837"/>
      <c r="H330" s="837"/>
      <c r="I330" s="838"/>
      <c r="J330" s="837"/>
      <c r="K330" s="837"/>
      <c r="L330" s="837"/>
      <c r="M330" s="838"/>
      <c r="N330" s="836"/>
      <c r="O330" s="836"/>
      <c r="P330" s="836"/>
      <c r="Q330" s="1041"/>
      <c r="R330" s="836"/>
      <c r="S330" s="1294"/>
      <c r="T330" s="1294"/>
      <c r="U330" s="1557"/>
      <c r="V330" s="1294"/>
      <c r="W330" s="1294"/>
      <c r="X330" s="1294"/>
      <c r="Y330" s="1557"/>
      <c r="Z330" s="1294"/>
      <c r="AA330" s="1294"/>
      <c r="AB330" s="1294"/>
      <c r="AC330" s="1557"/>
      <c r="AD330" s="1294"/>
      <c r="AE330" s="1294"/>
      <c r="AF330" s="1294"/>
      <c r="AG330" s="1557"/>
      <c r="AH330" s="1294"/>
      <c r="AI330" s="1294"/>
      <c r="AJ330" s="1294"/>
      <c r="AK330" s="1557"/>
      <c r="AL330" s="1294"/>
      <c r="AM330" s="1294"/>
      <c r="AN330" s="398"/>
      <c r="AO330" s="401"/>
      <c r="AP330" s="398"/>
      <c r="AQ330" s="398"/>
      <c r="AR330" s="398"/>
      <c r="AS330" s="401"/>
      <c r="AT330" s="398"/>
      <c r="AU330" s="398"/>
      <c r="AV330" s="398"/>
      <c r="AW330" s="401"/>
      <c r="AX330" s="398"/>
      <c r="AY330" s="398"/>
      <c r="AZ330" s="398"/>
      <c r="BA330" s="401"/>
      <c r="BB330" s="398"/>
      <c r="BC330" s="1674"/>
      <c r="BD330" s="1674"/>
      <c r="BE330" s="1674"/>
      <c r="BF330" s="1674"/>
      <c r="BG330" s="1674"/>
      <c r="BH330" s="1674"/>
      <c r="BI330" s="1674"/>
      <c r="BJ330" s="1546"/>
      <c r="BK330" s="1709">
        <v>0.18</v>
      </c>
      <c r="BL330" s="1709">
        <v>0.12</v>
      </c>
      <c r="BM330" s="1709">
        <v>0.25</v>
      </c>
      <c r="BN330" s="1674"/>
      <c r="BO330" s="1674"/>
      <c r="BP330" s="1674"/>
      <c r="BR330" s="1483"/>
      <c r="BS330" s="1483"/>
      <c r="BT330" s="1483"/>
      <c r="BU330" s="1675"/>
    </row>
    <row r="331" spans="1:73" s="304" customFormat="1" ht="11.65" customHeight="1">
      <c r="A331" s="1677" t="s">
        <v>540</v>
      </c>
      <c r="B331" s="836"/>
      <c r="C331" s="837"/>
      <c r="D331" s="837"/>
      <c r="E331" s="838"/>
      <c r="F331" s="837"/>
      <c r="G331" s="837"/>
      <c r="H331" s="837"/>
      <c r="I331" s="838"/>
      <c r="J331" s="837"/>
      <c r="K331" s="837"/>
      <c r="L331" s="837"/>
      <c r="M331" s="838"/>
      <c r="N331" s="836"/>
      <c r="O331" s="836"/>
      <c r="P331" s="836"/>
      <c r="Q331" s="1041"/>
      <c r="R331" s="836"/>
      <c r="S331" s="1294"/>
      <c r="T331" s="1294"/>
      <c r="U331" s="1557"/>
      <c r="V331" s="1294"/>
      <c r="W331" s="1294"/>
      <c r="X331" s="1294"/>
      <c r="Y331" s="1557"/>
      <c r="Z331" s="1294"/>
      <c r="AA331" s="1294"/>
      <c r="AB331" s="1294"/>
      <c r="AC331" s="1557"/>
      <c r="AD331" s="1294"/>
      <c r="AE331" s="1294"/>
      <c r="AF331" s="1294"/>
      <c r="AG331" s="1557"/>
      <c r="AH331" s="1294"/>
      <c r="AI331" s="1294"/>
      <c r="AJ331" s="1294"/>
      <c r="AK331" s="1557"/>
      <c r="AL331" s="1294"/>
      <c r="AM331" s="1294"/>
      <c r="AN331" s="398"/>
      <c r="AO331" s="401"/>
      <c r="AP331" s="398"/>
      <c r="AQ331" s="398"/>
      <c r="AR331" s="398"/>
      <c r="AS331" s="401"/>
      <c r="AT331" s="398"/>
      <c r="AU331" s="398"/>
      <c r="AV331" s="398"/>
      <c r="AW331" s="401"/>
      <c r="AX331" s="398"/>
      <c r="AY331" s="398"/>
      <c r="AZ331" s="398"/>
      <c r="BA331" s="401"/>
      <c r="BB331" s="398"/>
      <c r="BC331" s="1674"/>
      <c r="BD331" s="1674"/>
      <c r="BE331" s="1674"/>
      <c r="BF331" s="1674"/>
      <c r="BG331" s="1674"/>
      <c r="BH331" s="1674"/>
      <c r="BI331" s="1674"/>
      <c r="BJ331" s="1546"/>
      <c r="BK331" s="1683">
        <f>+BL331/(1+BL332)</f>
        <v>103333.33333333334</v>
      </c>
      <c r="BL331" s="1676">
        <v>124000</v>
      </c>
      <c r="BM331" s="1676">
        <v>174000</v>
      </c>
      <c r="BN331" s="1674"/>
      <c r="BO331" s="1674"/>
      <c r="BP331" s="1674"/>
      <c r="BR331" s="1483"/>
      <c r="BS331" s="1483"/>
      <c r="BT331" s="1483"/>
      <c r="BU331" s="1675"/>
    </row>
    <row r="332" spans="1:73" s="304" customFormat="1" ht="11.65" customHeight="1">
      <c r="A332" s="1714" t="s">
        <v>507</v>
      </c>
      <c r="B332" s="836"/>
      <c r="C332" s="837"/>
      <c r="D332" s="837"/>
      <c r="E332" s="838"/>
      <c r="F332" s="837"/>
      <c r="G332" s="837"/>
      <c r="H332" s="837"/>
      <c r="I332" s="838"/>
      <c r="J332" s="837"/>
      <c r="K332" s="837"/>
      <c r="L332" s="837"/>
      <c r="M332" s="838"/>
      <c r="N332" s="836"/>
      <c r="O332" s="836"/>
      <c r="P332" s="836"/>
      <c r="Q332" s="1041"/>
      <c r="R332" s="836"/>
      <c r="S332" s="1294"/>
      <c r="T332" s="1294"/>
      <c r="U332" s="1557"/>
      <c r="V332" s="1294"/>
      <c r="W332" s="1294"/>
      <c r="X332" s="1294"/>
      <c r="Y332" s="1557"/>
      <c r="Z332" s="1294"/>
      <c r="AA332" s="1294"/>
      <c r="AB332" s="1294"/>
      <c r="AC332" s="1557"/>
      <c r="AD332" s="1294"/>
      <c r="AE332" s="1294"/>
      <c r="AF332" s="1294"/>
      <c r="AG332" s="1557"/>
      <c r="AH332" s="1294"/>
      <c r="AI332" s="1294"/>
      <c r="AJ332" s="1294"/>
      <c r="AK332" s="1557"/>
      <c r="AL332" s="1294"/>
      <c r="AM332" s="1294"/>
      <c r="AN332" s="398"/>
      <c r="AO332" s="401"/>
      <c r="AP332" s="398"/>
      <c r="AQ332" s="398"/>
      <c r="AR332" s="398"/>
      <c r="AS332" s="401"/>
      <c r="AT332" s="398"/>
      <c r="AU332" s="398"/>
      <c r="AV332" s="398"/>
      <c r="AW332" s="401"/>
      <c r="AX332" s="398"/>
      <c r="AY332" s="398"/>
      <c r="AZ332" s="398"/>
      <c r="BA332" s="401"/>
      <c r="BB332" s="398"/>
      <c r="BC332" s="1674"/>
      <c r="BD332" s="1674"/>
      <c r="BE332" s="1674"/>
      <c r="BF332" s="1674"/>
      <c r="BG332" s="1674"/>
      <c r="BH332" s="1674"/>
      <c r="BI332" s="1674"/>
      <c r="BJ332" s="1546"/>
      <c r="BK332" s="1674"/>
      <c r="BL332" s="1709">
        <v>0.2</v>
      </c>
      <c r="BM332" s="1709">
        <v>0.34</v>
      </c>
      <c r="BN332" s="1674"/>
      <c r="BO332" s="1674"/>
      <c r="BP332" s="1674"/>
      <c r="BR332" s="1483"/>
      <c r="BS332" s="1483"/>
      <c r="BT332" s="1483"/>
      <c r="BU332" s="1675"/>
    </row>
    <row r="333" spans="1:73" s="304" customFormat="1" ht="11.65" customHeight="1">
      <c r="A333" s="1677" t="s">
        <v>580</v>
      </c>
      <c r="B333" s="836"/>
      <c r="C333" s="837"/>
      <c r="D333" s="837"/>
      <c r="E333" s="838"/>
      <c r="F333" s="837"/>
      <c r="G333" s="837"/>
      <c r="H333" s="837"/>
      <c r="I333" s="838"/>
      <c r="J333" s="837"/>
      <c r="K333" s="837"/>
      <c r="L333" s="837"/>
      <c r="M333" s="838"/>
      <c r="N333" s="836"/>
      <c r="O333" s="836"/>
      <c r="P333" s="836"/>
      <c r="Q333" s="1041"/>
      <c r="R333" s="836"/>
      <c r="S333" s="1294"/>
      <c r="T333" s="1294"/>
      <c r="U333" s="1557"/>
      <c r="V333" s="1294"/>
      <c r="W333" s="1294"/>
      <c r="X333" s="1294"/>
      <c r="Y333" s="1557"/>
      <c r="Z333" s="1294"/>
      <c r="AA333" s="1294"/>
      <c r="AB333" s="1294"/>
      <c r="AC333" s="1557"/>
      <c r="AD333" s="1294"/>
      <c r="AE333" s="1294"/>
      <c r="AF333" s="1294"/>
      <c r="AG333" s="1557"/>
      <c r="AH333" s="1294"/>
      <c r="AI333" s="1294"/>
      <c r="AJ333" s="1294"/>
      <c r="AK333" s="1557"/>
      <c r="AL333" s="1294"/>
      <c r="AM333" s="1294"/>
      <c r="AN333" s="398"/>
      <c r="AO333" s="401"/>
      <c r="AP333" s="398"/>
      <c r="AQ333" s="398"/>
      <c r="AR333" s="398"/>
      <c r="AS333" s="401"/>
      <c r="AT333" s="398"/>
      <c r="AU333" s="398"/>
      <c r="AV333" s="398"/>
      <c r="AW333" s="401"/>
      <c r="AX333" s="398"/>
      <c r="AY333" s="398"/>
      <c r="AZ333" s="398"/>
      <c r="BA333" s="401"/>
      <c r="BB333" s="398"/>
      <c r="BC333" s="1674"/>
      <c r="BD333" s="1674"/>
      <c r="BE333" s="1674"/>
      <c r="BF333" s="1674"/>
      <c r="BG333" s="1674"/>
      <c r="BH333" s="1674"/>
      <c r="BI333" s="1674"/>
      <c r="BJ333" s="1546"/>
      <c r="BK333" s="1674"/>
      <c r="BL333" s="1676">
        <v>97000</v>
      </c>
      <c r="BM333" s="1676"/>
      <c r="BN333" s="1674"/>
      <c r="BO333" s="1674"/>
      <c r="BP333" s="1674"/>
      <c r="BR333" s="1483"/>
      <c r="BS333" s="1483"/>
      <c r="BT333" s="1483"/>
      <c r="BU333" s="1675"/>
    </row>
    <row r="334" spans="1:73" s="304" customFormat="1" ht="11.65" customHeight="1">
      <c r="A334" s="1677" t="s">
        <v>575</v>
      </c>
      <c r="B334" s="836"/>
      <c r="C334" s="837"/>
      <c r="D334" s="837"/>
      <c r="E334" s="838"/>
      <c r="F334" s="837"/>
      <c r="G334" s="837"/>
      <c r="H334" s="837"/>
      <c r="I334" s="838"/>
      <c r="J334" s="837"/>
      <c r="K334" s="837"/>
      <c r="L334" s="837"/>
      <c r="M334" s="838"/>
      <c r="N334" s="836"/>
      <c r="O334" s="836"/>
      <c r="P334" s="836"/>
      <c r="Q334" s="1041"/>
      <c r="R334" s="836"/>
      <c r="S334" s="1294"/>
      <c r="T334" s="1294"/>
      <c r="U334" s="1557"/>
      <c r="V334" s="1294"/>
      <c r="W334" s="1294"/>
      <c r="X334" s="1294"/>
      <c r="Y334" s="1557"/>
      <c r="Z334" s="1294"/>
      <c r="AA334" s="1294"/>
      <c r="AB334" s="1294"/>
      <c r="AC334" s="1557"/>
      <c r="AD334" s="1294"/>
      <c r="AE334" s="1294"/>
      <c r="AF334" s="1294"/>
      <c r="AG334" s="1557"/>
      <c r="AH334" s="1294"/>
      <c r="AI334" s="1294"/>
      <c r="AJ334" s="1294"/>
      <c r="AK334" s="1557"/>
      <c r="AL334" s="1294"/>
      <c r="AM334" s="1294"/>
      <c r="AN334" s="398"/>
      <c r="AO334" s="401"/>
      <c r="AP334" s="398"/>
      <c r="AQ334" s="398"/>
      <c r="AR334" s="398"/>
      <c r="AS334" s="401"/>
      <c r="AT334" s="398"/>
      <c r="AU334" s="398"/>
      <c r="AV334" s="398"/>
      <c r="AW334" s="401"/>
      <c r="AX334" s="398"/>
      <c r="AY334" s="398"/>
      <c r="AZ334" s="398"/>
      <c r="BA334" s="401"/>
      <c r="BB334" s="398"/>
      <c r="BC334" s="1674"/>
      <c r="BD334" s="1674"/>
      <c r="BE334" s="1674"/>
      <c r="BF334" s="1674"/>
      <c r="BG334" s="1674"/>
      <c r="BH334" s="1674"/>
      <c r="BI334" s="1674"/>
      <c r="BJ334" s="1546"/>
      <c r="BK334" s="1674"/>
      <c r="BL334" s="1676">
        <v>7000</v>
      </c>
      <c r="BM334" s="1676">
        <v>28000</v>
      </c>
      <c r="BN334" s="1674"/>
      <c r="BO334" s="1674"/>
      <c r="BP334" s="1674"/>
      <c r="BR334" s="1483"/>
      <c r="BS334" s="1483"/>
      <c r="BT334" s="1483"/>
      <c r="BU334" s="1675"/>
    </row>
    <row r="335" spans="1:73" s="304" customFormat="1" ht="11.65" customHeight="1">
      <c r="A335" s="1714" t="s">
        <v>581</v>
      </c>
      <c r="B335" s="836"/>
      <c r="C335" s="837"/>
      <c r="D335" s="837"/>
      <c r="E335" s="838"/>
      <c r="F335" s="837"/>
      <c r="G335" s="837"/>
      <c r="H335" s="837"/>
      <c r="I335" s="838"/>
      <c r="J335" s="837"/>
      <c r="K335" s="837"/>
      <c r="L335" s="837"/>
      <c r="M335" s="838"/>
      <c r="N335" s="836"/>
      <c r="O335" s="836"/>
      <c r="P335" s="836"/>
      <c r="Q335" s="1041"/>
      <c r="R335" s="836"/>
      <c r="S335" s="1294"/>
      <c r="T335" s="1294"/>
      <c r="U335" s="1557"/>
      <c r="V335" s="1294"/>
      <c r="W335" s="1294"/>
      <c r="X335" s="1294"/>
      <c r="Y335" s="1557"/>
      <c r="Z335" s="1294"/>
      <c r="AA335" s="1294"/>
      <c r="AB335" s="1294"/>
      <c r="AC335" s="1557"/>
      <c r="AD335" s="1294"/>
      <c r="AE335" s="1294"/>
      <c r="AF335" s="1294"/>
      <c r="AG335" s="1557"/>
      <c r="AH335" s="1294"/>
      <c r="AI335" s="1294"/>
      <c r="AJ335" s="1294"/>
      <c r="AK335" s="1557"/>
      <c r="AL335" s="1294"/>
      <c r="AM335" s="1294"/>
      <c r="AN335" s="398"/>
      <c r="AO335" s="401"/>
      <c r="AP335" s="398"/>
      <c r="AQ335" s="398"/>
      <c r="AR335" s="398"/>
      <c r="AS335" s="401"/>
      <c r="AT335" s="398"/>
      <c r="AU335" s="398"/>
      <c r="AV335" s="398"/>
      <c r="AW335" s="401"/>
      <c r="AX335" s="398"/>
      <c r="AY335" s="398"/>
      <c r="AZ335" s="398"/>
      <c r="BA335" s="401"/>
      <c r="BB335" s="398"/>
      <c r="BC335" s="1674"/>
      <c r="BD335" s="1674"/>
      <c r="BE335" s="1674"/>
      <c r="BF335" s="1674"/>
      <c r="BG335" s="1674"/>
      <c r="BH335" s="1674"/>
      <c r="BI335" s="1674"/>
      <c r="BJ335" s="1546"/>
      <c r="BK335" s="1674"/>
      <c r="BL335" s="1728">
        <v>4</v>
      </c>
      <c r="BM335" s="2130">
        <f>BM334/BL334</f>
        <v>4</v>
      </c>
      <c r="BN335" s="1674"/>
      <c r="BO335" s="1674"/>
      <c r="BP335" s="1674"/>
      <c r="BR335" s="1483"/>
      <c r="BS335" s="1483"/>
      <c r="BT335" s="1483"/>
      <c r="BU335" s="1675"/>
    </row>
    <row r="336" spans="1:73" s="304" customFormat="1" ht="11.65" customHeight="1">
      <c r="A336" s="1677" t="s">
        <v>578</v>
      </c>
      <c r="B336" s="836"/>
      <c r="C336" s="837"/>
      <c r="D336" s="837"/>
      <c r="E336" s="838"/>
      <c r="F336" s="837"/>
      <c r="G336" s="837"/>
      <c r="H336" s="837"/>
      <c r="I336" s="838"/>
      <c r="J336" s="837"/>
      <c r="K336" s="837"/>
      <c r="L336" s="837"/>
      <c r="M336" s="838"/>
      <c r="N336" s="836"/>
      <c r="O336" s="836"/>
      <c r="P336" s="836"/>
      <c r="Q336" s="1041"/>
      <c r="R336" s="836"/>
      <c r="S336" s="1294"/>
      <c r="T336" s="1294"/>
      <c r="U336" s="1557"/>
      <c r="V336" s="1294"/>
      <c r="W336" s="1294"/>
      <c r="X336" s="1294"/>
      <c r="Y336" s="1557"/>
      <c r="Z336" s="1294"/>
      <c r="AA336" s="1294"/>
      <c r="AB336" s="1294"/>
      <c r="AC336" s="1557"/>
      <c r="AD336" s="1294"/>
      <c r="AE336" s="1294"/>
      <c r="AF336" s="1294"/>
      <c r="AG336" s="1557"/>
      <c r="AH336" s="1294"/>
      <c r="AI336" s="1294"/>
      <c r="AJ336" s="1294"/>
      <c r="AK336" s="1557"/>
      <c r="AL336" s="1294"/>
      <c r="AM336" s="1294"/>
      <c r="AN336" s="398"/>
      <c r="AO336" s="401"/>
      <c r="AP336" s="398"/>
      <c r="AQ336" s="398"/>
      <c r="AR336" s="398"/>
      <c r="AS336" s="401"/>
      <c r="AT336" s="398"/>
      <c r="AU336" s="398"/>
      <c r="AV336" s="398"/>
      <c r="AW336" s="401"/>
      <c r="AX336" s="398"/>
      <c r="AY336" s="398"/>
      <c r="AZ336" s="398"/>
      <c r="BA336" s="401"/>
      <c r="BB336" s="398"/>
      <c r="BC336" s="1674"/>
      <c r="BD336" s="1674"/>
      <c r="BE336" s="1674"/>
      <c r="BF336" s="1674"/>
      <c r="BG336" s="1674"/>
      <c r="BH336" s="1674"/>
      <c r="BI336" s="1674"/>
      <c r="BJ336" s="1683">
        <f>+BK336/(1+BK337)</f>
        <v>1250</v>
      </c>
      <c r="BK336" s="1676">
        <v>1800</v>
      </c>
      <c r="BL336" s="1676">
        <v>2400</v>
      </c>
      <c r="BM336" s="1676">
        <v>4000</v>
      </c>
      <c r="BN336" s="1674"/>
      <c r="BO336" s="1674"/>
      <c r="BP336" s="1674"/>
      <c r="BR336" s="1483"/>
      <c r="BS336" s="1483"/>
      <c r="BT336" s="1483"/>
      <c r="BU336" s="1675"/>
    </row>
    <row r="337" spans="1:73" s="304" customFormat="1" ht="11.65" customHeight="1">
      <c r="A337" s="1714" t="s">
        <v>507</v>
      </c>
      <c r="B337" s="836"/>
      <c r="C337" s="837"/>
      <c r="D337" s="837"/>
      <c r="E337" s="838"/>
      <c r="F337" s="837"/>
      <c r="G337" s="837"/>
      <c r="H337" s="837"/>
      <c r="I337" s="838"/>
      <c r="J337" s="837"/>
      <c r="K337" s="837"/>
      <c r="L337" s="837"/>
      <c r="M337" s="838"/>
      <c r="N337" s="836"/>
      <c r="O337" s="836"/>
      <c r="P337" s="836"/>
      <c r="Q337" s="1041"/>
      <c r="R337" s="836"/>
      <c r="S337" s="1294"/>
      <c r="T337" s="1294"/>
      <c r="U337" s="1557"/>
      <c r="V337" s="1294"/>
      <c r="W337" s="1294"/>
      <c r="X337" s="1294"/>
      <c r="Y337" s="1557"/>
      <c r="Z337" s="1294"/>
      <c r="AA337" s="1294"/>
      <c r="AB337" s="1294"/>
      <c r="AC337" s="1557"/>
      <c r="AD337" s="1294"/>
      <c r="AE337" s="1294"/>
      <c r="AF337" s="1294"/>
      <c r="AG337" s="1557"/>
      <c r="AH337" s="1294"/>
      <c r="AI337" s="1294"/>
      <c r="AJ337" s="1294"/>
      <c r="AK337" s="1557"/>
      <c r="AL337" s="1294"/>
      <c r="AM337" s="1294"/>
      <c r="AN337" s="398"/>
      <c r="AO337" s="401"/>
      <c r="AP337" s="398"/>
      <c r="AQ337" s="398"/>
      <c r="AR337" s="398"/>
      <c r="AS337" s="401"/>
      <c r="AT337" s="398"/>
      <c r="AU337" s="398"/>
      <c r="AV337" s="398"/>
      <c r="AW337" s="401"/>
      <c r="AX337" s="398"/>
      <c r="AY337" s="398"/>
      <c r="AZ337" s="398"/>
      <c r="BA337" s="401"/>
      <c r="BB337" s="398"/>
      <c r="BC337" s="1674"/>
      <c r="BD337" s="1674"/>
      <c r="BE337" s="1674"/>
      <c r="BF337" s="1674"/>
      <c r="BG337" s="1674"/>
      <c r="BH337" s="1674"/>
      <c r="BI337" s="1674"/>
      <c r="BJ337" s="1546"/>
      <c r="BK337" s="1674">
        <v>0.44</v>
      </c>
      <c r="BL337" s="1709">
        <v>0.28000000000000003</v>
      </c>
      <c r="BM337" s="1709">
        <v>0.74</v>
      </c>
      <c r="BN337" s="1674"/>
      <c r="BO337" s="1674"/>
      <c r="BP337" s="1674"/>
      <c r="BR337" s="1483"/>
      <c r="BS337" s="1483"/>
      <c r="BT337" s="1483"/>
      <c r="BU337" s="1675"/>
    </row>
    <row r="338" spans="1:73" s="304" customFormat="1" ht="11.65" customHeight="1">
      <c r="A338" s="1684" t="s">
        <v>577</v>
      </c>
      <c r="B338" s="836"/>
      <c r="C338" s="837"/>
      <c r="D338" s="837"/>
      <c r="E338" s="838"/>
      <c r="F338" s="837"/>
      <c r="G338" s="837"/>
      <c r="H338" s="837"/>
      <c r="I338" s="838"/>
      <c r="J338" s="837"/>
      <c r="K338" s="837"/>
      <c r="L338" s="837"/>
      <c r="M338" s="838"/>
      <c r="N338" s="836"/>
      <c r="O338" s="836"/>
      <c r="P338" s="836"/>
      <c r="Q338" s="1041"/>
      <c r="R338" s="836"/>
      <c r="S338" s="1294"/>
      <c r="T338" s="1294"/>
      <c r="U338" s="1557"/>
      <c r="V338" s="1294"/>
      <c r="W338" s="1294"/>
      <c r="X338" s="1294"/>
      <c r="Y338" s="1557"/>
      <c r="Z338" s="1294"/>
      <c r="AA338" s="1294"/>
      <c r="AB338" s="1294"/>
      <c r="AC338" s="1557"/>
      <c r="AD338" s="1294"/>
      <c r="AE338" s="1294"/>
      <c r="AF338" s="1294"/>
      <c r="AG338" s="1557"/>
      <c r="AH338" s="1294"/>
      <c r="AI338" s="1294"/>
      <c r="AJ338" s="1294"/>
      <c r="AK338" s="1557"/>
      <c r="AL338" s="1294"/>
      <c r="AM338" s="1294"/>
      <c r="AN338" s="398"/>
      <c r="AO338" s="401"/>
      <c r="AP338" s="398"/>
      <c r="AQ338" s="398"/>
      <c r="AR338" s="398"/>
      <c r="AS338" s="401"/>
      <c r="AT338" s="398"/>
      <c r="AU338" s="398"/>
      <c r="AV338" s="398"/>
      <c r="AW338" s="401"/>
      <c r="AX338" s="398"/>
      <c r="AY338" s="398"/>
      <c r="AZ338" s="398"/>
      <c r="BA338" s="401"/>
      <c r="BB338" s="398"/>
      <c r="BC338" s="1674"/>
      <c r="BD338" s="1674"/>
      <c r="BE338" s="1674"/>
      <c r="BF338" s="1674"/>
      <c r="BG338" s="1674"/>
      <c r="BH338" s="1674"/>
      <c r="BI338" s="1674"/>
      <c r="BJ338" s="1546"/>
      <c r="BK338" s="1683">
        <f>+BL338/(1+BL339)</f>
        <v>1481.4814814814813</v>
      </c>
      <c r="BL338" s="1676">
        <v>2000</v>
      </c>
      <c r="BM338" s="1676"/>
      <c r="BN338" s="1674"/>
      <c r="BO338" s="1674"/>
      <c r="BP338" s="1674"/>
      <c r="BR338" s="1483"/>
      <c r="BS338" s="1483"/>
      <c r="BT338" s="1483"/>
      <c r="BU338" s="1675"/>
    </row>
    <row r="339" spans="1:73" s="304" customFormat="1" ht="11.65" customHeight="1">
      <c r="A339" s="1742" t="s">
        <v>507</v>
      </c>
      <c r="B339" s="836"/>
      <c r="C339" s="837"/>
      <c r="D339" s="837"/>
      <c r="E339" s="838"/>
      <c r="F339" s="837"/>
      <c r="G339" s="837"/>
      <c r="H339" s="837"/>
      <c r="I339" s="838"/>
      <c r="J339" s="837"/>
      <c r="K339" s="837"/>
      <c r="L339" s="837"/>
      <c r="M339" s="838"/>
      <c r="N339" s="836"/>
      <c r="O339" s="836"/>
      <c r="P339" s="836"/>
      <c r="Q339" s="1041"/>
      <c r="R339" s="836"/>
      <c r="S339" s="1294"/>
      <c r="T339" s="1294"/>
      <c r="U339" s="1557"/>
      <c r="V339" s="1294"/>
      <c r="W339" s="1294"/>
      <c r="X339" s="1294"/>
      <c r="Y339" s="1557"/>
      <c r="Z339" s="1294"/>
      <c r="AA339" s="1294"/>
      <c r="AB339" s="1294"/>
      <c r="AC339" s="1557"/>
      <c r="AD339" s="1294"/>
      <c r="AE339" s="1294"/>
      <c r="AF339" s="1294"/>
      <c r="AG339" s="1557"/>
      <c r="AH339" s="1294"/>
      <c r="AI339" s="1294"/>
      <c r="AJ339" s="1294"/>
      <c r="AK339" s="1557"/>
      <c r="AL339" s="1294"/>
      <c r="AM339" s="1294"/>
      <c r="AN339" s="398"/>
      <c r="AO339" s="401"/>
      <c r="AP339" s="398"/>
      <c r="AQ339" s="398"/>
      <c r="AR339" s="398"/>
      <c r="AS339" s="401"/>
      <c r="AT339" s="398"/>
      <c r="AU339" s="398"/>
      <c r="AV339" s="398"/>
      <c r="AW339" s="401"/>
      <c r="AX339" s="398"/>
      <c r="AY339" s="398"/>
      <c r="AZ339" s="398"/>
      <c r="BA339" s="401"/>
      <c r="BB339" s="398"/>
      <c r="BC339" s="1674"/>
      <c r="BD339" s="1674"/>
      <c r="BE339" s="1674"/>
      <c r="BF339" s="1674"/>
      <c r="BG339" s="1674"/>
      <c r="BH339" s="1674"/>
      <c r="BI339" s="1674"/>
      <c r="BJ339" s="1546"/>
      <c r="BK339" s="1674"/>
      <c r="BL339" s="1709">
        <v>0.35</v>
      </c>
      <c r="BM339" s="1709"/>
      <c r="BN339" s="1674"/>
      <c r="BO339" s="1674"/>
      <c r="BP339" s="1674"/>
      <c r="BR339" s="1483"/>
      <c r="BS339" s="1483"/>
      <c r="BT339" s="1483"/>
      <c r="BU339" s="1675"/>
    </row>
    <row r="340" spans="1:73" s="304" customFormat="1" ht="11.65" customHeight="1">
      <c r="A340" s="1684" t="s">
        <v>579</v>
      </c>
      <c r="B340" s="836"/>
      <c r="C340" s="837"/>
      <c r="D340" s="837"/>
      <c r="E340" s="838"/>
      <c r="F340" s="837"/>
      <c r="G340" s="837"/>
      <c r="H340" s="837"/>
      <c r="I340" s="838"/>
      <c r="J340" s="837"/>
      <c r="K340" s="837"/>
      <c r="L340" s="837"/>
      <c r="M340" s="838"/>
      <c r="N340" s="836"/>
      <c r="O340" s="836"/>
      <c r="P340" s="836"/>
      <c r="Q340" s="1041"/>
      <c r="R340" s="836"/>
      <c r="S340" s="1294"/>
      <c r="T340" s="1294"/>
      <c r="U340" s="1557"/>
      <c r="V340" s="1294"/>
      <c r="W340" s="1294"/>
      <c r="X340" s="1294"/>
      <c r="Y340" s="1557"/>
      <c r="Z340" s="1294"/>
      <c r="AA340" s="1294"/>
      <c r="AB340" s="1294"/>
      <c r="AC340" s="1557"/>
      <c r="AD340" s="1294"/>
      <c r="AE340" s="1294"/>
      <c r="AF340" s="1294"/>
      <c r="AG340" s="1557"/>
      <c r="AH340" s="1294"/>
      <c r="AI340" s="1294"/>
      <c r="AJ340" s="1294"/>
      <c r="AK340" s="1557"/>
      <c r="AL340" s="1294"/>
      <c r="AM340" s="1294"/>
      <c r="AN340" s="398"/>
      <c r="AO340" s="401"/>
      <c r="AP340" s="398"/>
      <c r="AQ340" s="398"/>
      <c r="AR340" s="398"/>
      <c r="AS340" s="401"/>
      <c r="AT340" s="398"/>
      <c r="AU340" s="398"/>
      <c r="AV340" s="398"/>
      <c r="AW340" s="401"/>
      <c r="AX340" s="398"/>
      <c r="AY340" s="398"/>
      <c r="AZ340" s="398"/>
      <c r="BA340" s="401"/>
      <c r="BB340" s="398"/>
      <c r="BC340" s="1674"/>
      <c r="BD340" s="1674"/>
      <c r="BE340" s="1674"/>
      <c r="BF340" s="1674"/>
      <c r="BG340" s="1674"/>
      <c r="BH340" s="1674"/>
      <c r="BI340" s="1674"/>
      <c r="BJ340" s="1546"/>
      <c r="BK340" s="1683">
        <f>+BK336-BK338</f>
        <v>318.5185185185187</v>
      </c>
      <c r="BL340" s="1683">
        <f>+BL336-BL338</f>
        <v>400</v>
      </c>
      <c r="BM340" s="1683"/>
      <c r="BN340" s="1674"/>
      <c r="BO340" s="1674"/>
      <c r="BP340" s="1674"/>
      <c r="BR340" s="1483"/>
      <c r="BS340" s="1483"/>
      <c r="BT340" s="1483"/>
      <c r="BU340" s="1675"/>
    </row>
    <row r="341" spans="1:73" s="304" customFormat="1" ht="11.65" customHeight="1">
      <c r="A341" s="1742" t="s">
        <v>507</v>
      </c>
      <c r="B341" s="836"/>
      <c r="C341" s="837"/>
      <c r="D341" s="837"/>
      <c r="E341" s="838"/>
      <c r="F341" s="837"/>
      <c r="G341" s="837"/>
      <c r="H341" s="837"/>
      <c r="I341" s="838"/>
      <c r="J341" s="837"/>
      <c r="K341" s="837"/>
      <c r="L341" s="837"/>
      <c r="M341" s="838"/>
      <c r="N341" s="836"/>
      <c r="O341" s="836"/>
      <c r="P341" s="836"/>
      <c r="Q341" s="1041"/>
      <c r="R341" s="836"/>
      <c r="S341" s="1294"/>
      <c r="T341" s="1294"/>
      <c r="U341" s="1557"/>
      <c r="V341" s="1294"/>
      <c r="W341" s="1294"/>
      <c r="X341" s="1294"/>
      <c r="Y341" s="1557"/>
      <c r="Z341" s="1294"/>
      <c r="AA341" s="1294"/>
      <c r="AB341" s="1294"/>
      <c r="AC341" s="1557"/>
      <c r="AD341" s="1294"/>
      <c r="AE341" s="1294"/>
      <c r="AF341" s="1294"/>
      <c r="AG341" s="1557"/>
      <c r="AH341" s="1294"/>
      <c r="AI341" s="1294"/>
      <c r="AJ341" s="1294"/>
      <c r="AK341" s="1557"/>
      <c r="AL341" s="1294"/>
      <c r="AM341" s="1294"/>
      <c r="AN341" s="398"/>
      <c r="AO341" s="401"/>
      <c r="AP341" s="398"/>
      <c r="AQ341" s="398"/>
      <c r="AR341" s="398"/>
      <c r="AS341" s="401"/>
      <c r="AT341" s="398"/>
      <c r="AU341" s="398"/>
      <c r="AV341" s="398"/>
      <c r="AW341" s="401"/>
      <c r="AX341" s="398"/>
      <c r="AY341" s="398"/>
      <c r="AZ341" s="398"/>
      <c r="BA341" s="401"/>
      <c r="BB341" s="398"/>
      <c r="BC341" s="1674"/>
      <c r="BD341" s="1674"/>
      <c r="BE341" s="1674"/>
      <c r="BF341" s="1674"/>
      <c r="BG341" s="1674"/>
      <c r="BH341" s="1674"/>
      <c r="BI341" s="1674"/>
      <c r="BJ341" s="1546"/>
      <c r="BK341" s="1674"/>
      <c r="BL341" s="1659">
        <f>+BL340/BK340-1</f>
        <v>0.25581395348837144</v>
      </c>
      <c r="BM341" s="1659"/>
      <c r="BN341" s="1674"/>
      <c r="BO341" s="1674"/>
      <c r="BP341" s="1674"/>
      <c r="BR341" s="1483"/>
      <c r="BS341" s="1483"/>
      <c r="BT341" s="1483"/>
      <c r="BU341" s="1675"/>
    </row>
    <row r="342" spans="1:73" s="304" customFormat="1" ht="11.65" customHeight="1">
      <c r="A342" s="1677" t="s">
        <v>582</v>
      </c>
      <c r="B342" s="836"/>
      <c r="C342" s="837"/>
      <c r="D342" s="837"/>
      <c r="E342" s="838"/>
      <c r="F342" s="837"/>
      <c r="G342" s="837"/>
      <c r="H342" s="837"/>
      <c r="I342" s="838"/>
      <c r="J342" s="837"/>
      <c r="K342" s="837"/>
      <c r="L342" s="837"/>
      <c r="M342" s="838"/>
      <c r="N342" s="836"/>
      <c r="O342" s="836"/>
      <c r="P342" s="836"/>
      <c r="Q342" s="1041"/>
      <c r="R342" s="836"/>
      <c r="S342" s="1294"/>
      <c r="T342" s="1294"/>
      <c r="U342" s="1557"/>
      <c r="V342" s="1294"/>
      <c r="W342" s="1294"/>
      <c r="X342" s="1294"/>
      <c r="Y342" s="1557"/>
      <c r="Z342" s="1294"/>
      <c r="AA342" s="1294"/>
      <c r="AB342" s="1294"/>
      <c r="AC342" s="1557"/>
      <c r="AD342" s="1294"/>
      <c r="AE342" s="1294"/>
      <c r="AF342" s="1294"/>
      <c r="AG342" s="1557"/>
      <c r="AH342" s="1294"/>
      <c r="AI342" s="1294"/>
      <c r="AJ342" s="1294"/>
      <c r="AK342" s="1557"/>
      <c r="AL342" s="1294"/>
      <c r="AM342" s="1294"/>
      <c r="AN342" s="398"/>
      <c r="AO342" s="401"/>
      <c r="AP342" s="398"/>
      <c r="AQ342" s="398"/>
      <c r="AR342" s="398"/>
      <c r="AS342" s="401"/>
      <c r="AT342" s="398"/>
      <c r="AU342" s="398"/>
      <c r="AV342" s="398"/>
      <c r="AW342" s="401"/>
      <c r="AX342" s="398"/>
      <c r="AY342" s="398"/>
      <c r="AZ342" s="398"/>
      <c r="BA342" s="401"/>
      <c r="BB342" s="398"/>
      <c r="BC342" s="1674"/>
      <c r="BD342" s="1674"/>
      <c r="BE342" s="1674"/>
      <c r="BF342" s="1674"/>
      <c r="BG342" s="1674"/>
      <c r="BH342" s="1674"/>
      <c r="BI342" s="1674"/>
      <c r="BJ342" s="1546"/>
      <c r="BK342" s="1676">
        <v>2000000</v>
      </c>
      <c r="BL342" s="1676">
        <v>2000000</v>
      </c>
      <c r="BM342" s="1676">
        <v>2000000</v>
      </c>
      <c r="BN342" s="1674"/>
      <c r="BO342" s="1674"/>
      <c r="BP342" s="1674"/>
      <c r="BR342" s="1483"/>
      <c r="BS342" s="1483"/>
      <c r="BT342" s="1483"/>
      <c r="BU342" s="1675"/>
    </row>
    <row r="343" spans="1:73" s="304" customFormat="1" ht="11.25" customHeight="1">
      <c r="A343" s="1677" t="s">
        <v>583</v>
      </c>
      <c r="B343" s="836"/>
      <c r="C343" s="837"/>
      <c r="D343" s="837"/>
      <c r="E343" s="838"/>
      <c r="F343" s="837"/>
      <c r="G343" s="837"/>
      <c r="H343" s="837"/>
      <c r="I343" s="838"/>
      <c r="J343" s="837"/>
      <c r="K343" s="837"/>
      <c r="L343" s="837"/>
      <c r="M343" s="838"/>
      <c r="N343" s="836"/>
      <c r="O343" s="836"/>
      <c r="P343" s="836"/>
      <c r="Q343" s="1041"/>
      <c r="R343" s="836"/>
      <c r="S343" s="1294"/>
      <c r="T343" s="1294"/>
      <c r="U343" s="1557"/>
      <c r="V343" s="1294"/>
      <c r="W343" s="1294"/>
      <c r="X343" s="1294"/>
      <c r="Y343" s="1557"/>
      <c r="Z343" s="1294"/>
      <c r="AA343" s="1294"/>
      <c r="AB343" s="1294"/>
      <c r="AC343" s="1557"/>
      <c r="AD343" s="1294"/>
      <c r="AE343" s="1294"/>
      <c r="AF343" s="1294"/>
      <c r="AG343" s="1557"/>
      <c r="AH343" s="1294"/>
      <c r="AI343" s="1294"/>
      <c r="AJ343" s="1294"/>
      <c r="AK343" s="1557"/>
      <c r="AL343" s="1294"/>
      <c r="AM343" s="1294"/>
      <c r="AN343" s="398"/>
      <c r="AO343" s="401"/>
      <c r="AP343" s="398"/>
      <c r="AQ343" s="398"/>
      <c r="AR343" s="398"/>
      <c r="AS343" s="401"/>
      <c r="AT343" s="398"/>
      <c r="AU343" s="398"/>
      <c r="AV343" s="398"/>
      <c r="AW343" s="401"/>
      <c r="AX343" s="398"/>
      <c r="AY343" s="398"/>
      <c r="AZ343" s="398"/>
      <c r="BA343" s="401"/>
      <c r="BB343" s="398"/>
      <c r="BC343" s="1674"/>
      <c r="BD343" s="1674"/>
      <c r="BE343" s="1674"/>
      <c r="BF343" s="1674"/>
      <c r="BG343" s="1674"/>
      <c r="BH343" s="1674"/>
      <c r="BI343" s="1674"/>
      <c r="BJ343" s="1546"/>
      <c r="BK343" s="1676">
        <v>947000</v>
      </c>
      <c r="BL343" s="1676">
        <v>1000000</v>
      </c>
      <c r="BM343" s="1676" t="s">
        <v>729</v>
      </c>
      <c r="BN343" s="1674"/>
      <c r="BO343" s="1674"/>
      <c r="BP343" s="1674"/>
      <c r="BR343" s="1483"/>
      <c r="BS343" s="1483"/>
      <c r="BT343" s="1483"/>
      <c r="BU343" s="1675"/>
    </row>
    <row r="344" spans="1:73" s="304" customFormat="1" ht="11.25" customHeight="1">
      <c r="A344" s="1677" t="s">
        <v>625</v>
      </c>
      <c r="B344" s="836"/>
      <c r="C344" s="837"/>
      <c r="D344" s="837"/>
      <c r="E344" s="838"/>
      <c r="F344" s="837"/>
      <c r="G344" s="837"/>
      <c r="H344" s="837"/>
      <c r="I344" s="838"/>
      <c r="J344" s="837"/>
      <c r="K344" s="837"/>
      <c r="L344" s="837"/>
      <c r="M344" s="838"/>
      <c r="N344" s="836"/>
      <c r="O344" s="836"/>
      <c r="P344" s="836"/>
      <c r="Q344" s="1041"/>
      <c r="R344" s="836"/>
      <c r="S344" s="1294"/>
      <c r="T344" s="1294"/>
      <c r="U344" s="1557"/>
      <c r="V344" s="1294"/>
      <c r="W344" s="1294"/>
      <c r="X344" s="1294"/>
      <c r="Y344" s="1557"/>
      <c r="Z344" s="1294"/>
      <c r="AA344" s="1294"/>
      <c r="AB344" s="1294"/>
      <c r="AC344" s="1557"/>
      <c r="AD344" s="1294"/>
      <c r="AE344" s="1294"/>
      <c r="AF344" s="1294"/>
      <c r="AG344" s="1557"/>
      <c r="AH344" s="1294"/>
      <c r="AI344" s="1294"/>
      <c r="AJ344" s="1294"/>
      <c r="AK344" s="1557"/>
      <c r="AL344" s="1294"/>
      <c r="AM344" s="1294"/>
      <c r="AN344" s="398"/>
      <c r="AO344" s="401"/>
      <c r="AP344" s="398"/>
      <c r="AQ344" s="398"/>
      <c r="AR344" s="398"/>
      <c r="AS344" s="401"/>
      <c r="AT344" s="398"/>
      <c r="AU344" s="398"/>
      <c r="AV344" s="398"/>
      <c r="AW344" s="401"/>
      <c r="AX344" s="398"/>
      <c r="AY344" s="398"/>
      <c r="AZ344" s="398"/>
      <c r="BA344" s="401"/>
      <c r="BB344" s="398"/>
      <c r="BC344" s="1674"/>
      <c r="BD344" s="1674"/>
      <c r="BE344" s="1674"/>
      <c r="BF344" s="1674"/>
      <c r="BG344" s="1674"/>
      <c r="BH344" s="1674"/>
      <c r="BI344" s="1674"/>
      <c r="BJ344" s="1546"/>
      <c r="BK344" s="1674"/>
      <c r="BL344" s="1676">
        <v>48000</v>
      </c>
      <c r="BM344" s="1676"/>
      <c r="BN344" s="1674"/>
      <c r="BO344" s="1674"/>
      <c r="BP344" s="1674"/>
      <c r="BR344" s="1483"/>
      <c r="BS344" s="1483"/>
      <c r="BT344" s="1483"/>
      <c r="BU344" s="1675"/>
    </row>
    <row r="345" spans="1:73" s="304" customFormat="1" ht="11.25" customHeight="1">
      <c r="A345" s="1677" t="s">
        <v>628</v>
      </c>
      <c r="B345" s="836"/>
      <c r="C345" s="837"/>
      <c r="D345" s="837"/>
      <c r="E345" s="838"/>
      <c r="F345" s="837"/>
      <c r="G345" s="837"/>
      <c r="H345" s="837"/>
      <c r="I345" s="838"/>
      <c r="J345" s="837"/>
      <c r="K345" s="837"/>
      <c r="L345" s="837"/>
      <c r="M345" s="838"/>
      <c r="N345" s="836"/>
      <c r="O345" s="836"/>
      <c r="P345" s="836"/>
      <c r="Q345" s="1041"/>
      <c r="R345" s="836"/>
      <c r="S345" s="1294"/>
      <c r="T345" s="1294"/>
      <c r="U345" s="1557"/>
      <c r="V345" s="1294"/>
      <c r="W345" s="1294"/>
      <c r="X345" s="1294"/>
      <c r="Y345" s="1557"/>
      <c r="Z345" s="1294"/>
      <c r="AA345" s="1294"/>
      <c r="AB345" s="1294"/>
      <c r="AC345" s="1557"/>
      <c r="AD345" s="1294"/>
      <c r="AE345" s="1294"/>
      <c r="AF345" s="1294"/>
      <c r="AG345" s="1557"/>
      <c r="AH345" s="1294"/>
      <c r="AI345" s="1294"/>
      <c r="AJ345" s="1294"/>
      <c r="AK345" s="1557"/>
      <c r="AL345" s="1294"/>
      <c r="AM345" s="1294"/>
      <c r="AN345" s="398"/>
      <c r="AO345" s="401"/>
      <c r="AP345" s="398"/>
      <c r="AQ345" s="398"/>
      <c r="AR345" s="398"/>
      <c r="AS345" s="401"/>
      <c r="AT345" s="398"/>
      <c r="AU345" s="398"/>
      <c r="AV345" s="398"/>
      <c r="AW345" s="401"/>
      <c r="AX345" s="398"/>
      <c r="AY345" s="398"/>
      <c r="AZ345" s="398"/>
      <c r="BA345" s="401"/>
      <c r="BB345" s="398"/>
      <c r="BC345" s="1674"/>
      <c r="BD345" s="1674"/>
      <c r="BE345" s="1674"/>
      <c r="BF345" s="1674"/>
      <c r="BG345" s="1674"/>
      <c r="BH345" s="1674"/>
      <c r="BI345" s="1674"/>
      <c r="BJ345" s="1546"/>
      <c r="BK345" s="1674"/>
      <c r="BL345" s="1676">
        <v>11000</v>
      </c>
      <c r="BM345" s="1676"/>
      <c r="BN345" s="1674"/>
      <c r="BO345" s="1674"/>
      <c r="BP345" s="1674"/>
      <c r="BR345" s="1483"/>
      <c r="BS345" s="1483"/>
      <c r="BT345" s="1483"/>
      <c r="BU345" s="1675"/>
    </row>
    <row r="346" spans="1:73" s="304" customFormat="1" ht="11.25" customHeight="1">
      <c r="A346" s="1677" t="s">
        <v>626</v>
      </c>
      <c r="B346" s="836"/>
      <c r="C346" s="837"/>
      <c r="D346" s="837"/>
      <c r="E346" s="838"/>
      <c r="F346" s="837"/>
      <c r="G346" s="837"/>
      <c r="H346" s="837"/>
      <c r="I346" s="838"/>
      <c r="J346" s="837"/>
      <c r="K346" s="837"/>
      <c r="L346" s="837"/>
      <c r="M346" s="838"/>
      <c r="N346" s="836"/>
      <c r="O346" s="836"/>
      <c r="P346" s="836"/>
      <c r="Q346" s="1041"/>
      <c r="R346" s="836"/>
      <c r="S346" s="1294"/>
      <c r="T346" s="1294"/>
      <c r="U346" s="1557"/>
      <c r="V346" s="1294"/>
      <c r="W346" s="1294"/>
      <c r="X346" s="1294"/>
      <c r="Y346" s="1557"/>
      <c r="Z346" s="1294"/>
      <c r="AA346" s="1294"/>
      <c r="AB346" s="1294"/>
      <c r="AC346" s="1557"/>
      <c r="AD346" s="1294"/>
      <c r="AE346" s="1294"/>
      <c r="AF346" s="1294"/>
      <c r="AG346" s="1557"/>
      <c r="AH346" s="1294"/>
      <c r="AI346" s="1294"/>
      <c r="AJ346" s="1294"/>
      <c r="AK346" s="1557"/>
      <c r="AL346" s="1294"/>
      <c r="AM346" s="1294"/>
      <c r="AN346" s="398"/>
      <c r="AO346" s="401"/>
      <c r="AP346" s="398"/>
      <c r="AQ346" s="398"/>
      <c r="AR346" s="398"/>
      <c r="AS346" s="401"/>
      <c r="AT346" s="398"/>
      <c r="AU346" s="398"/>
      <c r="AV346" s="398"/>
      <c r="AW346" s="401"/>
      <c r="AX346" s="398"/>
      <c r="AY346" s="398"/>
      <c r="AZ346" s="398"/>
      <c r="BA346" s="401"/>
      <c r="BB346" s="398"/>
      <c r="BC346" s="1674"/>
      <c r="BD346" s="1674"/>
      <c r="BE346" s="1674"/>
      <c r="BF346" s="1674"/>
      <c r="BG346" s="1674"/>
      <c r="BH346" s="1674"/>
      <c r="BI346" s="1674"/>
      <c r="BJ346" s="1546"/>
      <c r="BK346" s="1674"/>
      <c r="BL346" s="1676">
        <v>37000</v>
      </c>
      <c r="BM346" s="1676"/>
      <c r="BN346" s="1674"/>
      <c r="BO346" s="1674"/>
      <c r="BP346" s="1674"/>
      <c r="BR346" s="1483"/>
      <c r="BS346" s="1483"/>
      <c r="BT346" s="1483"/>
      <c r="BU346" s="1675"/>
    </row>
    <row r="347" spans="1:73" s="304" customFormat="1" ht="11.25" customHeight="1">
      <c r="A347" s="1677" t="s">
        <v>629</v>
      </c>
      <c r="B347" s="836"/>
      <c r="C347" s="837"/>
      <c r="D347" s="837"/>
      <c r="E347" s="838"/>
      <c r="F347" s="837"/>
      <c r="G347" s="837"/>
      <c r="H347" s="837"/>
      <c r="I347" s="838"/>
      <c r="J347" s="837"/>
      <c r="K347" s="837"/>
      <c r="L347" s="837"/>
      <c r="M347" s="838"/>
      <c r="N347" s="836"/>
      <c r="O347" s="836"/>
      <c r="P347" s="836"/>
      <c r="Q347" s="1041"/>
      <c r="R347" s="836"/>
      <c r="S347" s="1294"/>
      <c r="T347" s="1294"/>
      <c r="U347" s="1557"/>
      <c r="V347" s="1294"/>
      <c r="W347" s="1294"/>
      <c r="X347" s="1294"/>
      <c r="Y347" s="1557"/>
      <c r="Z347" s="1294"/>
      <c r="AA347" s="1294"/>
      <c r="AB347" s="1294"/>
      <c r="AC347" s="1557"/>
      <c r="AD347" s="1294"/>
      <c r="AE347" s="1294"/>
      <c r="AF347" s="1294"/>
      <c r="AG347" s="1557"/>
      <c r="AH347" s="1294"/>
      <c r="AI347" s="1294"/>
      <c r="AJ347" s="1294"/>
      <c r="AK347" s="1557"/>
      <c r="AL347" s="1294"/>
      <c r="AM347" s="1294"/>
      <c r="AN347" s="398"/>
      <c r="AO347" s="401"/>
      <c r="AP347" s="398"/>
      <c r="AQ347" s="398"/>
      <c r="AR347" s="398"/>
      <c r="AS347" s="401"/>
      <c r="AT347" s="398"/>
      <c r="AU347" s="398"/>
      <c r="AV347" s="398"/>
      <c r="AW347" s="401"/>
      <c r="AX347" s="398"/>
      <c r="AY347" s="398"/>
      <c r="AZ347" s="398"/>
      <c r="BA347" s="401"/>
      <c r="BB347" s="398"/>
      <c r="BC347" s="1674"/>
      <c r="BD347" s="1674"/>
      <c r="BE347" s="1674"/>
      <c r="BF347" s="1674"/>
      <c r="BG347" s="1674"/>
      <c r="BH347" s="1674"/>
      <c r="BI347" s="1674"/>
      <c r="BJ347" s="1546"/>
      <c r="BK347" s="1674"/>
      <c r="BL347" s="1676">
        <v>500</v>
      </c>
      <c r="BM347" s="1676"/>
      <c r="BN347" s="1674"/>
      <c r="BO347" s="1674"/>
      <c r="BP347" s="1674"/>
      <c r="BR347" s="1483"/>
      <c r="BS347" s="1483"/>
      <c r="BT347" s="1483"/>
      <c r="BU347" s="1675"/>
    </row>
    <row r="348" spans="1:73" s="304" customFormat="1" ht="11.25" customHeight="1">
      <c r="A348" s="1677"/>
      <c r="B348" s="836"/>
      <c r="C348" s="837"/>
      <c r="D348" s="837"/>
      <c r="E348" s="838"/>
      <c r="F348" s="837"/>
      <c r="G348" s="837"/>
      <c r="H348" s="837"/>
      <c r="I348" s="838"/>
      <c r="J348" s="837"/>
      <c r="K348" s="837"/>
      <c r="L348" s="837"/>
      <c r="M348" s="838"/>
      <c r="N348" s="836"/>
      <c r="O348" s="836"/>
      <c r="P348" s="836"/>
      <c r="Q348" s="1041"/>
      <c r="R348" s="836"/>
      <c r="S348" s="1294"/>
      <c r="T348" s="1294"/>
      <c r="U348" s="1557"/>
      <c r="V348" s="1294"/>
      <c r="W348" s="1294"/>
      <c r="X348" s="1294"/>
      <c r="Y348" s="1557"/>
      <c r="Z348" s="1294"/>
      <c r="AA348" s="1294"/>
      <c r="AB348" s="1294"/>
      <c r="AC348" s="1557"/>
      <c r="AD348" s="1294"/>
      <c r="AE348" s="1294"/>
      <c r="AF348" s="1294"/>
      <c r="AG348" s="1557"/>
      <c r="AH348" s="1294"/>
      <c r="AI348" s="1294"/>
      <c r="AJ348" s="1294"/>
      <c r="AK348" s="1557"/>
      <c r="AL348" s="1294"/>
      <c r="AM348" s="1294"/>
      <c r="AN348" s="398"/>
      <c r="AO348" s="401"/>
      <c r="AP348" s="398"/>
      <c r="AQ348" s="398"/>
      <c r="AR348" s="398"/>
      <c r="AS348" s="401"/>
      <c r="AT348" s="398"/>
      <c r="AU348" s="398"/>
      <c r="AV348" s="398"/>
      <c r="AW348" s="401"/>
      <c r="AX348" s="398"/>
      <c r="AY348" s="398"/>
      <c r="AZ348" s="398"/>
      <c r="BA348" s="401"/>
      <c r="BB348" s="398"/>
      <c r="BC348" s="1674"/>
      <c r="BD348" s="1674"/>
      <c r="BE348" s="1674"/>
      <c r="BF348" s="1674"/>
      <c r="BG348" s="1674"/>
      <c r="BH348" s="1674"/>
      <c r="BI348" s="1674"/>
      <c r="BJ348" s="1546"/>
      <c r="BK348" s="1674"/>
      <c r="BL348" s="1676"/>
      <c r="BM348" s="1674"/>
      <c r="BN348" s="1674"/>
      <c r="BO348" s="1674"/>
      <c r="BP348" s="1674"/>
      <c r="BR348" s="1483"/>
      <c r="BS348" s="1483"/>
      <c r="BT348" s="1483"/>
      <c r="BU348" s="1675"/>
    </row>
    <row r="349" spans="1:73" s="304" customFormat="1" ht="11.65" customHeight="1">
      <c r="A349" s="1547" t="s">
        <v>407</v>
      </c>
      <c r="B349" s="836"/>
      <c r="C349" s="837"/>
      <c r="D349" s="837"/>
      <c r="E349" s="838"/>
      <c r="F349" s="837"/>
      <c r="G349" s="837"/>
      <c r="H349" s="837"/>
      <c r="I349" s="838"/>
      <c r="J349" s="837"/>
      <c r="K349" s="837"/>
      <c r="L349" s="837"/>
      <c r="M349" s="838"/>
      <c r="N349" s="836"/>
      <c r="O349" s="836"/>
      <c r="P349" s="836"/>
      <c r="Q349" s="1041"/>
      <c r="R349" s="836"/>
      <c r="S349" s="1294"/>
      <c r="T349" s="1294"/>
      <c r="U349" s="1557"/>
      <c r="V349" s="1294"/>
      <c r="W349" s="1294"/>
      <c r="X349" s="1294"/>
      <c r="Y349" s="1557"/>
      <c r="Z349" s="1294"/>
      <c r="AA349" s="1294"/>
      <c r="AB349" s="1294"/>
      <c r="AC349" s="1557"/>
      <c r="AD349" s="1294"/>
      <c r="AE349" s="1294"/>
      <c r="AF349" s="1294"/>
      <c r="AG349" s="1557"/>
      <c r="AH349" s="1294"/>
      <c r="AI349" s="1294"/>
      <c r="AJ349" s="1294"/>
      <c r="AK349" s="1557"/>
      <c r="AL349" s="1294"/>
      <c r="AM349" s="1294"/>
      <c r="AN349" s="398"/>
      <c r="AO349" s="401"/>
      <c r="AP349" s="398"/>
      <c r="AQ349" s="398"/>
      <c r="AR349" s="398"/>
      <c r="AS349" s="401"/>
      <c r="AT349" s="398"/>
      <c r="AU349" s="398"/>
      <c r="AV349" s="398"/>
      <c r="AW349" s="401"/>
      <c r="AX349" s="398"/>
      <c r="AY349" s="398"/>
      <c r="AZ349" s="398"/>
      <c r="BA349" s="401"/>
      <c r="BB349" s="398"/>
      <c r="BC349" s="1674"/>
      <c r="BD349" s="1674"/>
      <c r="BE349" s="1674"/>
      <c r="BF349" s="1674"/>
      <c r="BG349" s="1674"/>
      <c r="BH349" s="1674"/>
      <c r="BI349" s="1674"/>
      <c r="BJ349" s="1546"/>
      <c r="BK349" s="1674"/>
      <c r="BL349" s="1709"/>
      <c r="BM349" s="1674"/>
      <c r="BN349" s="1674"/>
      <c r="BO349" s="1674"/>
      <c r="BP349" s="1674"/>
      <c r="BR349" s="1483"/>
      <c r="BS349" s="1483"/>
      <c r="BT349" s="1483"/>
      <c r="BU349" s="1675"/>
    </row>
    <row r="350" spans="1:73" s="304" customFormat="1" ht="11.65" customHeight="1">
      <c r="A350" s="1677" t="s">
        <v>541</v>
      </c>
      <c r="B350" s="836"/>
      <c r="C350" s="837"/>
      <c r="D350" s="837"/>
      <c r="E350" s="838"/>
      <c r="F350" s="837"/>
      <c r="G350" s="837"/>
      <c r="H350" s="837"/>
      <c r="I350" s="838"/>
      <c r="J350" s="837"/>
      <c r="K350" s="837"/>
      <c r="L350" s="837"/>
      <c r="M350" s="838"/>
      <c r="N350" s="836"/>
      <c r="O350" s="836"/>
      <c r="P350" s="836"/>
      <c r="Q350" s="1041"/>
      <c r="R350" s="836"/>
      <c r="S350" s="1294"/>
      <c r="T350" s="1294"/>
      <c r="U350" s="1557"/>
      <c r="V350" s="1294"/>
      <c r="W350" s="1294"/>
      <c r="X350" s="1294"/>
      <c r="Y350" s="1557"/>
      <c r="Z350" s="1294"/>
      <c r="AA350" s="1294"/>
      <c r="AB350" s="1294"/>
      <c r="AC350" s="1557"/>
      <c r="AD350" s="1294"/>
      <c r="AE350" s="1294"/>
      <c r="AF350" s="1294"/>
      <c r="AG350" s="1557"/>
      <c r="AH350" s="1294"/>
      <c r="AI350" s="1294"/>
      <c r="AJ350" s="1294"/>
      <c r="AK350" s="1557"/>
      <c r="AL350" s="1294"/>
      <c r="AM350" s="1294"/>
      <c r="AN350" s="398"/>
      <c r="AO350" s="401"/>
      <c r="AP350" s="398"/>
      <c r="AQ350" s="398"/>
      <c r="AR350" s="398"/>
      <c r="AS350" s="401"/>
      <c r="AT350" s="398"/>
      <c r="AU350" s="398"/>
      <c r="AV350" s="398"/>
      <c r="AW350" s="401"/>
      <c r="AX350" s="398"/>
      <c r="AY350" s="398"/>
      <c r="AZ350" s="398"/>
      <c r="BA350" s="401"/>
      <c r="BB350" s="398"/>
      <c r="BC350" s="1674"/>
      <c r="BD350" s="1674"/>
      <c r="BE350" s="1674"/>
      <c r="BF350" s="1674"/>
      <c r="BG350" s="1674"/>
      <c r="BH350" s="1674"/>
      <c r="BI350" s="1674"/>
      <c r="BJ350" s="1546"/>
      <c r="BK350" s="1676">
        <v>1100</v>
      </c>
      <c r="BL350" s="1676">
        <v>1300</v>
      </c>
      <c r="BM350" s="1676">
        <v>1300</v>
      </c>
      <c r="BN350" s="1674"/>
      <c r="BO350" s="1674"/>
      <c r="BP350" s="1674"/>
      <c r="BR350" s="1483"/>
      <c r="BS350" s="1483"/>
      <c r="BT350" s="1483"/>
      <c r="BU350" s="1675"/>
    </row>
    <row r="351" spans="1:73" s="304" customFormat="1" ht="11.65" customHeight="1">
      <c r="A351" s="1714" t="s">
        <v>507</v>
      </c>
      <c r="B351" s="836"/>
      <c r="C351" s="837"/>
      <c r="D351" s="837"/>
      <c r="E351" s="838"/>
      <c r="F351" s="837"/>
      <c r="G351" s="837"/>
      <c r="H351" s="837"/>
      <c r="I351" s="838"/>
      <c r="J351" s="837"/>
      <c r="K351" s="837"/>
      <c r="L351" s="837"/>
      <c r="M351" s="838"/>
      <c r="N351" s="836"/>
      <c r="O351" s="836"/>
      <c r="P351" s="836"/>
      <c r="Q351" s="1041"/>
      <c r="R351" s="836"/>
      <c r="S351" s="1294"/>
      <c r="T351" s="1294"/>
      <c r="U351" s="1557"/>
      <c r="V351" s="1294"/>
      <c r="W351" s="1294"/>
      <c r="X351" s="1294"/>
      <c r="Y351" s="1557"/>
      <c r="Z351" s="1294"/>
      <c r="AA351" s="1294"/>
      <c r="AB351" s="1294"/>
      <c r="AC351" s="1557"/>
      <c r="AD351" s="1294"/>
      <c r="AE351" s="1294"/>
      <c r="AF351" s="1294"/>
      <c r="AG351" s="1557"/>
      <c r="AH351" s="1294"/>
      <c r="AI351" s="1294"/>
      <c r="AJ351" s="1294"/>
      <c r="AK351" s="1557"/>
      <c r="AL351" s="1294"/>
      <c r="AM351" s="1294"/>
      <c r="AN351" s="398"/>
      <c r="AO351" s="401"/>
      <c r="AP351" s="398"/>
      <c r="AQ351" s="398"/>
      <c r="AR351" s="398"/>
      <c r="AS351" s="401"/>
      <c r="AT351" s="398"/>
      <c r="AU351" s="398"/>
      <c r="AV351" s="398"/>
      <c r="AW351" s="401"/>
      <c r="AX351" s="398"/>
      <c r="AY351" s="398"/>
      <c r="AZ351" s="398"/>
      <c r="BA351" s="401"/>
      <c r="BB351" s="398"/>
      <c r="BC351" s="1674"/>
      <c r="BD351" s="1674"/>
      <c r="BE351" s="1674"/>
      <c r="BF351" s="1674"/>
      <c r="BG351" s="1674"/>
      <c r="BH351" s="1674"/>
      <c r="BI351" s="1674"/>
      <c r="BJ351" s="1546"/>
      <c r="BK351" s="1709">
        <v>0.15</v>
      </c>
      <c r="BL351" s="1709">
        <v>0.11</v>
      </c>
      <c r="BM351" s="1709">
        <v>0.02</v>
      </c>
      <c r="BN351" s="1674"/>
      <c r="BO351" s="1674"/>
      <c r="BP351" s="1674"/>
      <c r="BR351" s="1483"/>
      <c r="BS351" s="1483"/>
      <c r="BT351" s="1483"/>
      <c r="BU351" s="1675"/>
    </row>
    <row r="352" spans="1:73" s="304" customFormat="1" ht="11.65" customHeight="1">
      <c r="A352" s="1677" t="s">
        <v>637</v>
      </c>
      <c r="B352" s="836"/>
      <c r="C352" s="837"/>
      <c r="D352" s="837"/>
      <c r="E352" s="838"/>
      <c r="F352" s="837"/>
      <c r="G352" s="837"/>
      <c r="H352" s="837"/>
      <c r="I352" s="838"/>
      <c r="J352" s="837"/>
      <c r="K352" s="837"/>
      <c r="L352" s="837"/>
      <c r="M352" s="838"/>
      <c r="N352" s="836"/>
      <c r="O352" s="836"/>
      <c r="P352" s="836"/>
      <c r="Q352" s="1041"/>
      <c r="R352" s="836"/>
      <c r="S352" s="1294"/>
      <c r="T352" s="1294"/>
      <c r="U352" s="1557"/>
      <c r="V352" s="1294"/>
      <c r="W352" s="1294"/>
      <c r="X352" s="1294"/>
      <c r="Y352" s="1557"/>
      <c r="Z352" s="1294"/>
      <c r="AA352" s="1294"/>
      <c r="AB352" s="1294"/>
      <c r="AC352" s="1557"/>
      <c r="AD352" s="1294"/>
      <c r="AE352" s="1294"/>
      <c r="AF352" s="1294"/>
      <c r="AG352" s="1557"/>
      <c r="AH352" s="1294"/>
      <c r="AI352" s="1294"/>
      <c r="AJ352" s="1294"/>
      <c r="AK352" s="1557"/>
      <c r="AL352" s="1294"/>
      <c r="AM352" s="1294"/>
      <c r="AN352" s="398"/>
      <c r="AO352" s="401"/>
      <c r="AP352" s="398"/>
      <c r="AQ352" s="398"/>
      <c r="AR352" s="398"/>
      <c r="AS352" s="401"/>
      <c r="AT352" s="398"/>
      <c r="AU352" s="398"/>
      <c r="AV352" s="398"/>
      <c r="AW352" s="401"/>
      <c r="AX352" s="398"/>
      <c r="AY352" s="398"/>
      <c r="AZ352" s="398"/>
      <c r="BA352" s="401"/>
      <c r="BB352" s="398"/>
      <c r="BC352" s="1674"/>
      <c r="BD352" s="1674"/>
      <c r="BE352" s="1674"/>
      <c r="BF352" s="1674"/>
      <c r="BG352" s="1674"/>
      <c r="BH352" s="1674"/>
      <c r="BI352" s="1674"/>
      <c r="BJ352" s="1546"/>
      <c r="BK352" s="1740">
        <v>0.9</v>
      </c>
      <c r="BL352" s="1740"/>
      <c r="BM352" s="1740"/>
      <c r="BN352" s="1674"/>
      <c r="BO352" s="1674"/>
      <c r="BP352" s="1674"/>
      <c r="BR352" s="1483"/>
      <c r="BS352" s="1483"/>
      <c r="BT352" s="1483"/>
      <c r="BU352" s="1675"/>
    </row>
    <row r="353" spans="1:73" s="304" customFormat="1" ht="11.65" customHeight="1">
      <c r="A353" s="1714" t="s">
        <v>507</v>
      </c>
      <c r="B353" s="836"/>
      <c r="C353" s="837"/>
      <c r="D353" s="837"/>
      <c r="E353" s="838"/>
      <c r="F353" s="837"/>
      <c r="G353" s="837"/>
      <c r="H353" s="837"/>
      <c r="I353" s="838"/>
      <c r="J353" s="837"/>
      <c r="K353" s="837"/>
      <c r="L353" s="837"/>
      <c r="M353" s="838"/>
      <c r="N353" s="836"/>
      <c r="O353" s="836"/>
      <c r="P353" s="836"/>
      <c r="Q353" s="1041"/>
      <c r="R353" s="836"/>
      <c r="S353" s="1294"/>
      <c r="T353" s="1294"/>
      <c r="U353" s="1557"/>
      <c r="V353" s="1294"/>
      <c r="W353" s="1294"/>
      <c r="X353" s="1294"/>
      <c r="Y353" s="1557"/>
      <c r="Z353" s="1294"/>
      <c r="AA353" s="1294"/>
      <c r="AB353" s="1294"/>
      <c r="AC353" s="1557"/>
      <c r="AD353" s="1294"/>
      <c r="AE353" s="1294"/>
      <c r="AF353" s="1294"/>
      <c r="AG353" s="1557"/>
      <c r="AH353" s="1294"/>
      <c r="AI353" s="1294"/>
      <c r="AJ353" s="1294"/>
      <c r="AK353" s="1557"/>
      <c r="AL353" s="1294"/>
      <c r="AM353" s="1294"/>
      <c r="AN353" s="398"/>
      <c r="AO353" s="401"/>
      <c r="AP353" s="398"/>
      <c r="AQ353" s="398"/>
      <c r="AR353" s="398"/>
      <c r="AS353" s="401"/>
      <c r="AT353" s="398"/>
      <c r="AU353" s="398"/>
      <c r="AV353" s="398"/>
      <c r="AW353" s="401"/>
      <c r="AX353" s="398"/>
      <c r="AY353" s="398"/>
      <c r="AZ353" s="398"/>
      <c r="BA353" s="401"/>
      <c r="BB353" s="398"/>
      <c r="BC353" s="1674"/>
      <c r="BD353" s="1674"/>
      <c r="BE353" s="1674"/>
      <c r="BF353" s="1674"/>
      <c r="BG353" s="1674"/>
      <c r="BH353" s="1674"/>
      <c r="BI353" s="1674"/>
      <c r="BJ353" s="1546"/>
      <c r="BK353" s="1709">
        <v>0.17</v>
      </c>
      <c r="BL353" s="1709"/>
      <c r="BM353" s="1709">
        <v>0.01</v>
      </c>
      <c r="BN353" s="1674"/>
      <c r="BO353" s="1674"/>
      <c r="BP353" s="1674"/>
      <c r="BR353" s="1483"/>
      <c r="BS353" s="1483"/>
      <c r="BT353" s="1483"/>
      <c r="BU353" s="1675"/>
    </row>
    <row r="354" spans="1:73" s="304" customFormat="1" ht="11.65" customHeight="1">
      <c r="A354" s="1677" t="s">
        <v>638</v>
      </c>
      <c r="B354" s="836"/>
      <c r="C354" s="837"/>
      <c r="D354" s="837"/>
      <c r="E354" s="838"/>
      <c r="F354" s="837"/>
      <c r="G354" s="837"/>
      <c r="H354" s="837"/>
      <c r="I354" s="838"/>
      <c r="J354" s="837"/>
      <c r="K354" s="837"/>
      <c r="L354" s="837"/>
      <c r="M354" s="838"/>
      <c r="N354" s="836"/>
      <c r="O354" s="836"/>
      <c r="P354" s="836"/>
      <c r="Q354" s="1041"/>
      <c r="R354" s="836"/>
      <c r="S354" s="1294"/>
      <c r="T354" s="1294"/>
      <c r="U354" s="1557"/>
      <c r="V354" s="1294"/>
      <c r="W354" s="1294"/>
      <c r="X354" s="1294"/>
      <c r="Y354" s="1557"/>
      <c r="Z354" s="1294"/>
      <c r="AA354" s="1294"/>
      <c r="AB354" s="1294"/>
      <c r="AC354" s="1557"/>
      <c r="AD354" s="1294"/>
      <c r="AE354" s="1294"/>
      <c r="AF354" s="1294"/>
      <c r="AG354" s="1557"/>
      <c r="AH354" s="1294"/>
      <c r="AI354" s="1294"/>
      <c r="AJ354" s="1294"/>
      <c r="AK354" s="1557"/>
      <c r="AL354" s="1294"/>
      <c r="AM354" s="1294"/>
      <c r="AN354" s="398"/>
      <c r="AO354" s="401"/>
      <c r="AP354" s="398"/>
      <c r="AQ354" s="398"/>
      <c r="AR354" s="398"/>
      <c r="AS354" s="401"/>
      <c r="AT354" s="398"/>
      <c r="AU354" s="398"/>
      <c r="AV354" s="398"/>
      <c r="AW354" s="401"/>
      <c r="AX354" s="398"/>
      <c r="AY354" s="398"/>
      <c r="AZ354" s="398"/>
      <c r="BA354" s="401"/>
      <c r="BB354" s="398"/>
      <c r="BC354" s="1674"/>
      <c r="BD354" s="1674"/>
      <c r="BE354" s="1674"/>
      <c r="BF354" s="1674"/>
      <c r="BG354" s="1674"/>
      <c r="BH354" s="1760"/>
      <c r="BI354" s="1760"/>
      <c r="BJ354" s="1760">
        <v>1237</v>
      </c>
      <c r="BK354" s="1760">
        <v>1298</v>
      </c>
      <c r="BL354" s="1709"/>
      <c r="BM354" s="1709"/>
      <c r="BN354" s="1674"/>
      <c r="BO354" s="1674"/>
      <c r="BP354" s="1674"/>
      <c r="BR354" s="1483"/>
      <c r="BS354" s="1483"/>
      <c r="BT354" s="1483"/>
      <c r="BU354" s="1675"/>
    </row>
    <row r="355" spans="1:73" s="304" customFormat="1" ht="11.65" customHeight="1">
      <c r="A355" s="1714" t="s">
        <v>507</v>
      </c>
      <c r="B355" s="836"/>
      <c r="C355" s="837"/>
      <c r="D355" s="837"/>
      <c r="E355" s="838"/>
      <c r="F355" s="837"/>
      <c r="G355" s="837"/>
      <c r="H355" s="837"/>
      <c r="I355" s="838"/>
      <c r="J355" s="837"/>
      <c r="K355" s="837"/>
      <c r="L355" s="837"/>
      <c r="M355" s="838"/>
      <c r="N355" s="836"/>
      <c r="O355" s="836"/>
      <c r="P355" s="836"/>
      <c r="Q355" s="1041"/>
      <c r="R355" s="836"/>
      <c r="S355" s="1294"/>
      <c r="T355" s="1294"/>
      <c r="U355" s="1557"/>
      <c r="V355" s="1294"/>
      <c r="W355" s="1294"/>
      <c r="X355" s="1294"/>
      <c r="Y355" s="1557"/>
      <c r="Z355" s="1294"/>
      <c r="AA355" s="1294"/>
      <c r="AB355" s="1294"/>
      <c r="AC355" s="1557"/>
      <c r="AD355" s="1294"/>
      <c r="AE355" s="1294"/>
      <c r="AF355" s="1294"/>
      <c r="AG355" s="1557"/>
      <c r="AH355" s="1294"/>
      <c r="AI355" s="1294"/>
      <c r="AJ355" s="1294"/>
      <c r="AK355" s="1717"/>
      <c r="AL355" s="1294"/>
      <c r="AM355" s="1294"/>
      <c r="AN355" s="398"/>
      <c r="AO355" s="401"/>
      <c r="AP355" s="398"/>
      <c r="AQ355" s="398"/>
      <c r="AR355" s="398"/>
      <c r="AS355" s="401"/>
      <c r="AT355" s="398"/>
      <c r="AU355" s="398"/>
      <c r="AV355" s="398"/>
      <c r="AW355" s="401"/>
      <c r="AX355" s="398"/>
      <c r="AY355" s="398"/>
      <c r="AZ355" s="398"/>
      <c r="BA355" s="401"/>
      <c r="BB355" s="398"/>
      <c r="BC355" s="1674"/>
      <c r="BD355" s="1674"/>
      <c r="BE355" s="1674"/>
      <c r="BF355" s="1674"/>
      <c r="BG355" s="1674"/>
      <c r="BH355" s="1674"/>
      <c r="BI355" s="1674"/>
      <c r="BJ355" s="1546"/>
      <c r="BK355" s="1730">
        <f>+BK354/BJ354-1</f>
        <v>4.9312853678253887E-2</v>
      </c>
      <c r="BL355" s="1719"/>
      <c r="BM355" s="1719"/>
      <c r="BN355" s="1674"/>
      <c r="BO355" s="1674"/>
      <c r="BP355" s="1674"/>
      <c r="BR355" s="1483"/>
      <c r="BS355" s="1483"/>
      <c r="BT355" s="1483"/>
      <c r="BU355" s="1675"/>
    </row>
    <row r="356" spans="1:73" s="304" customFormat="1" ht="11.65" customHeight="1">
      <c r="A356" s="1714" t="s">
        <v>587</v>
      </c>
      <c r="B356" s="836"/>
      <c r="C356" s="837"/>
      <c r="D356" s="837"/>
      <c r="E356" s="838"/>
      <c r="F356" s="837"/>
      <c r="G356" s="837"/>
      <c r="H356" s="837"/>
      <c r="I356" s="838"/>
      <c r="J356" s="837"/>
      <c r="K356" s="837"/>
      <c r="L356" s="837"/>
      <c r="M356" s="838"/>
      <c r="N356" s="836"/>
      <c r="O356" s="836"/>
      <c r="P356" s="836"/>
      <c r="Q356" s="1041"/>
      <c r="R356" s="836"/>
      <c r="S356" s="1294"/>
      <c r="T356" s="1294"/>
      <c r="U356" s="1557"/>
      <c r="V356" s="1294"/>
      <c r="W356" s="1294"/>
      <c r="X356" s="1294"/>
      <c r="Y356" s="1557"/>
      <c r="Z356" s="1294"/>
      <c r="AA356" s="1294"/>
      <c r="AB356" s="1294"/>
      <c r="AC356" s="1557"/>
      <c r="AD356" s="1294"/>
      <c r="AE356" s="1294"/>
      <c r="AF356" s="1294"/>
      <c r="AG356" s="1557"/>
      <c r="AH356" s="1294"/>
      <c r="AI356" s="1294"/>
      <c r="AJ356" s="1294"/>
      <c r="AK356" s="1557"/>
      <c r="AL356" s="1294"/>
      <c r="AM356" s="1294"/>
      <c r="AN356" s="398"/>
      <c r="AO356" s="401"/>
      <c r="AP356" s="398"/>
      <c r="AQ356" s="398"/>
      <c r="AR356" s="398"/>
      <c r="AS356" s="401"/>
      <c r="AT356" s="398"/>
      <c r="AU356" s="398"/>
      <c r="AV356" s="398"/>
      <c r="AW356" s="401"/>
      <c r="AX356" s="398"/>
      <c r="AY356" s="398"/>
      <c r="AZ356" s="398"/>
      <c r="BA356" s="401"/>
      <c r="BB356" s="398"/>
      <c r="BC356" s="1674"/>
      <c r="BD356" s="1674"/>
      <c r="BE356" s="1674"/>
      <c r="BF356" s="1674"/>
      <c r="BG356" s="1674"/>
      <c r="BH356" s="1674"/>
      <c r="BI356" s="1674"/>
      <c r="BJ356" s="1546"/>
      <c r="BK356" s="1709"/>
      <c r="BL356" s="1709">
        <v>0.13</v>
      </c>
      <c r="BM356" s="1709"/>
      <c r="BN356" s="1674"/>
      <c r="BO356" s="1674"/>
      <c r="BP356" s="1674"/>
      <c r="BR356" s="1483"/>
      <c r="BS356" s="1483"/>
      <c r="BT356" s="1483"/>
      <c r="BU356" s="1675"/>
    </row>
    <row r="357" spans="1:73" s="304" customFormat="1" ht="12" customHeight="1">
      <c r="A357" s="1677" t="s">
        <v>545</v>
      </c>
      <c r="B357" s="836"/>
      <c r="C357" s="837"/>
      <c r="D357" s="837"/>
      <c r="E357" s="838"/>
      <c r="F357" s="837"/>
      <c r="G357" s="837"/>
      <c r="H357" s="837"/>
      <c r="I357" s="838"/>
      <c r="J357" s="837"/>
      <c r="K357" s="837"/>
      <c r="L357" s="837"/>
      <c r="M357" s="838"/>
      <c r="N357" s="836"/>
      <c r="O357" s="836"/>
      <c r="P357" s="836"/>
      <c r="Q357" s="1041"/>
      <c r="R357" s="836"/>
      <c r="S357" s="1294"/>
      <c r="T357" s="1294"/>
      <c r="U357" s="1557"/>
      <c r="V357" s="1294"/>
      <c r="W357" s="1294"/>
      <c r="X357" s="1294"/>
      <c r="Y357" s="1557"/>
      <c r="Z357" s="1294"/>
      <c r="AA357" s="1294"/>
      <c r="AB357" s="1294"/>
      <c r="AC357" s="1557"/>
      <c r="AD357" s="1294"/>
      <c r="AE357" s="1294"/>
      <c r="AF357" s="1294"/>
      <c r="AG357" s="1557"/>
      <c r="AH357" s="1294"/>
      <c r="AI357" s="1294"/>
      <c r="AJ357" s="1294"/>
      <c r="AK357" s="1557"/>
      <c r="AL357" s="1294"/>
      <c r="AM357" s="1294"/>
      <c r="AN357" s="398"/>
      <c r="AO357" s="401"/>
      <c r="AP357" s="398"/>
      <c r="AQ357" s="398"/>
      <c r="AR357" s="398"/>
      <c r="AS357" s="401"/>
      <c r="AT357" s="398"/>
      <c r="AU357" s="398"/>
      <c r="AV357" s="398"/>
      <c r="AW357" s="401"/>
      <c r="AX357" s="398"/>
      <c r="AY357" s="398"/>
      <c r="AZ357" s="398"/>
      <c r="BA357" s="401"/>
      <c r="BB357" s="398"/>
      <c r="BC357" s="1674"/>
      <c r="BD357" s="1674"/>
      <c r="BE357" s="1674"/>
      <c r="BF357" s="1674"/>
      <c r="BG357" s="1674"/>
      <c r="BH357" s="1674"/>
      <c r="BI357" s="1674"/>
      <c r="BJ357" s="1546"/>
      <c r="BK357" s="1674"/>
      <c r="BL357" s="1709">
        <v>0.22</v>
      </c>
      <c r="BM357" s="1709"/>
      <c r="BN357" s="1674"/>
      <c r="BO357" s="1674"/>
      <c r="BP357" s="1674"/>
      <c r="BR357" s="1483"/>
      <c r="BS357" s="1483"/>
      <c r="BT357" s="1483"/>
      <c r="BU357" s="1675"/>
    </row>
    <row r="358" spans="1:73" s="304" customFormat="1" ht="12" customHeight="1">
      <c r="A358" s="1677" t="s">
        <v>586</v>
      </c>
      <c r="B358" s="836"/>
      <c r="C358" s="837"/>
      <c r="D358" s="837"/>
      <c r="E358" s="838"/>
      <c r="F358" s="837"/>
      <c r="G358" s="837"/>
      <c r="H358" s="837"/>
      <c r="I358" s="838"/>
      <c r="J358" s="837"/>
      <c r="K358" s="837"/>
      <c r="L358" s="837"/>
      <c r="M358" s="838"/>
      <c r="N358" s="836"/>
      <c r="O358" s="836"/>
      <c r="P358" s="836"/>
      <c r="Q358" s="1041"/>
      <c r="R358" s="836"/>
      <c r="S358" s="1294"/>
      <c r="T358" s="1294"/>
      <c r="U358" s="1557"/>
      <c r="V358" s="1294"/>
      <c r="W358" s="1294"/>
      <c r="X358" s="1294"/>
      <c r="Y358" s="1557"/>
      <c r="Z358" s="1294"/>
      <c r="AA358" s="1294"/>
      <c r="AB358" s="1294"/>
      <c r="AC358" s="1557"/>
      <c r="AD358" s="1294"/>
      <c r="AE358" s="1294"/>
      <c r="AF358" s="1294"/>
      <c r="AG358" s="1557"/>
      <c r="AH358" s="1294"/>
      <c r="AI358" s="1294"/>
      <c r="AJ358" s="1294"/>
      <c r="AK358" s="1557"/>
      <c r="AL358" s="1294"/>
      <c r="AM358" s="1294"/>
      <c r="AN358" s="398"/>
      <c r="AO358" s="401"/>
      <c r="AP358" s="398"/>
      <c r="AQ358" s="398"/>
      <c r="AR358" s="398"/>
      <c r="AS358" s="401"/>
      <c r="AT358" s="398"/>
      <c r="AU358" s="398"/>
      <c r="AV358" s="398"/>
      <c r="AW358" s="401"/>
      <c r="AX358" s="398"/>
      <c r="AY358" s="398"/>
      <c r="AZ358" s="398"/>
      <c r="BA358" s="401"/>
      <c r="BB358" s="398"/>
      <c r="BC358" s="1674"/>
      <c r="BD358" s="1674"/>
      <c r="BE358" s="1674"/>
      <c r="BF358" s="1674"/>
      <c r="BG358" s="1674"/>
      <c r="BH358" s="1674"/>
      <c r="BI358" s="1674"/>
      <c r="BJ358" s="1546"/>
      <c r="BK358" s="1674"/>
      <c r="BL358" s="1743">
        <v>0.22</v>
      </c>
      <c r="BM358" s="1743"/>
      <c r="BN358" s="1674"/>
      <c r="BO358" s="1674"/>
      <c r="BP358" s="1674"/>
      <c r="BR358" s="1483"/>
      <c r="BS358" s="1483"/>
      <c r="BT358" s="1483"/>
      <c r="BU358" s="1675"/>
    </row>
    <row r="359" spans="1:73" s="304" customFormat="1" ht="11.65" customHeight="1">
      <c r="A359" s="1677" t="s">
        <v>588</v>
      </c>
      <c r="B359" s="836"/>
      <c r="C359" s="837"/>
      <c r="D359" s="837"/>
      <c r="E359" s="838"/>
      <c r="F359" s="837"/>
      <c r="G359" s="837"/>
      <c r="H359" s="837"/>
      <c r="I359" s="838"/>
      <c r="J359" s="837"/>
      <c r="K359" s="837"/>
      <c r="L359" s="837"/>
      <c r="M359" s="838"/>
      <c r="N359" s="836"/>
      <c r="O359" s="836"/>
      <c r="P359" s="836"/>
      <c r="Q359" s="1041"/>
      <c r="R359" s="836"/>
      <c r="S359" s="1294"/>
      <c r="T359" s="1294"/>
      <c r="U359" s="1557"/>
      <c r="V359" s="1294"/>
      <c r="W359" s="1294"/>
      <c r="X359" s="1294"/>
      <c r="Y359" s="1557"/>
      <c r="Z359" s="1294"/>
      <c r="AA359" s="1294"/>
      <c r="AB359" s="1294"/>
      <c r="AC359" s="1557"/>
      <c r="AD359" s="1294"/>
      <c r="AE359" s="1294"/>
      <c r="AF359" s="1294"/>
      <c r="AG359" s="1557"/>
      <c r="AH359" s="1294"/>
      <c r="AI359" s="1294"/>
      <c r="AJ359" s="1294"/>
      <c r="AK359" s="1557"/>
      <c r="AL359" s="1294"/>
      <c r="AM359" s="1294"/>
      <c r="AN359" s="398"/>
      <c r="AO359" s="401"/>
      <c r="AP359" s="398"/>
      <c r="AQ359" s="398"/>
      <c r="AR359" s="398"/>
      <c r="AS359" s="401"/>
      <c r="AT359" s="398"/>
      <c r="AU359" s="398"/>
      <c r="AV359" s="398"/>
      <c r="AW359" s="401"/>
      <c r="AX359" s="398"/>
      <c r="AY359" s="398"/>
      <c r="AZ359" s="398"/>
      <c r="BA359" s="401"/>
      <c r="BB359" s="398"/>
      <c r="BC359" s="1674"/>
      <c r="BD359" s="1674"/>
      <c r="BE359" s="1674"/>
      <c r="BF359" s="1674"/>
      <c r="BG359" s="1674"/>
      <c r="BH359" s="1674"/>
      <c r="BI359" s="1674"/>
      <c r="BJ359" s="1546"/>
      <c r="BK359" s="1743">
        <v>0.5</v>
      </c>
      <c r="BL359" s="1743">
        <v>0.5</v>
      </c>
      <c r="BM359" s="1743"/>
      <c r="BN359" s="1674"/>
      <c r="BO359" s="1674"/>
      <c r="BP359" s="1674"/>
      <c r="BR359" s="1483"/>
      <c r="BS359" s="1483"/>
      <c r="BT359" s="1483"/>
      <c r="BU359" s="1675"/>
    </row>
    <row r="360" spans="1:73" s="304" customFormat="1" ht="11.65" customHeight="1">
      <c r="A360" s="1677" t="s">
        <v>624</v>
      </c>
      <c r="B360" s="836"/>
      <c r="C360" s="837"/>
      <c r="D360" s="837"/>
      <c r="E360" s="838"/>
      <c r="F360" s="837"/>
      <c r="G360" s="837"/>
      <c r="H360" s="837"/>
      <c r="I360" s="838"/>
      <c r="J360" s="837"/>
      <c r="K360" s="837"/>
      <c r="L360" s="837"/>
      <c r="M360" s="838"/>
      <c r="N360" s="836"/>
      <c r="O360" s="836"/>
      <c r="P360" s="836"/>
      <c r="Q360" s="1041"/>
      <c r="R360" s="836"/>
      <c r="S360" s="1294"/>
      <c r="T360" s="1294"/>
      <c r="U360" s="1557"/>
      <c r="V360" s="1294"/>
      <c r="W360" s="1294"/>
      <c r="X360" s="1294"/>
      <c r="Y360" s="1557"/>
      <c r="Z360" s="1294"/>
      <c r="AA360" s="1294"/>
      <c r="AB360" s="1294"/>
      <c r="AC360" s="1557"/>
      <c r="AD360" s="1294"/>
      <c r="AE360" s="1294"/>
      <c r="AF360" s="1294"/>
      <c r="AG360" s="1557"/>
      <c r="AH360" s="1294"/>
      <c r="AI360" s="1294"/>
      <c r="AJ360" s="1294"/>
      <c r="AK360" s="1557"/>
      <c r="AL360" s="1294"/>
      <c r="AM360" s="1294"/>
      <c r="AN360" s="398"/>
      <c r="AO360" s="401"/>
      <c r="AP360" s="398"/>
      <c r="AQ360" s="398"/>
      <c r="AR360" s="398"/>
      <c r="AS360" s="401"/>
      <c r="AT360" s="398"/>
      <c r="AU360" s="398"/>
      <c r="AV360" s="398"/>
      <c r="AW360" s="401"/>
      <c r="AX360" s="398"/>
      <c r="AY360" s="398"/>
      <c r="AZ360" s="398"/>
      <c r="BA360" s="401"/>
      <c r="BB360" s="398"/>
      <c r="BC360" s="1674"/>
      <c r="BD360" s="1674"/>
      <c r="BE360" s="1674"/>
      <c r="BF360" s="1674"/>
      <c r="BG360" s="1674"/>
      <c r="BH360" s="1674"/>
      <c r="BI360" s="1674"/>
      <c r="BJ360" s="1546"/>
      <c r="BK360" s="1674"/>
      <c r="BL360" s="1676">
        <v>29000</v>
      </c>
      <c r="BM360" s="1676"/>
      <c r="BN360" s="1674"/>
      <c r="BO360" s="1674"/>
      <c r="BP360" s="1674"/>
      <c r="BR360" s="1483"/>
      <c r="BS360" s="1483"/>
      <c r="BT360" s="1483"/>
      <c r="BU360" s="1675"/>
    </row>
    <row r="361" spans="1:73" s="304" customFormat="1" ht="11.65" customHeight="1">
      <c r="A361" s="1677"/>
      <c r="B361" s="836"/>
      <c r="C361" s="837"/>
      <c r="D361" s="837"/>
      <c r="E361" s="838"/>
      <c r="F361" s="837"/>
      <c r="G361" s="837"/>
      <c r="H361" s="837"/>
      <c r="I361" s="838"/>
      <c r="J361" s="837"/>
      <c r="K361" s="837"/>
      <c r="L361" s="837"/>
      <c r="M361" s="838"/>
      <c r="N361" s="836"/>
      <c r="O361" s="836"/>
      <c r="P361" s="836"/>
      <c r="Q361" s="1041"/>
      <c r="R361" s="836"/>
      <c r="S361" s="1294"/>
      <c r="T361" s="1294"/>
      <c r="U361" s="1557"/>
      <c r="V361" s="1294"/>
      <c r="W361" s="1294"/>
      <c r="X361" s="1294"/>
      <c r="Y361" s="1557"/>
      <c r="Z361" s="1294"/>
      <c r="AA361" s="1294"/>
      <c r="AB361" s="1294"/>
      <c r="AC361" s="1557"/>
      <c r="AD361" s="1294"/>
      <c r="AE361" s="1294"/>
      <c r="AF361" s="1294"/>
      <c r="AG361" s="1557"/>
      <c r="AH361" s="1294"/>
      <c r="AI361" s="1294"/>
      <c r="AJ361" s="1294"/>
      <c r="AK361" s="1557"/>
      <c r="AL361" s="1294"/>
      <c r="AM361" s="1294"/>
      <c r="AN361" s="398"/>
      <c r="AO361" s="401"/>
      <c r="AP361" s="398"/>
      <c r="AQ361" s="398"/>
      <c r="AR361" s="398"/>
      <c r="AS361" s="401"/>
      <c r="AT361" s="398"/>
      <c r="AU361" s="398"/>
      <c r="AV361" s="398"/>
      <c r="AW361" s="401"/>
      <c r="AX361" s="398"/>
      <c r="AY361" s="398"/>
      <c r="AZ361" s="398"/>
      <c r="BA361" s="401"/>
      <c r="BB361" s="398"/>
      <c r="BC361" s="1674"/>
      <c r="BD361" s="1674"/>
      <c r="BE361" s="1674"/>
      <c r="BF361" s="1674"/>
      <c r="BG361" s="1674"/>
      <c r="BH361" s="1674"/>
      <c r="BI361" s="1674"/>
      <c r="BJ361" s="1546"/>
      <c r="BK361" s="1674"/>
      <c r="BL361" s="1743"/>
      <c r="BM361" s="1674"/>
      <c r="BN361" s="1674"/>
      <c r="BO361" s="1674"/>
      <c r="BP361" s="1674"/>
      <c r="BR361" s="1483"/>
      <c r="BS361" s="1483"/>
      <c r="BT361" s="1483"/>
      <c r="BU361" s="1675"/>
    </row>
    <row r="362" spans="1:73" s="304" customFormat="1" ht="11.65" customHeight="1">
      <c r="A362" s="1548"/>
      <c r="B362" s="836"/>
      <c r="C362" s="837"/>
      <c r="D362" s="837"/>
      <c r="E362" s="838"/>
      <c r="F362" s="837"/>
      <c r="G362" s="837"/>
      <c r="H362" s="837"/>
      <c r="I362" s="838"/>
      <c r="J362" s="837"/>
      <c r="K362" s="837"/>
      <c r="L362" s="837"/>
      <c r="M362" s="838"/>
      <c r="N362" s="836"/>
      <c r="O362" s="836"/>
      <c r="P362" s="836"/>
      <c r="Q362" s="1041"/>
      <c r="R362" s="836"/>
      <c r="S362" s="1294"/>
      <c r="T362" s="1294"/>
      <c r="U362" s="1557"/>
      <c r="V362" s="1294"/>
      <c r="W362" s="1294"/>
      <c r="X362" s="1294"/>
      <c r="Y362" s="1557"/>
      <c r="Z362" s="1294"/>
      <c r="AA362" s="1294"/>
      <c r="AB362" s="1294"/>
      <c r="AC362" s="1557"/>
      <c r="AD362" s="1294"/>
      <c r="AE362" s="1294"/>
      <c r="AF362" s="1294"/>
      <c r="AG362" s="1557"/>
      <c r="AH362" s="1294"/>
      <c r="AI362" s="1294"/>
      <c r="AJ362" s="1294"/>
      <c r="AK362" s="1557"/>
      <c r="AL362" s="1294"/>
      <c r="AM362" s="1294"/>
      <c r="AN362" s="398"/>
      <c r="AO362" s="401"/>
      <c r="AP362" s="398"/>
      <c r="AQ362" s="398"/>
      <c r="AR362" s="398"/>
      <c r="AS362" s="401"/>
      <c r="AT362" s="398"/>
      <c r="AU362" s="398"/>
      <c r="AV362" s="398"/>
      <c r="AW362" s="401"/>
      <c r="AX362" s="398"/>
      <c r="AY362" s="398"/>
      <c r="AZ362" s="398"/>
      <c r="BA362" s="401"/>
      <c r="BB362" s="398"/>
      <c r="BC362" s="1674"/>
      <c r="BD362" s="1674"/>
      <c r="BE362" s="1674"/>
      <c r="BF362" s="1674"/>
      <c r="BG362" s="1674"/>
      <c r="BH362" s="1674"/>
      <c r="BI362" s="1674"/>
      <c r="BJ362" s="1546"/>
      <c r="BK362" s="1674"/>
      <c r="BL362" s="1707"/>
      <c r="BM362" s="1674"/>
      <c r="BN362" s="1674"/>
      <c r="BO362" s="1674"/>
      <c r="BP362" s="1674"/>
      <c r="BR362" s="1483"/>
      <c r="BS362" s="1483"/>
      <c r="BT362" s="1483"/>
      <c r="BU362" s="1675"/>
    </row>
    <row r="363" spans="1:73" s="304" customFormat="1" ht="11.65" customHeight="1">
      <c r="A363" s="1547" t="s">
        <v>562</v>
      </c>
      <c r="B363" s="1110"/>
      <c r="C363" s="1108"/>
      <c r="D363" s="1108"/>
      <c r="E363" s="1109"/>
      <c r="F363" s="1108"/>
      <c r="G363" s="1108"/>
      <c r="H363" s="1108"/>
      <c r="I363" s="1109"/>
      <c r="J363" s="1108"/>
      <c r="K363" s="1108"/>
      <c r="L363" s="1108"/>
      <c r="M363" s="1109"/>
      <c r="N363" s="1110"/>
      <c r="O363" s="1110"/>
      <c r="P363" s="1110"/>
      <c r="Q363" s="1111"/>
      <c r="R363" s="1110"/>
      <c r="S363" s="1569"/>
      <c r="T363" s="1569"/>
      <c r="U363" s="1570"/>
      <c r="V363" s="1569"/>
      <c r="W363" s="1569"/>
      <c r="X363" s="1569"/>
      <c r="Y363" s="1570"/>
      <c r="Z363" s="1569"/>
      <c r="AA363" s="1569"/>
      <c r="AB363" s="1569"/>
      <c r="AC363" s="1570"/>
      <c r="AD363" s="1569"/>
      <c r="AE363" s="1569"/>
      <c r="AF363" s="1569"/>
      <c r="AG363" s="1570"/>
      <c r="AH363" s="1569"/>
      <c r="AI363" s="1569"/>
      <c r="AJ363" s="1569"/>
      <c r="AK363" s="1570"/>
      <c r="AL363" s="1569"/>
      <c r="AM363" s="1569"/>
      <c r="AN363" s="398"/>
      <c r="AO363" s="401"/>
      <c r="AP363" s="398"/>
      <c r="AQ363" s="398"/>
      <c r="AR363" s="398"/>
      <c r="AS363" s="401"/>
      <c r="AT363" s="398"/>
      <c r="AU363" s="398"/>
      <c r="AV363" s="398"/>
      <c r="AW363" s="401"/>
      <c r="AX363" s="398"/>
      <c r="AY363" s="398"/>
      <c r="AZ363" s="398"/>
      <c r="BA363" s="401"/>
      <c r="BB363" s="398"/>
      <c r="BC363" s="1710"/>
      <c r="BD363" s="1710"/>
      <c r="BE363" s="1710"/>
      <c r="BF363" s="1710"/>
      <c r="BG363" s="1710"/>
      <c r="BH363" s="1710"/>
      <c r="BI363" s="1710"/>
      <c r="BJ363" s="1711"/>
      <c r="BK363" s="1710"/>
      <c r="BL363" s="1713"/>
      <c r="BM363" s="1710"/>
      <c r="BN363" s="1710"/>
      <c r="BO363" s="1710"/>
      <c r="BP363" s="1710"/>
      <c r="BR363" s="1483"/>
      <c r="BS363" s="1483"/>
      <c r="BT363" s="1483"/>
      <c r="BU363" s="1672"/>
    </row>
    <row r="364" spans="1:73" s="304" customFormat="1" ht="11.65" customHeight="1">
      <c r="A364" s="1677" t="s">
        <v>563</v>
      </c>
      <c r="B364" s="1110"/>
      <c r="C364" s="1108"/>
      <c r="D364" s="1108"/>
      <c r="E364" s="1109"/>
      <c r="F364" s="1108"/>
      <c r="G364" s="1108"/>
      <c r="H364" s="1108"/>
      <c r="I364" s="1109"/>
      <c r="J364" s="1108"/>
      <c r="K364" s="1108"/>
      <c r="L364" s="1108"/>
      <c r="M364" s="1109"/>
      <c r="N364" s="1110"/>
      <c r="O364" s="1110"/>
      <c r="P364" s="1110"/>
      <c r="Q364" s="1111"/>
      <c r="R364" s="1110"/>
      <c r="S364" s="1569"/>
      <c r="T364" s="1569"/>
      <c r="U364" s="1570"/>
      <c r="V364" s="1569"/>
      <c r="W364" s="1569"/>
      <c r="X364" s="1569"/>
      <c r="Y364" s="1570"/>
      <c r="Z364" s="1569"/>
      <c r="AA364" s="1569"/>
      <c r="AB364" s="1569"/>
      <c r="AC364" s="1570"/>
      <c r="AD364" s="1569"/>
      <c r="AE364" s="1569"/>
      <c r="AF364" s="1569"/>
      <c r="AG364" s="1570"/>
      <c r="AH364" s="1569"/>
      <c r="AI364" s="1569"/>
      <c r="AJ364" s="1569"/>
      <c r="AK364" s="1570"/>
      <c r="AL364" s="1569"/>
      <c r="AM364" s="1569"/>
      <c r="AN364" s="398"/>
      <c r="AO364" s="401"/>
      <c r="AP364" s="398"/>
      <c r="AQ364" s="398"/>
      <c r="AR364" s="398"/>
      <c r="AS364" s="401"/>
      <c r="AT364" s="398"/>
      <c r="AU364" s="398"/>
      <c r="AV364" s="398"/>
      <c r="AW364" s="401"/>
      <c r="AX364" s="398"/>
      <c r="AY364" s="398"/>
      <c r="AZ364" s="398"/>
      <c r="BA364" s="401"/>
      <c r="BB364" s="398"/>
      <c r="BC364" s="1710"/>
      <c r="BD364" s="1710"/>
      <c r="BE364" s="1734">
        <f>0.881+0.356</f>
        <v>1.2370000000000001</v>
      </c>
      <c r="BF364" s="1734">
        <f>0.749+0.385</f>
        <v>1.1339999999999999</v>
      </c>
      <c r="BG364" s="1734">
        <f>0.763+0.413</f>
        <v>1.1759999999999999</v>
      </c>
      <c r="BH364" s="1734">
        <f>0.594+0.451</f>
        <v>1.0449999999999999</v>
      </c>
      <c r="BI364" s="1734">
        <f>0.315+0.668</f>
        <v>0.9830000000000001</v>
      </c>
      <c r="BJ364" s="1734">
        <v>1</v>
      </c>
      <c r="BK364" s="1734">
        <v>1</v>
      </c>
      <c r="BL364" s="1734">
        <v>1</v>
      </c>
      <c r="BM364" s="1734">
        <v>0.9</v>
      </c>
      <c r="BN364" s="1710"/>
      <c r="BO364" s="1710"/>
      <c r="BP364" s="1710"/>
      <c r="BR364" s="1483"/>
      <c r="BS364" s="1483"/>
      <c r="BT364" s="1483"/>
      <c r="BU364" s="1672"/>
    </row>
    <row r="365" spans="1:73" s="304" customFormat="1" ht="11.65" customHeight="1">
      <c r="A365" s="1677" t="s">
        <v>569</v>
      </c>
      <c r="B365" s="1110"/>
      <c r="C365" s="1108"/>
      <c r="D365" s="1108"/>
      <c r="E365" s="1109"/>
      <c r="F365" s="1108"/>
      <c r="G365" s="1108"/>
      <c r="H365" s="1108"/>
      <c r="I365" s="1109"/>
      <c r="J365" s="1108"/>
      <c r="K365" s="1108"/>
      <c r="L365" s="1108"/>
      <c r="M365" s="1109"/>
      <c r="N365" s="1110"/>
      <c r="O365" s="1110"/>
      <c r="P365" s="1110"/>
      <c r="Q365" s="1111"/>
      <c r="R365" s="1110"/>
      <c r="S365" s="1569"/>
      <c r="T365" s="1569"/>
      <c r="U365" s="1570"/>
      <c r="V365" s="1569"/>
      <c r="W365" s="1569"/>
      <c r="X365" s="1569"/>
      <c r="Y365" s="1570"/>
      <c r="Z365" s="1569"/>
      <c r="AA365" s="1569"/>
      <c r="AB365" s="1569"/>
      <c r="AC365" s="1570"/>
      <c r="AD365" s="1569"/>
      <c r="AE365" s="1569"/>
      <c r="AF365" s="1569"/>
      <c r="AG365" s="1570"/>
      <c r="AH365" s="1569"/>
      <c r="AI365" s="1569"/>
      <c r="AJ365" s="1569"/>
      <c r="AK365" s="1570"/>
      <c r="AL365" s="1569"/>
      <c r="AM365" s="1569"/>
      <c r="AN365" s="398"/>
      <c r="AO365" s="401"/>
      <c r="AP365" s="398"/>
      <c r="AQ365" s="398"/>
      <c r="AR365" s="398"/>
      <c r="AS365" s="401"/>
      <c r="AT365" s="398"/>
      <c r="AU365" s="398"/>
      <c r="AV365" s="398"/>
      <c r="AW365" s="401"/>
      <c r="AX365" s="398"/>
      <c r="AY365" s="398"/>
      <c r="AZ365" s="398"/>
      <c r="BA365" s="401"/>
      <c r="BB365" s="398"/>
      <c r="BC365" s="1710"/>
      <c r="BD365" s="1710"/>
      <c r="BE365" s="1710"/>
      <c r="BF365" s="1710"/>
      <c r="BG365" s="1734"/>
      <c r="BH365" s="1760">
        <v>682</v>
      </c>
      <c r="BI365" s="1739">
        <v>793</v>
      </c>
      <c r="BJ365" s="1739">
        <v>1064</v>
      </c>
      <c r="BK365" s="1739">
        <v>1594</v>
      </c>
      <c r="BL365" s="1739">
        <v>2298</v>
      </c>
      <c r="BM365" s="1739">
        <v>2686</v>
      </c>
      <c r="BN365" s="1710"/>
      <c r="BO365" s="1710"/>
      <c r="BP365" s="1710"/>
      <c r="BR365" s="1483"/>
      <c r="BS365" s="1483"/>
      <c r="BT365" s="1483"/>
      <c r="BU365" s="1672"/>
    </row>
    <row r="366" spans="1:73" s="304" customFormat="1" ht="11.65" customHeight="1">
      <c r="A366" s="1684" t="s">
        <v>564</v>
      </c>
      <c r="B366" s="1110"/>
      <c r="C366" s="1108"/>
      <c r="D366" s="1108"/>
      <c r="E366" s="1109"/>
      <c r="F366" s="1108"/>
      <c r="G366" s="1108"/>
      <c r="H366" s="1108"/>
      <c r="I366" s="1109"/>
      <c r="J366" s="1108"/>
      <c r="K366" s="1108"/>
      <c r="L366" s="1108"/>
      <c r="M366" s="1109"/>
      <c r="N366" s="1110"/>
      <c r="O366" s="1110"/>
      <c r="P366" s="1110"/>
      <c r="Q366" s="1111"/>
      <c r="R366" s="1110"/>
      <c r="S366" s="1569"/>
      <c r="T366" s="1569"/>
      <c r="U366" s="1570"/>
      <c r="V366" s="1569"/>
      <c r="W366" s="1569"/>
      <c r="X366" s="1569"/>
      <c r="Y366" s="1570"/>
      <c r="Z366" s="1569"/>
      <c r="AA366" s="1569"/>
      <c r="AB366" s="1569"/>
      <c r="AC366" s="1570"/>
      <c r="AD366" s="1569"/>
      <c r="AE366" s="1569"/>
      <c r="AF366" s="1569"/>
      <c r="AG366" s="1570"/>
      <c r="AH366" s="1569"/>
      <c r="AI366" s="1569"/>
      <c r="AJ366" s="1569"/>
      <c r="AK366" s="1570"/>
      <c r="AL366" s="1569"/>
      <c r="AM366" s="1569"/>
      <c r="AN366" s="398"/>
      <c r="AO366" s="401"/>
      <c r="AP366" s="398"/>
      <c r="AQ366" s="398"/>
      <c r="AR366" s="398"/>
      <c r="AS366" s="401"/>
      <c r="AT366" s="398"/>
      <c r="AU366" s="398"/>
      <c r="AV366" s="398"/>
      <c r="AW366" s="401"/>
      <c r="AX366" s="398"/>
      <c r="AY366" s="398"/>
      <c r="AZ366" s="398"/>
      <c r="BA366" s="401"/>
      <c r="BB366" s="398"/>
      <c r="BC366" s="1710"/>
      <c r="BD366" s="1710"/>
      <c r="BE366" s="1710"/>
      <c r="BF366" s="1710"/>
      <c r="BG366" s="1735">
        <f>+BG364-BG368</f>
        <v>1.02312</v>
      </c>
      <c r="BH366" s="1674"/>
      <c r="BI366" s="1674"/>
      <c r="BJ366" s="1546"/>
      <c r="BK366" s="1674"/>
      <c r="BL366" s="1710">
        <f>+BL364-BL368</f>
        <v>0.77</v>
      </c>
      <c r="BM366" s="1710">
        <v>0.7</v>
      </c>
      <c r="BN366" s="1710"/>
      <c r="BO366" s="1710"/>
      <c r="BP366" s="1710"/>
      <c r="BR366" s="1483"/>
      <c r="BS366" s="1483"/>
      <c r="BT366" s="1483"/>
      <c r="BU366" s="1672"/>
    </row>
    <row r="367" spans="1:73" s="304" customFormat="1" ht="11.65" customHeight="1">
      <c r="A367" s="1732" t="s">
        <v>566</v>
      </c>
      <c r="B367" s="1110"/>
      <c r="C367" s="1108"/>
      <c r="D367" s="1108"/>
      <c r="E367" s="1109"/>
      <c r="F367" s="1108"/>
      <c r="G367" s="1108"/>
      <c r="H367" s="1108"/>
      <c r="I367" s="1109"/>
      <c r="J367" s="1108"/>
      <c r="K367" s="1108"/>
      <c r="L367" s="1108"/>
      <c r="M367" s="1109"/>
      <c r="N367" s="1110"/>
      <c r="O367" s="1110"/>
      <c r="P367" s="1110"/>
      <c r="Q367" s="1111"/>
      <c r="R367" s="1110"/>
      <c r="S367" s="1569"/>
      <c r="T367" s="1569"/>
      <c r="U367" s="1570"/>
      <c r="V367" s="1569"/>
      <c r="W367" s="1569"/>
      <c r="X367" s="1569"/>
      <c r="Y367" s="1570"/>
      <c r="Z367" s="1569"/>
      <c r="AA367" s="1569"/>
      <c r="AB367" s="1569"/>
      <c r="AC367" s="1570"/>
      <c r="AD367" s="1569"/>
      <c r="AE367" s="1569"/>
      <c r="AF367" s="1569"/>
      <c r="AG367" s="1570"/>
      <c r="AH367" s="1569"/>
      <c r="AI367" s="1569"/>
      <c r="AJ367" s="1569"/>
      <c r="AK367" s="1570"/>
      <c r="AL367" s="1569"/>
      <c r="AM367" s="1569"/>
      <c r="AN367" s="398"/>
      <c r="AO367" s="401"/>
      <c r="AP367" s="398"/>
      <c r="AQ367" s="398"/>
      <c r="AR367" s="398"/>
      <c r="AS367" s="401"/>
      <c r="AT367" s="398"/>
      <c r="AU367" s="398"/>
      <c r="AV367" s="398"/>
      <c r="AW367" s="401"/>
      <c r="AX367" s="398"/>
      <c r="AY367" s="398"/>
      <c r="AZ367" s="398"/>
      <c r="BA367" s="401"/>
      <c r="BB367" s="398"/>
      <c r="BC367" s="1710"/>
      <c r="BD367" s="1710"/>
      <c r="BE367" s="1710"/>
      <c r="BF367" s="1710"/>
      <c r="BG367" s="1736">
        <f>+BG366/BG364</f>
        <v>0.87000000000000011</v>
      </c>
      <c r="BH367" s="1674"/>
      <c r="BI367" s="1674"/>
      <c r="BJ367" s="1546"/>
      <c r="BK367" s="1674"/>
      <c r="BL367" s="1736">
        <f>+BL366/BL364</f>
        <v>0.77</v>
      </c>
      <c r="BM367" s="1736">
        <f>+BM366/BM364</f>
        <v>0.77777777777777768</v>
      </c>
      <c r="BN367" s="1710"/>
      <c r="BO367" s="1710"/>
      <c r="BP367" s="1710"/>
      <c r="BR367" s="1483"/>
      <c r="BS367" s="1483"/>
      <c r="BT367" s="1483"/>
      <c r="BU367" s="1672"/>
    </row>
    <row r="368" spans="1:73" s="304" customFormat="1" ht="11.65" customHeight="1">
      <c r="A368" s="1684" t="s">
        <v>565</v>
      </c>
      <c r="B368" s="1110"/>
      <c r="C368" s="1108"/>
      <c r="D368" s="1108"/>
      <c r="E368" s="1109"/>
      <c r="F368" s="1108"/>
      <c r="G368" s="1108"/>
      <c r="H368" s="1108"/>
      <c r="I368" s="1109"/>
      <c r="J368" s="1108"/>
      <c r="K368" s="1108"/>
      <c r="L368" s="1108"/>
      <c r="M368" s="1109"/>
      <c r="N368" s="1110"/>
      <c r="O368" s="1110"/>
      <c r="P368" s="1110"/>
      <c r="Q368" s="1111"/>
      <c r="R368" s="1110"/>
      <c r="S368" s="1569"/>
      <c r="T368" s="1569"/>
      <c r="U368" s="1570"/>
      <c r="V368" s="1569"/>
      <c r="W368" s="1569"/>
      <c r="X368" s="1569"/>
      <c r="Y368" s="1570"/>
      <c r="Z368" s="1569"/>
      <c r="AA368" s="1569"/>
      <c r="AB368" s="1569"/>
      <c r="AC368" s="1570"/>
      <c r="AD368" s="1569"/>
      <c r="AE368" s="1569"/>
      <c r="AF368" s="1569"/>
      <c r="AG368" s="1570"/>
      <c r="AH368" s="1569"/>
      <c r="AI368" s="1569"/>
      <c r="AJ368" s="1569"/>
      <c r="AK368" s="1570"/>
      <c r="AL368" s="1569"/>
      <c r="AM368" s="1569"/>
      <c r="AN368" s="398"/>
      <c r="AO368" s="401"/>
      <c r="AP368" s="398"/>
      <c r="AQ368" s="398"/>
      <c r="AR368" s="398"/>
      <c r="AS368" s="401"/>
      <c r="AT368" s="398"/>
      <c r="AU368" s="398"/>
      <c r="AV368" s="398"/>
      <c r="AW368" s="401"/>
      <c r="AX368" s="398"/>
      <c r="AY368" s="398"/>
      <c r="AZ368" s="398"/>
      <c r="BA368" s="401"/>
      <c r="BB368" s="398"/>
      <c r="BC368" s="1710"/>
      <c r="BD368" s="1710"/>
      <c r="BE368" s="1710"/>
      <c r="BF368" s="1710"/>
      <c r="BG368" s="1734">
        <f>+BG364*BG369</f>
        <v>0.15287999999999999</v>
      </c>
      <c r="BH368" s="1674"/>
      <c r="BI368" s="1674"/>
      <c r="BJ368" s="1546"/>
      <c r="BK368" s="1674"/>
      <c r="BL368" s="1734">
        <f>+BL364*BL369</f>
        <v>0.23</v>
      </c>
      <c r="BM368" s="1734">
        <f>+BM364*BM369</f>
        <v>0.27</v>
      </c>
      <c r="BN368" s="1710"/>
      <c r="BO368" s="1710"/>
      <c r="BP368" s="1710"/>
      <c r="BR368" s="1483"/>
      <c r="BS368" s="1483"/>
      <c r="BT368" s="1483"/>
      <c r="BU368" s="1672"/>
    </row>
    <row r="369" spans="1:73" s="304" customFormat="1" ht="11.65" customHeight="1">
      <c r="A369" s="1732" t="s">
        <v>566</v>
      </c>
      <c r="B369" s="1110"/>
      <c r="C369" s="1108"/>
      <c r="D369" s="1108"/>
      <c r="E369" s="1109"/>
      <c r="F369" s="1108"/>
      <c r="G369" s="1108"/>
      <c r="H369" s="1108"/>
      <c r="I369" s="1109"/>
      <c r="J369" s="1108"/>
      <c r="K369" s="1108"/>
      <c r="L369" s="1108"/>
      <c r="M369" s="1109"/>
      <c r="N369" s="1110"/>
      <c r="O369" s="1110"/>
      <c r="P369" s="1110"/>
      <c r="Q369" s="1111"/>
      <c r="R369" s="1110"/>
      <c r="S369" s="1569"/>
      <c r="T369" s="1569"/>
      <c r="U369" s="1570"/>
      <c r="V369" s="1569"/>
      <c r="W369" s="1569"/>
      <c r="X369" s="1569"/>
      <c r="Y369" s="1570"/>
      <c r="Z369" s="1569"/>
      <c r="AA369" s="1569"/>
      <c r="AB369" s="1569"/>
      <c r="AC369" s="1570"/>
      <c r="AD369" s="1569"/>
      <c r="AE369" s="1569"/>
      <c r="AF369" s="1569"/>
      <c r="AG369" s="1570"/>
      <c r="AH369" s="1569"/>
      <c r="AI369" s="1569"/>
      <c r="AJ369" s="1569"/>
      <c r="AK369" s="1570"/>
      <c r="AL369" s="1569"/>
      <c r="AM369" s="1569"/>
      <c r="AN369" s="398"/>
      <c r="AO369" s="401"/>
      <c r="AP369" s="398"/>
      <c r="AQ369" s="398"/>
      <c r="AR369" s="398"/>
      <c r="AS369" s="401"/>
      <c r="AT369" s="398"/>
      <c r="AU369" s="398"/>
      <c r="AV369" s="398"/>
      <c r="AW369" s="401"/>
      <c r="AX369" s="398"/>
      <c r="AY369" s="398"/>
      <c r="AZ369" s="398"/>
      <c r="BA369" s="401"/>
      <c r="BB369" s="398"/>
      <c r="BC369" s="1710"/>
      <c r="BD369" s="1710"/>
      <c r="BE369" s="1710"/>
      <c r="BF369" s="1710"/>
      <c r="BG369" s="1737">
        <v>0.13</v>
      </c>
      <c r="BH369" s="1737">
        <v>0.16</v>
      </c>
      <c r="BI369" s="1737">
        <v>0.18</v>
      </c>
      <c r="BJ369" s="1737">
        <v>0.19</v>
      </c>
      <c r="BK369" s="1737">
        <v>0.21</v>
      </c>
      <c r="BL369" s="1737">
        <v>0.23</v>
      </c>
      <c r="BM369" s="1737">
        <v>0.3</v>
      </c>
      <c r="BN369" s="1710"/>
      <c r="BO369" s="1710"/>
      <c r="BP369" s="1710"/>
      <c r="BR369" s="1483"/>
      <c r="BS369" s="1483"/>
      <c r="BT369" s="1483"/>
      <c r="BU369" s="1672"/>
    </row>
    <row r="370" spans="1:73" s="304" customFormat="1" ht="11.65" customHeight="1">
      <c r="A370" s="1732" t="s">
        <v>568</v>
      </c>
      <c r="B370" s="1110"/>
      <c r="C370" s="1108"/>
      <c r="D370" s="1108"/>
      <c r="E370" s="1109"/>
      <c r="F370" s="1108"/>
      <c r="G370" s="1108"/>
      <c r="H370" s="1108"/>
      <c r="I370" s="1109"/>
      <c r="J370" s="1108"/>
      <c r="K370" s="1108"/>
      <c r="L370" s="1108"/>
      <c r="M370" s="1109"/>
      <c r="N370" s="1110"/>
      <c r="O370" s="1110"/>
      <c r="P370" s="1110"/>
      <c r="Q370" s="1111"/>
      <c r="R370" s="1110"/>
      <c r="S370" s="1569"/>
      <c r="T370" s="1569"/>
      <c r="U370" s="1570"/>
      <c r="V370" s="1569"/>
      <c r="W370" s="1569"/>
      <c r="X370" s="1569"/>
      <c r="Y370" s="1570"/>
      <c r="Z370" s="1569"/>
      <c r="AA370" s="1569"/>
      <c r="AB370" s="1569"/>
      <c r="AC370" s="1570"/>
      <c r="AD370" s="1569"/>
      <c r="AE370" s="1569"/>
      <c r="AF370" s="1569"/>
      <c r="AG370" s="1570"/>
      <c r="AH370" s="1569"/>
      <c r="AI370" s="1569"/>
      <c r="AJ370" s="1569"/>
      <c r="AK370" s="1570"/>
      <c r="AL370" s="1569"/>
      <c r="AM370" s="1569"/>
      <c r="AN370" s="398"/>
      <c r="AO370" s="401"/>
      <c r="AP370" s="398"/>
      <c r="AQ370" s="398"/>
      <c r="AR370" s="398"/>
      <c r="AS370" s="401"/>
      <c r="AT370" s="398"/>
      <c r="AU370" s="398"/>
      <c r="AV370" s="398"/>
      <c r="AW370" s="401"/>
      <c r="AX370" s="398"/>
      <c r="AY370" s="398"/>
      <c r="AZ370" s="398"/>
      <c r="BA370" s="401"/>
      <c r="BB370" s="398"/>
      <c r="BC370" s="1710"/>
      <c r="BD370" s="1710"/>
      <c r="BE370" s="1710"/>
      <c r="BF370" s="1710"/>
      <c r="BG370" s="1737"/>
      <c r="BH370" s="1737"/>
      <c r="BI370" s="1737"/>
      <c r="BJ370" s="1738"/>
      <c r="BK370" s="1737"/>
      <c r="BL370" s="1737">
        <v>0.32</v>
      </c>
      <c r="BM370" s="1710"/>
      <c r="BN370" s="1710"/>
      <c r="BO370" s="1710"/>
      <c r="BP370" s="1710"/>
      <c r="BR370" s="1483"/>
      <c r="BS370" s="1483"/>
      <c r="BT370" s="1483"/>
      <c r="BU370" s="1672"/>
    </row>
    <row r="371" spans="1:73" s="304" customFormat="1" ht="11.65" customHeight="1">
      <c r="A371" s="1684" t="s">
        <v>570</v>
      </c>
      <c r="B371" s="1110"/>
      <c r="C371" s="1108"/>
      <c r="D371" s="1108"/>
      <c r="E371" s="1109"/>
      <c r="F371" s="1108"/>
      <c r="G371" s="1108"/>
      <c r="H371" s="1108"/>
      <c r="I371" s="1109"/>
      <c r="J371" s="1108"/>
      <c r="K371" s="1108"/>
      <c r="L371" s="1108"/>
      <c r="M371" s="1109"/>
      <c r="N371" s="1110"/>
      <c r="O371" s="1110"/>
      <c r="P371" s="1110"/>
      <c r="Q371" s="1111"/>
      <c r="R371" s="1110"/>
      <c r="S371" s="1569"/>
      <c r="T371" s="1569"/>
      <c r="U371" s="1570"/>
      <c r="V371" s="1569"/>
      <c r="W371" s="1569"/>
      <c r="X371" s="1569"/>
      <c r="Y371" s="1570"/>
      <c r="Z371" s="1569"/>
      <c r="AA371" s="1569"/>
      <c r="AB371" s="1569"/>
      <c r="AC371" s="1570"/>
      <c r="AD371" s="1569"/>
      <c r="AE371" s="1569"/>
      <c r="AF371" s="1569"/>
      <c r="AG371" s="1570"/>
      <c r="AH371" s="1569"/>
      <c r="AI371" s="1569"/>
      <c r="AJ371" s="1569"/>
      <c r="AK371" s="1570"/>
      <c r="AL371" s="1569"/>
      <c r="AM371" s="1569"/>
      <c r="AN371" s="398"/>
      <c r="AO371" s="401"/>
      <c r="AP371" s="398"/>
      <c r="AQ371" s="398"/>
      <c r="AR371" s="398"/>
      <c r="AS371" s="401"/>
      <c r="AT371" s="398"/>
      <c r="AU371" s="398"/>
      <c r="AV371" s="398"/>
      <c r="AW371" s="401"/>
      <c r="AX371" s="398"/>
      <c r="AY371" s="398"/>
      <c r="AZ371" s="398"/>
      <c r="BA371" s="401"/>
      <c r="BB371" s="398"/>
      <c r="BC371" s="1710"/>
      <c r="BD371" s="1710"/>
      <c r="BE371" s="1710"/>
      <c r="BF371" s="1710"/>
      <c r="BG371" s="1737"/>
      <c r="BH371" s="1737"/>
      <c r="BI371" s="1737"/>
      <c r="BJ371" s="1738"/>
      <c r="BK371" s="1737"/>
      <c r="BL371" s="1735">
        <f>+BL372*BL142</f>
        <v>787.5</v>
      </c>
      <c r="BM371" s="1710"/>
      <c r="BN371" s="1710"/>
      <c r="BO371" s="1710"/>
      <c r="BP371" s="1710"/>
      <c r="BR371" s="1483"/>
      <c r="BS371" s="1483"/>
      <c r="BT371" s="1483"/>
      <c r="BU371" s="1672"/>
    </row>
    <row r="372" spans="1:73" s="304" customFormat="1" ht="11.65" customHeight="1">
      <c r="A372" s="1732" t="s">
        <v>571</v>
      </c>
      <c r="B372" s="1110"/>
      <c r="C372" s="1108"/>
      <c r="D372" s="1108"/>
      <c r="E372" s="1109"/>
      <c r="F372" s="1108"/>
      <c r="G372" s="1108"/>
      <c r="H372" s="1108"/>
      <c r="I372" s="1109"/>
      <c r="J372" s="1108"/>
      <c r="K372" s="1108"/>
      <c r="L372" s="1108"/>
      <c r="M372" s="1109"/>
      <c r="N372" s="1110"/>
      <c r="O372" s="1110"/>
      <c r="P372" s="1110"/>
      <c r="Q372" s="1111"/>
      <c r="R372" s="1110"/>
      <c r="S372" s="1569"/>
      <c r="T372" s="1569"/>
      <c r="U372" s="1570"/>
      <c r="V372" s="1569"/>
      <c r="W372" s="1569"/>
      <c r="X372" s="1569"/>
      <c r="Y372" s="1570"/>
      <c r="Z372" s="1569"/>
      <c r="AA372" s="1569"/>
      <c r="AB372" s="1569"/>
      <c r="AC372" s="1570"/>
      <c r="AD372" s="1569"/>
      <c r="AE372" s="1569"/>
      <c r="AF372" s="1569"/>
      <c r="AG372" s="1570"/>
      <c r="AH372" s="1569"/>
      <c r="AI372" s="1569"/>
      <c r="AJ372" s="1569"/>
      <c r="AK372" s="1570"/>
      <c r="AL372" s="1569"/>
      <c r="AM372" s="1569"/>
      <c r="AN372" s="398"/>
      <c r="AO372" s="401"/>
      <c r="AP372" s="398"/>
      <c r="AQ372" s="398"/>
      <c r="AR372" s="398"/>
      <c r="AS372" s="401"/>
      <c r="AT372" s="398"/>
      <c r="AU372" s="398"/>
      <c r="AV372" s="398"/>
      <c r="AW372" s="401"/>
      <c r="AX372" s="398"/>
      <c r="AY372" s="398"/>
      <c r="AZ372" s="398"/>
      <c r="BA372" s="401"/>
      <c r="BB372" s="398"/>
      <c r="BC372" s="1710"/>
      <c r="BD372" s="1710"/>
      <c r="BE372" s="1710"/>
      <c r="BF372" s="1710"/>
      <c r="BG372" s="1737"/>
      <c r="BH372" s="1737"/>
      <c r="BI372" s="1737"/>
      <c r="BJ372" s="1738"/>
      <c r="BK372" s="1737"/>
      <c r="BL372" s="1737">
        <v>0.5</v>
      </c>
      <c r="BM372" s="1710"/>
      <c r="BN372" s="1710"/>
      <c r="BO372" s="1710"/>
      <c r="BP372" s="1710"/>
      <c r="BR372" s="1483"/>
      <c r="BS372" s="1483"/>
      <c r="BT372" s="1483"/>
      <c r="BU372" s="1672"/>
    </row>
    <row r="373" spans="1:73" s="304" customFormat="1" ht="11.65" customHeight="1">
      <c r="A373" s="1732" t="s">
        <v>572</v>
      </c>
      <c r="B373" s="1110"/>
      <c r="C373" s="1108"/>
      <c r="D373" s="1108"/>
      <c r="E373" s="1109"/>
      <c r="F373" s="1108"/>
      <c r="G373" s="1108"/>
      <c r="H373" s="1108"/>
      <c r="I373" s="1109"/>
      <c r="J373" s="1108"/>
      <c r="K373" s="1108"/>
      <c r="L373" s="1108"/>
      <c r="M373" s="1109"/>
      <c r="N373" s="1110"/>
      <c r="O373" s="1110"/>
      <c r="P373" s="1110"/>
      <c r="Q373" s="1111"/>
      <c r="R373" s="1110"/>
      <c r="S373" s="1569"/>
      <c r="T373" s="1569"/>
      <c r="U373" s="1570"/>
      <c r="V373" s="1569"/>
      <c r="W373" s="1569"/>
      <c r="X373" s="1569"/>
      <c r="Y373" s="1570"/>
      <c r="Z373" s="1569"/>
      <c r="AA373" s="1569"/>
      <c r="AB373" s="1569"/>
      <c r="AC373" s="1570"/>
      <c r="AD373" s="1569"/>
      <c r="AE373" s="1569"/>
      <c r="AF373" s="1569"/>
      <c r="AG373" s="1570"/>
      <c r="AH373" s="1569"/>
      <c r="AI373" s="1569"/>
      <c r="AJ373" s="1569"/>
      <c r="AK373" s="1570"/>
      <c r="AL373" s="1569"/>
      <c r="AM373" s="1569"/>
      <c r="AN373" s="398"/>
      <c r="AO373" s="401"/>
      <c r="AP373" s="398"/>
      <c r="AQ373" s="398"/>
      <c r="AR373" s="398"/>
      <c r="AS373" s="401"/>
      <c r="AT373" s="398"/>
      <c r="AU373" s="398"/>
      <c r="AV373" s="398"/>
      <c r="AW373" s="401"/>
      <c r="AX373" s="398"/>
      <c r="AY373" s="398"/>
      <c r="AZ373" s="398"/>
      <c r="BA373" s="401"/>
      <c r="BB373" s="398"/>
      <c r="BC373" s="1710"/>
      <c r="BD373" s="1710"/>
      <c r="BE373" s="1710"/>
      <c r="BF373" s="1710"/>
      <c r="BG373" s="1737"/>
      <c r="BH373" s="1737"/>
      <c r="BI373" s="1737"/>
      <c r="BJ373" s="1738"/>
      <c r="BK373" s="1737"/>
      <c r="BL373" s="1737">
        <v>0.88</v>
      </c>
      <c r="BM373" s="1710"/>
      <c r="BN373" s="1710"/>
      <c r="BO373" s="1710"/>
      <c r="BP373" s="1710"/>
      <c r="BR373" s="1483"/>
      <c r="BS373" s="1483"/>
      <c r="BT373" s="1483"/>
      <c r="BU373" s="1672"/>
    </row>
    <row r="374" spans="1:73" s="304" customFormat="1" ht="11.65" customHeight="1">
      <c r="A374" s="1677" t="s">
        <v>567</v>
      </c>
      <c r="B374" s="836"/>
      <c r="C374" s="837"/>
      <c r="D374" s="837"/>
      <c r="E374" s="838"/>
      <c r="F374" s="837"/>
      <c r="G374" s="837"/>
      <c r="H374" s="837"/>
      <c r="I374" s="838"/>
      <c r="J374" s="837"/>
      <c r="K374" s="837"/>
      <c r="L374" s="837"/>
      <c r="M374" s="838"/>
      <c r="N374" s="836"/>
      <c r="O374" s="836"/>
      <c r="P374" s="836"/>
      <c r="Q374" s="1041"/>
      <c r="R374" s="836"/>
      <c r="S374" s="1294"/>
      <c r="T374" s="1294"/>
      <c r="U374" s="1557"/>
      <c r="V374" s="1294"/>
      <c r="W374" s="1294"/>
      <c r="X374" s="1294"/>
      <c r="Y374" s="1557"/>
      <c r="Z374" s="1294"/>
      <c r="AA374" s="1294"/>
      <c r="AB374" s="1294"/>
      <c r="AC374" s="1557"/>
      <c r="AD374" s="1294"/>
      <c r="AE374" s="1294"/>
      <c r="AF374" s="1294"/>
      <c r="AG374" s="1557"/>
      <c r="AH374" s="1294"/>
      <c r="AI374" s="1294"/>
      <c r="AJ374" s="1294"/>
      <c r="AK374" s="1557"/>
      <c r="AL374" s="1294"/>
      <c r="AM374" s="1294"/>
      <c r="AN374" s="398"/>
      <c r="AO374" s="401"/>
      <c r="AP374" s="398"/>
      <c r="AQ374" s="398"/>
      <c r="AR374" s="398"/>
      <c r="AS374" s="401"/>
      <c r="AT374" s="398"/>
      <c r="AU374" s="398"/>
      <c r="AV374" s="398"/>
      <c r="AW374" s="401"/>
      <c r="AX374" s="398"/>
      <c r="AY374" s="398"/>
      <c r="AZ374" s="398"/>
      <c r="BA374" s="401"/>
      <c r="BB374" s="398"/>
      <c r="BC374" s="1674"/>
      <c r="BD374" s="1674"/>
      <c r="BE374" s="1674"/>
      <c r="BF374" s="1674"/>
      <c r="BG374" s="1674"/>
      <c r="BH374" s="1674"/>
      <c r="BI374" s="1674"/>
      <c r="BJ374" s="1546"/>
      <c r="BK374" s="1674"/>
      <c r="BL374" s="1708">
        <v>0.11</v>
      </c>
      <c r="BM374" s="1674"/>
      <c r="BN374" s="1674"/>
      <c r="BO374" s="1674"/>
      <c r="BP374" s="1674"/>
      <c r="BR374" s="1483"/>
      <c r="BS374" s="1483"/>
      <c r="BT374" s="1483"/>
      <c r="BU374" s="1675"/>
    </row>
    <row r="375" spans="1:73" s="304" customFormat="1" ht="11.65" customHeight="1">
      <c r="A375" s="1548"/>
      <c r="B375" s="836"/>
      <c r="C375" s="837"/>
      <c r="D375" s="837"/>
      <c r="E375" s="838"/>
      <c r="F375" s="837"/>
      <c r="G375" s="837"/>
      <c r="H375" s="837"/>
      <c r="I375" s="838"/>
      <c r="J375" s="837"/>
      <c r="K375" s="837"/>
      <c r="L375" s="837"/>
      <c r="M375" s="838"/>
      <c r="N375" s="836"/>
      <c r="O375" s="836"/>
      <c r="P375" s="836"/>
      <c r="Q375" s="1041"/>
      <c r="R375" s="836"/>
      <c r="S375" s="1294"/>
      <c r="T375" s="1294"/>
      <c r="U375" s="1557"/>
      <c r="V375" s="1294"/>
      <c r="W375" s="1294"/>
      <c r="X375" s="1294"/>
      <c r="Y375" s="1557"/>
      <c r="Z375" s="1294"/>
      <c r="AA375" s="1294"/>
      <c r="AB375" s="1294"/>
      <c r="AC375" s="1557"/>
      <c r="AD375" s="1294"/>
      <c r="AE375" s="1294"/>
      <c r="AF375" s="1294"/>
      <c r="AG375" s="1557"/>
      <c r="AH375" s="1294"/>
      <c r="AI375" s="1294"/>
      <c r="AJ375" s="1294"/>
      <c r="AK375" s="1557"/>
      <c r="AL375" s="1294"/>
      <c r="AM375" s="1294"/>
      <c r="AN375" s="398"/>
      <c r="AO375" s="401"/>
      <c r="AP375" s="398"/>
      <c r="AQ375" s="398"/>
      <c r="AR375" s="398"/>
      <c r="AS375" s="401"/>
      <c r="AT375" s="398"/>
      <c r="AU375" s="398"/>
      <c r="AV375" s="398"/>
      <c r="AW375" s="401"/>
      <c r="AX375" s="398"/>
      <c r="AY375" s="398"/>
      <c r="AZ375" s="398"/>
      <c r="BA375" s="401"/>
      <c r="BB375" s="398"/>
      <c r="BC375" s="1674"/>
      <c r="BD375" s="1674"/>
      <c r="BE375" s="1674"/>
      <c r="BF375" s="1674"/>
      <c r="BG375" s="1674"/>
      <c r="BH375" s="1674"/>
      <c r="BI375" s="1674"/>
      <c r="BJ375" s="1546"/>
      <c r="BK375" s="1674"/>
      <c r="BL375" s="1707"/>
      <c r="BM375" s="1674"/>
      <c r="BN375" s="1674"/>
      <c r="BO375" s="1674"/>
      <c r="BP375" s="1674"/>
      <c r="BR375" s="1483"/>
      <c r="BS375" s="1483"/>
      <c r="BT375" s="1483"/>
      <c r="BU375" s="1675"/>
    </row>
    <row r="376" spans="1:73" s="304" customFormat="1" ht="12" hidden="1" outlineLevel="2">
      <c r="A376" s="1679" t="s">
        <v>62</v>
      </c>
      <c r="B376" s="1110"/>
      <c r="C376" s="1003"/>
      <c r="D376" s="1003"/>
      <c r="E376" s="1004"/>
      <c r="F376" s="1673"/>
      <c r="G376" s="1673"/>
      <c r="H376" s="1673"/>
      <c r="I376" s="1543"/>
      <c r="J376" s="1673"/>
      <c r="K376" s="1673"/>
      <c r="L376" s="1673"/>
      <c r="M376" s="1543"/>
      <c r="N376" s="1680">
        <f t="shared" ref="N376:AO376" si="2285">+N63</f>
        <v>217</v>
      </c>
      <c r="O376" s="1680">
        <f t="shared" si="2285"/>
        <v>231</v>
      </c>
      <c r="P376" s="1680">
        <f t="shared" si="2285"/>
        <v>260</v>
      </c>
      <c r="Q376" s="1681">
        <f t="shared" si="2285"/>
        <v>272</v>
      </c>
      <c r="R376" s="1680">
        <f t="shared" si="2285"/>
        <v>306</v>
      </c>
      <c r="S376" s="1680">
        <f t="shared" si="2285"/>
        <v>330</v>
      </c>
      <c r="T376" s="1680">
        <f t="shared" si="2285"/>
        <v>353</v>
      </c>
      <c r="U376" s="1681">
        <f t="shared" si="2285"/>
        <v>365</v>
      </c>
      <c r="V376" s="1680">
        <f t="shared" si="2285"/>
        <v>392</v>
      </c>
      <c r="W376" s="1680">
        <f t="shared" si="2285"/>
        <v>404</v>
      </c>
      <c r="X376" s="1680">
        <f t="shared" si="2285"/>
        <v>437</v>
      </c>
      <c r="Y376" s="1681">
        <f t="shared" si="2285"/>
        <v>466</v>
      </c>
      <c r="Z376" s="1680">
        <f t="shared" si="2285"/>
        <v>519</v>
      </c>
      <c r="AA376" s="1680">
        <f t="shared" si="2285"/>
        <v>547</v>
      </c>
      <c r="AB376" s="1680">
        <f t="shared" si="2285"/>
        <v>578</v>
      </c>
      <c r="AC376" s="1681">
        <f t="shared" si="2285"/>
        <v>623</v>
      </c>
      <c r="AD376" s="1680">
        <f t="shared" si="2285"/>
        <v>668</v>
      </c>
      <c r="AE376" s="1680">
        <f t="shared" si="2285"/>
        <v>696</v>
      </c>
      <c r="AF376" s="1680">
        <f t="shared" si="2285"/>
        <v>723</v>
      </c>
      <c r="AG376" s="1681">
        <f t="shared" si="2285"/>
        <v>762</v>
      </c>
      <c r="AH376" s="1680">
        <f t="shared" si="2285"/>
        <v>798</v>
      </c>
      <c r="AI376" s="1680">
        <f t="shared" si="2285"/>
        <v>826</v>
      </c>
      <c r="AJ376" s="1680">
        <f t="shared" si="2285"/>
        <v>860</v>
      </c>
      <c r="AK376" s="1681">
        <f t="shared" si="2285"/>
        <v>895</v>
      </c>
      <c r="AL376" s="1680">
        <f t="shared" si="2285"/>
        <v>965</v>
      </c>
      <c r="AM376" s="1680">
        <f t="shared" si="2285"/>
        <v>1008</v>
      </c>
      <c r="AN376" s="1680">
        <f t="shared" si="2285"/>
        <v>1044</v>
      </c>
      <c r="AO376" s="1573">
        <f t="shared" si="2285"/>
        <v>1103</v>
      </c>
      <c r="AP376" s="1680">
        <f t="shared" ref="AP376:AQ376" si="2286">+AP63</f>
        <v>1206</v>
      </c>
      <c r="AQ376" s="1680">
        <f t="shared" si="2286"/>
        <v>1248</v>
      </c>
      <c r="AR376" s="398"/>
      <c r="AS376" s="401"/>
      <c r="AT376" s="398"/>
      <c r="AU376" s="398"/>
      <c r="AV376" s="398"/>
      <c r="AW376" s="401"/>
      <c r="AX376" s="398"/>
      <c r="AY376" s="398"/>
      <c r="AZ376" s="398"/>
      <c r="BA376" s="401"/>
      <c r="BB376" s="1013"/>
      <c r="BC376" s="1670"/>
      <c r="BD376" s="1670"/>
      <c r="BE376" s="1670"/>
      <c r="BF376" s="1670"/>
      <c r="BG376" s="1670"/>
      <c r="BH376" s="1670"/>
      <c r="BI376" s="1670"/>
      <c r="BJ376" s="1671">
        <f>SUM(AA376:AC376)</f>
        <v>1748</v>
      </c>
      <c r="BK376" s="1670">
        <f>SUM(AD376:AG376)</f>
        <v>2849</v>
      </c>
      <c r="BL376" s="1670">
        <f>SUM(AH376:AK376)</f>
        <v>3379</v>
      </c>
      <c r="BM376" s="1670">
        <f>SUM(AL376:AO376)</f>
        <v>4120</v>
      </c>
      <c r="BN376" s="1670">
        <f>SUM(AP376:AS376)</f>
        <v>2454</v>
      </c>
      <c r="BO376" s="1670">
        <f>SUM(AT376:AW376)</f>
        <v>0</v>
      </c>
      <c r="BP376" s="1670">
        <f>SUM(AX376:BA376)</f>
        <v>0</v>
      </c>
      <c r="BR376" s="1483"/>
      <c r="BS376" s="1483"/>
      <c r="BT376" s="1483"/>
      <c r="BU376" s="1672"/>
    </row>
    <row r="377" spans="1:73" s="304" customFormat="1" ht="12" hidden="1" outlineLevel="2">
      <c r="A377" s="1677" t="s">
        <v>507</v>
      </c>
      <c r="B377" s="836"/>
      <c r="C377" s="1003"/>
      <c r="D377" s="1003"/>
      <c r="E377" s="1004"/>
      <c r="F377" s="1673"/>
      <c r="G377" s="1673"/>
      <c r="H377" s="1673"/>
      <c r="I377" s="1543"/>
      <c r="J377" s="1673"/>
      <c r="K377" s="1673"/>
      <c r="L377" s="1673"/>
      <c r="M377" s="1543"/>
      <c r="N377" s="836"/>
      <c r="O377" s="836"/>
      <c r="P377" s="836"/>
      <c r="Q377" s="1041"/>
      <c r="R377" s="836">
        <f t="shared" ref="R377:AQ377" si="2287">+(R376/N376)-1</f>
        <v>0.41013824884792616</v>
      </c>
      <c r="S377" s="1294">
        <f t="shared" si="2287"/>
        <v>0.4285714285714286</v>
      </c>
      <c r="T377" s="1294">
        <f t="shared" si="2287"/>
        <v>0.35769230769230775</v>
      </c>
      <c r="U377" s="1557">
        <f t="shared" si="2287"/>
        <v>0.34191176470588225</v>
      </c>
      <c r="V377" s="1294">
        <f t="shared" si="2287"/>
        <v>0.28104575163398682</v>
      </c>
      <c r="W377" s="1294">
        <f t="shared" si="2287"/>
        <v>0.22424242424242413</v>
      </c>
      <c r="X377" s="1294">
        <f t="shared" si="2287"/>
        <v>0.23796033994334276</v>
      </c>
      <c r="Y377" s="1557">
        <f t="shared" si="2287"/>
        <v>0.27671232876712337</v>
      </c>
      <c r="Z377" s="1294">
        <f t="shared" si="2287"/>
        <v>0.32397959183673475</v>
      </c>
      <c r="AA377" s="1294">
        <f t="shared" si="2287"/>
        <v>0.35396039603960405</v>
      </c>
      <c r="AB377" s="1294">
        <f t="shared" si="2287"/>
        <v>0.32265446224256289</v>
      </c>
      <c r="AC377" s="1557">
        <f t="shared" si="2287"/>
        <v>0.33690987124463523</v>
      </c>
      <c r="AD377" s="1294">
        <f t="shared" si="2287"/>
        <v>0.28709055876685929</v>
      </c>
      <c r="AE377" s="1294">
        <f t="shared" si="2287"/>
        <v>0.27239488117001831</v>
      </c>
      <c r="AF377" s="1294">
        <f t="shared" si="2287"/>
        <v>0.25086505190311414</v>
      </c>
      <c r="AG377" s="1557">
        <f t="shared" si="2287"/>
        <v>0.2231139646869984</v>
      </c>
      <c r="AH377" s="1294">
        <f t="shared" si="2287"/>
        <v>0.1946107784431137</v>
      </c>
      <c r="AI377" s="1294">
        <f t="shared" si="2287"/>
        <v>0.18678160919540221</v>
      </c>
      <c r="AJ377" s="1294">
        <f t="shared" si="2287"/>
        <v>0.18948824343015214</v>
      </c>
      <c r="AK377" s="1557">
        <f t="shared" si="2287"/>
        <v>0.17454068241469822</v>
      </c>
      <c r="AL377" s="1294">
        <f t="shared" si="2287"/>
        <v>0.2092731829573935</v>
      </c>
      <c r="AM377" s="1294">
        <f t="shared" si="2287"/>
        <v>0.22033898305084754</v>
      </c>
      <c r="AN377" s="1294">
        <f t="shared" si="2287"/>
        <v>0.21395348837209305</v>
      </c>
      <c r="AO377" s="1557">
        <f t="shared" si="2287"/>
        <v>0.23240223463687149</v>
      </c>
      <c r="AP377" s="1294">
        <f t="shared" si="2287"/>
        <v>0.24974093264248709</v>
      </c>
      <c r="AQ377" s="1294">
        <f t="shared" si="2287"/>
        <v>0.23809523809523814</v>
      </c>
      <c r="AR377" s="398"/>
      <c r="AS377" s="401"/>
      <c r="AT377" s="398"/>
      <c r="AU377" s="398"/>
      <c r="AV377" s="398"/>
      <c r="AW377" s="401"/>
      <c r="AX377" s="398"/>
      <c r="AY377" s="398"/>
      <c r="AZ377" s="398"/>
      <c r="BA377" s="401"/>
      <c r="BB377" s="401"/>
      <c r="BC377" s="1674"/>
      <c r="BD377" s="1674"/>
      <c r="BE377" s="1674"/>
      <c r="BF377" s="1674"/>
      <c r="BG377" s="1674"/>
      <c r="BH377" s="1674"/>
      <c r="BI377" s="1674"/>
      <c r="BJ377" s="1546"/>
      <c r="BK377" s="1674"/>
      <c r="BL377" s="1674"/>
      <c r="BM377" s="1674"/>
      <c r="BN377" s="1674"/>
      <c r="BO377" s="1674"/>
      <c r="BP377" s="1674"/>
      <c r="BR377" s="1483"/>
      <c r="BS377" s="1483"/>
      <c r="BT377" s="1483"/>
      <c r="BU377" s="1675"/>
    </row>
    <row r="378" spans="1:73" s="304" customFormat="1" ht="12" hidden="1" outlineLevel="2">
      <c r="A378" s="1677" t="s">
        <v>508</v>
      </c>
      <c r="B378" s="836"/>
      <c r="C378" s="837"/>
      <c r="D378" s="837"/>
      <c r="E378" s="838"/>
      <c r="F378" s="837"/>
      <c r="G378" s="837"/>
      <c r="H378" s="837"/>
      <c r="I378" s="838"/>
      <c r="J378" s="837"/>
      <c r="K378" s="837"/>
      <c r="L378" s="837"/>
      <c r="M378" s="838"/>
      <c r="N378" s="836"/>
      <c r="O378" s="836"/>
      <c r="P378" s="836"/>
      <c r="Q378" s="1041"/>
      <c r="R378" s="1549">
        <f t="shared" ref="R378:AQ378" si="2288">+R376-N376</f>
        <v>89</v>
      </c>
      <c r="S378" s="1550">
        <f t="shared" si="2288"/>
        <v>99</v>
      </c>
      <c r="T378" s="1550">
        <f t="shared" si="2288"/>
        <v>93</v>
      </c>
      <c r="U378" s="1551">
        <f t="shared" si="2288"/>
        <v>93</v>
      </c>
      <c r="V378" s="1550">
        <f t="shared" si="2288"/>
        <v>86</v>
      </c>
      <c r="W378" s="1550">
        <f t="shared" si="2288"/>
        <v>74</v>
      </c>
      <c r="X378" s="1550">
        <f t="shared" si="2288"/>
        <v>84</v>
      </c>
      <c r="Y378" s="1551">
        <f t="shared" si="2288"/>
        <v>101</v>
      </c>
      <c r="Z378" s="1550">
        <f t="shared" si="2288"/>
        <v>127</v>
      </c>
      <c r="AA378" s="1550">
        <f t="shared" si="2288"/>
        <v>143</v>
      </c>
      <c r="AB378" s="1550">
        <f t="shared" si="2288"/>
        <v>141</v>
      </c>
      <c r="AC378" s="1551">
        <f t="shared" si="2288"/>
        <v>157</v>
      </c>
      <c r="AD378" s="1550">
        <f t="shared" si="2288"/>
        <v>149</v>
      </c>
      <c r="AE378" s="1550">
        <f t="shared" si="2288"/>
        <v>149</v>
      </c>
      <c r="AF378" s="1550">
        <f t="shared" si="2288"/>
        <v>145</v>
      </c>
      <c r="AG378" s="1551">
        <f t="shared" si="2288"/>
        <v>139</v>
      </c>
      <c r="AH378" s="1550">
        <f t="shared" si="2288"/>
        <v>130</v>
      </c>
      <c r="AI378" s="1550">
        <f t="shared" si="2288"/>
        <v>130</v>
      </c>
      <c r="AJ378" s="1550">
        <f t="shared" si="2288"/>
        <v>137</v>
      </c>
      <c r="AK378" s="1551">
        <f t="shared" si="2288"/>
        <v>133</v>
      </c>
      <c r="AL378" s="1550">
        <f t="shared" si="2288"/>
        <v>167</v>
      </c>
      <c r="AM378" s="1550">
        <f t="shared" si="2288"/>
        <v>182</v>
      </c>
      <c r="AN378" s="1550">
        <f t="shared" si="2288"/>
        <v>184</v>
      </c>
      <c r="AO378" s="1551">
        <f t="shared" si="2288"/>
        <v>208</v>
      </c>
      <c r="AP378" s="1550">
        <f t="shared" si="2288"/>
        <v>241</v>
      </c>
      <c r="AQ378" s="1550">
        <f t="shared" si="2288"/>
        <v>240</v>
      </c>
      <c r="AR378" s="398"/>
      <c r="AS378" s="401"/>
      <c r="AT378" s="398"/>
      <c r="AU378" s="398"/>
      <c r="AV378" s="398"/>
      <c r="AW378" s="401"/>
      <c r="AX378" s="398"/>
      <c r="AY378" s="398"/>
      <c r="AZ378" s="398"/>
      <c r="BA378" s="401"/>
      <c r="BB378" s="401"/>
      <c r="BC378" s="1674"/>
      <c r="BD378" s="1674"/>
      <c r="BE378" s="1674"/>
      <c r="BF378" s="1674"/>
      <c r="BG378" s="1674"/>
      <c r="BH378" s="1674"/>
      <c r="BI378" s="1674"/>
      <c r="BJ378" s="1546"/>
      <c r="BK378" s="1674"/>
      <c r="BL378" s="1674"/>
      <c r="BM378" s="1674"/>
      <c r="BN378" s="1674"/>
      <c r="BO378" s="1674"/>
      <c r="BP378" s="1674"/>
      <c r="BR378" s="1483"/>
      <c r="BS378" s="1483"/>
      <c r="BT378" s="1483"/>
      <c r="BU378" s="1675"/>
    </row>
    <row r="379" spans="1:73" s="304" customFormat="1" ht="12" hidden="1" outlineLevel="2">
      <c r="A379" s="1677" t="s">
        <v>509</v>
      </c>
      <c r="B379" s="836"/>
      <c r="C379" s="1003"/>
      <c r="D379" s="1003"/>
      <c r="E379" s="1004"/>
      <c r="F379" s="1673"/>
      <c r="G379" s="1673"/>
      <c r="H379" s="1673"/>
      <c r="I379" s="1543"/>
      <c r="J379" s="1673"/>
      <c r="K379" s="1673"/>
      <c r="L379" s="1673"/>
      <c r="M379" s="1543"/>
      <c r="N379" s="836"/>
      <c r="O379" s="1552">
        <f t="shared" ref="O379:AQ379" si="2289">+(O376/N376)-1</f>
        <v>6.4516129032258007E-2</v>
      </c>
      <c r="P379" s="1552">
        <f t="shared" si="2289"/>
        <v>0.12554112554112562</v>
      </c>
      <c r="Q379" s="1553">
        <f t="shared" si="2289"/>
        <v>4.6153846153846212E-2</v>
      </c>
      <c r="R379" s="1552">
        <f t="shared" si="2289"/>
        <v>0.125</v>
      </c>
      <c r="S379" s="1552">
        <f t="shared" si="2289"/>
        <v>7.8431372549019551E-2</v>
      </c>
      <c r="T379" s="1552">
        <f t="shared" si="2289"/>
        <v>6.9696969696969591E-2</v>
      </c>
      <c r="U379" s="1553">
        <f t="shared" si="2289"/>
        <v>3.3994334277620331E-2</v>
      </c>
      <c r="V379" s="1552">
        <f t="shared" si="2289"/>
        <v>7.3972602739726057E-2</v>
      </c>
      <c r="W379" s="1552">
        <f t="shared" si="2289"/>
        <v>3.0612244897959107E-2</v>
      </c>
      <c r="X379" s="1552">
        <f t="shared" si="2289"/>
        <v>8.1683168316831756E-2</v>
      </c>
      <c r="Y379" s="1553">
        <f t="shared" si="2289"/>
        <v>6.6361556064073124E-2</v>
      </c>
      <c r="Z379" s="1552">
        <f t="shared" si="2289"/>
        <v>0.11373390557939911</v>
      </c>
      <c r="AA379" s="1552">
        <f t="shared" si="2289"/>
        <v>5.3949903660886367E-2</v>
      </c>
      <c r="AB379" s="1552">
        <f t="shared" si="2289"/>
        <v>5.667276051188308E-2</v>
      </c>
      <c r="AC379" s="1553">
        <f t="shared" si="2289"/>
        <v>7.7854671280276788E-2</v>
      </c>
      <c r="AD379" s="1552">
        <f t="shared" si="2289"/>
        <v>7.2231139646870002E-2</v>
      </c>
      <c r="AE379" s="1552">
        <f t="shared" si="2289"/>
        <v>4.1916167664670656E-2</v>
      </c>
      <c r="AF379" s="1552">
        <f t="shared" si="2289"/>
        <v>3.8793103448275801E-2</v>
      </c>
      <c r="AG379" s="1553">
        <f t="shared" si="2289"/>
        <v>5.3941908713692976E-2</v>
      </c>
      <c r="AH379" s="1552">
        <f t="shared" si="2289"/>
        <v>4.7244094488188892E-2</v>
      </c>
      <c r="AI379" s="1552">
        <f t="shared" si="2289"/>
        <v>3.5087719298245723E-2</v>
      </c>
      <c r="AJ379" s="1552">
        <f t="shared" si="2289"/>
        <v>4.1162227602905554E-2</v>
      </c>
      <c r="AK379" s="1553">
        <f t="shared" si="2289"/>
        <v>4.0697674418604723E-2</v>
      </c>
      <c r="AL379" s="1552">
        <f t="shared" si="2289"/>
        <v>7.8212290502793325E-2</v>
      </c>
      <c r="AM379" s="1552">
        <f t="shared" si="2289"/>
        <v>4.4559585492228049E-2</v>
      </c>
      <c r="AN379" s="1552">
        <f t="shared" si="2289"/>
        <v>3.5714285714285809E-2</v>
      </c>
      <c r="AO379" s="1553">
        <f t="shared" ref="AO379" si="2290">+(AO376/AN376)-1</f>
        <v>5.6513409961685745E-2</v>
      </c>
      <c r="AP379" s="1552">
        <f t="shared" si="2289"/>
        <v>9.3381686310063383E-2</v>
      </c>
      <c r="AQ379" s="1552">
        <f t="shared" si="2289"/>
        <v>3.4825870646766122E-2</v>
      </c>
      <c r="AR379" s="398"/>
      <c r="AS379" s="401"/>
      <c r="AT379" s="398"/>
      <c r="AU379" s="398"/>
      <c r="AV379" s="398"/>
      <c r="AW379" s="401"/>
      <c r="AX379" s="398"/>
      <c r="AY379" s="398"/>
      <c r="AZ379" s="398"/>
      <c r="BA379" s="401"/>
      <c r="BB379" s="401"/>
      <c r="BC379" s="1674"/>
      <c r="BD379" s="1674"/>
      <c r="BE379" s="1674"/>
      <c r="BF379" s="1674"/>
      <c r="BG379" s="1674"/>
      <c r="BH379" s="1674"/>
      <c r="BI379" s="1674"/>
      <c r="BJ379" s="1546"/>
      <c r="BK379" s="1674"/>
      <c r="BL379" s="1674"/>
      <c r="BM379" s="1674"/>
      <c r="BN379" s="1674"/>
      <c r="BO379" s="1674"/>
      <c r="BP379" s="1674"/>
      <c r="BR379" s="1483"/>
      <c r="BS379" s="1483"/>
      <c r="BT379" s="1483"/>
      <c r="BU379" s="1675"/>
    </row>
    <row r="380" spans="1:73" s="304" customFormat="1" ht="12" hidden="1" outlineLevel="2">
      <c r="A380" s="1677" t="s">
        <v>510</v>
      </c>
      <c r="B380" s="836"/>
      <c r="C380" s="837"/>
      <c r="D380" s="837"/>
      <c r="E380" s="838"/>
      <c r="F380" s="837"/>
      <c r="G380" s="837"/>
      <c r="H380" s="837"/>
      <c r="I380" s="838"/>
      <c r="J380" s="837"/>
      <c r="K380" s="837"/>
      <c r="L380" s="837"/>
      <c r="M380" s="838"/>
      <c r="N380" s="836"/>
      <c r="O380" s="1549">
        <f>+O376-N376</f>
        <v>14</v>
      </c>
      <c r="P380" s="1550">
        <f t="shared" ref="P380:AQ380" si="2291">+P376-O376</f>
        <v>29</v>
      </c>
      <c r="Q380" s="1551">
        <f t="shared" si="2291"/>
        <v>12</v>
      </c>
      <c r="R380" s="1550">
        <f t="shared" si="2291"/>
        <v>34</v>
      </c>
      <c r="S380" s="1550">
        <f t="shared" si="2291"/>
        <v>24</v>
      </c>
      <c r="T380" s="1550">
        <f t="shared" si="2291"/>
        <v>23</v>
      </c>
      <c r="U380" s="1551">
        <f t="shared" si="2291"/>
        <v>12</v>
      </c>
      <c r="V380" s="1550">
        <f t="shared" si="2291"/>
        <v>27</v>
      </c>
      <c r="W380" s="1550">
        <f t="shared" si="2291"/>
        <v>12</v>
      </c>
      <c r="X380" s="1550">
        <f t="shared" si="2291"/>
        <v>33</v>
      </c>
      <c r="Y380" s="1551">
        <f t="shared" si="2291"/>
        <v>29</v>
      </c>
      <c r="Z380" s="1550">
        <f t="shared" si="2291"/>
        <v>53</v>
      </c>
      <c r="AA380" s="1550">
        <f t="shared" si="2291"/>
        <v>28</v>
      </c>
      <c r="AB380" s="1550">
        <f t="shared" si="2291"/>
        <v>31</v>
      </c>
      <c r="AC380" s="1551">
        <f t="shared" si="2291"/>
        <v>45</v>
      </c>
      <c r="AD380" s="1550">
        <f t="shared" si="2291"/>
        <v>45</v>
      </c>
      <c r="AE380" s="1550">
        <f t="shared" si="2291"/>
        <v>28</v>
      </c>
      <c r="AF380" s="1550">
        <f t="shared" si="2291"/>
        <v>27</v>
      </c>
      <c r="AG380" s="1551">
        <f t="shared" si="2291"/>
        <v>39</v>
      </c>
      <c r="AH380" s="1550">
        <f t="shared" si="2291"/>
        <v>36</v>
      </c>
      <c r="AI380" s="1550">
        <f t="shared" si="2291"/>
        <v>28</v>
      </c>
      <c r="AJ380" s="1550">
        <f t="shared" si="2291"/>
        <v>34</v>
      </c>
      <c r="AK380" s="1551">
        <f t="shared" si="2291"/>
        <v>35</v>
      </c>
      <c r="AL380" s="1550">
        <f t="shared" si="2291"/>
        <v>70</v>
      </c>
      <c r="AM380" s="1550">
        <f t="shared" si="2291"/>
        <v>43</v>
      </c>
      <c r="AN380" s="1550">
        <f t="shared" si="2291"/>
        <v>36</v>
      </c>
      <c r="AO380" s="1551">
        <f t="shared" si="2291"/>
        <v>59</v>
      </c>
      <c r="AP380" s="1550">
        <f t="shared" si="2291"/>
        <v>103</v>
      </c>
      <c r="AQ380" s="1550">
        <f t="shared" si="2291"/>
        <v>42</v>
      </c>
      <c r="AR380" s="398"/>
      <c r="AS380" s="401"/>
      <c r="AT380" s="398"/>
      <c r="AU380" s="398"/>
      <c r="AV380" s="398"/>
      <c r="AW380" s="401"/>
      <c r="AX380" s="398"/>
      <c r="AY380" s="398"/>
      <c r="AZ380" s="398"/>
      <c r="BA380" s="401"/>
      <c r="BB380" s="401"/>
      <c r="BC380" s="1674"/>
      <c r="BD380" s="1674"/>
      <c r="BE380" s="1674"/>
      <c r="BF380" s="1674"/>
      <c r="BG380" s="1674"/>
      <c r="BH380" s="1674"/>
      <c r="BI380" s="1674"/>
      <c r="BJ380" s="1546"/>
      <c r="BK380" s="1674"/>
      <c r="BL380" s="1674"/>
      <c r="BM380" s="1674"/>
      <c r="BN380" s="1674"/>
      <c r="BO380" s="1674"/>
      <c r="BP380" s="1674"/>
      <c r="BR380" s="1483"/>
      <c r="BS380" s="1483"/>
      <c r="BT380" s="1483"/>
      <c r="BU380" s="1675"/>
    </row>
    <row r="381" spans="1:73" s="304" customFormat="1" ht="12" hidden="1" outlineLevel="2">
      <c r="A381" s="1682"/>
      <c r="B381" s="836"/>
      <c r="C381" s="837"/>
      <c r="D381" s="837"/>
      <c r="E381" s="838"/>
      <c r="F381" s="837"/>
      <c r="G381" s="837"/>
      <c r="H381" s="837"/>
      <c r="I381" s="838"/>
      <c r="J381" s="837"/>
      <c r="K381" s="837"/>
      <c r="L381" s="837"/>
      <c r="M381" s="838"/>
      <c r="N381" s="836"/>
      <c r="O381" s="836"/>
      <c r="P381" s="836"/>
      <c r="Q381" s="1041"/>
      <c r="R381" s="836"/>
      <c r="S381" s="836"/>
      <c r="T381" s="836"/>
      <c r="U381" s="1041"/>
      <c r="V381" s="836"/>
      <c r="W381" s="836"/>
      <c r="X381" s="836"/>
      <c r="Y381" s="1041"/>
      <c r="Z381" s="836"/>
      <c r="AA381" s="836"/>
      <c r="AB381" s="836"/>
      <c r="AC381" s="1041"/>
      <c r="AD381" s="836"/>
      <c r="AE381" s="836"/>
      <c r="AF381" s="836"/>
      <c r="AG381" s="1041"/>
      <c r="AH381" s="398"/>
      <c r="AI381" s="398"/>
      <c r="AJ381" s="398"/>
      <c r="AK381" s="401"/>
      <c r="AL381" s="398"/>
      <c r="AM381" s="398"/>
      <c r="AN381" s="398"/>
      <c r="AO381" s="401"/>
      <c r="AP381" s="398"/>
      <c r="AQ381" s="398"/>
      <c r="AR381" s="398"/>
      <c r="AS381" s="401"/>
      <c r="AT381" s="398"/>
      <c r="AU381" s="398"/>
      <c r="AV381" s="398"/>
      <c r="AW381" s="401"/>
      <c r="AX381" s="398"/>
      <c r="AY381" s="398"/>
      <c r="AZ381" s="398"/>
      <c r="BA381" s="401"/>
      <c r="BB381" s="401"/>
      <c r="BC381" s="1674"/>
      <c r="BD381" s="1674"/>
      <c r="BE381" s="1674"/>
      <c r="BF381" s="1674"/>
      <c r="BG381" s="1674"/>
      <c r="BH381" s="1674"/>
      <c r="BI381" s="1674"/>
      <c r="BJ381" s="1546"/>
      <c r="BK381" s="1674"/>
      <c r="BL381" s="1674"/>
      <c r="BM381" s="1674"/>
      <c r="BN381" s="1674"/>
      <c r="BO381" s="1674"/>
      <c r="BP381" s="1674"/>
      <c r="BR381" s="1483"/>
      <c r="BS381" s="1483"/>
      <c r="BT381" s="1483"/>
      <c r="BU381" s="1675"/>
    </row>
    <row r="382" spans="1:73" s="304" customFormat="1" ht="12" hidden="1" outlineLevel="2">
      <c r="A382" s="1679" t="s">
        <v>63</v>
      </c>
      <c r="B382" s="1110"/>
      <c r="C382" s="1003"/>
      <c r="D382" s="1003"/>
      <c r="E382" s="1004"/>
      <c r="F382" s="1673"/>
      <c r="G382" s="1673"/>
      <c r="H382" s="1673"/>
      <c r="I382" s="1543"/>
      <c r="J382" s="1673"/>
      <c r="K382" s="1673"/>
      <c r="L382" s="1673"/>
      <c r="M382" s="1543"/>
      <c r="N382" s="1680">
        <f t="shared" ref="N382:AN382" si="2292">+N86</f>
        <v>154</v>
      </c>
      <c r="O382" s="1680">
        <f t="shared" si="2292"/>
        <v>163</v>
      </c>
      <c r="P382" s="1680">
        <f t="shared" si="2292"/>
        <v>179</v>
      </c>
      <c r="Q382" s="1681">
        <f t="shared" si="2292"/>
        <v>187</v>
      </c>
      <c r="R382" s="1680">
        <f t="shared" si="2292"/>
        <v>195</v>
      </c>
      <c r="S382" s="1680">
        <f t="shared" si="2292"/>
        <v>200</v>
      </c>
      <c r="T382" s="1680">
        <f t="shared" si="2292"/>
        <v>207</v>
      </c>
      <c r="U382" s="1681">
        <f t="shared" si="2292"/>
        <v>226</v>
      </c>
      <c r="V382" s="1680">
        <f t="shared" si="2292"/>
        <v>229</v>
      </c>
      <c r="W382" s="1680">
        <f t="shared" si="2292"/>
        <v>240</v>
      </c>
      <c r="X382" s="1680">
        <f t="shared" si="2292"/>
        <v>278</v>
      </c>
      <c r="Y382" s="1681">
        <f t="shared" si="2292"/>
        <v>304</v>
      </c>
      <c r="Z382" s="1680">
        <f t="shared" si="2292"/>
        <v>326</v>
      </c>
      <c r="AA382" s="1680">
        <f t="shared" si="2292"/>
        <v>574</v>
      </c>
      <c r="AB382" s="1680">
        <f t="shared" si="2292"/>
        <v>614</v>
      </c>
      <c r="AC382" s="1681">
        <f t="shared" si="2292"/>
        <v>657</v>
      </c>
      <c r="AD382" s="1680">
        <f t="shared" si="2292"/>
        <v>681</v>
      </c>
      <c r="AE382" s="1680">
        <f t="shared" si="2292"/>
        <v>695</v>
      </c>
      <c r="AF382" s="1680">
        <f t="shared" si="2292"/>
        <v>745</v>
      </c>
      <c r="AG382" s="1681">
        <f t="shared" si="2292"/>
        <v>789</v>
      </c>
      <c r="AH382" s="1680">
        <f t="shared" si="2292"/>
        <v>820</v>
      </c>
      <c r="AI382" s="1680">
        <f t="shared" si="2292"/>
        <v>862</v>
      </c>
      <c r="AJ382" s="1680">
        <f t="shared" si="2292"/>
        <v>894</v>
      </c>
      <c r="AK382" s="1681">
        <f t="shared" si="2292"/>
        <v>937</v>
      </c>
      <c r="AL382" s="1680">
        <f t="shared" si="2292"/>
        <v>978</v>
      </c>
      <c r="AM382" s="1680">
        <f t="shared" si="2292"/>
        <v>1030</v>
      </c>
      <c r="AN382" s="1680">
        <f t="shared" si="2292"/>
        <v>1059</v>
      </c>
      <c r="AO382" s="1680">
        <f>+AO86</f>
        <v>1115</v>
      </c>
      <c r="AP382" s="1680">
        <f t="shared" ref="AP382:AQ382" si="2293">+AP86</f>
        <v>1145</v>
      </c>
      <c r="AQ382" s="1680">
        <f t="shared" si="2293"/>
        <v>1219</v>
      </c>
      <c r="AR382" s="398"/>
      <c r="AS382" s="401"/>
      <c r="AT382" s="398"/>
      <c r="AU382" s="398"/>
      <c r="AV382" s="398"/>
      <c r="AW382" s="401"/>
      <c r="AX382" s="398"/>
      <c r="AY382" s="398"/>
      <c r="AZ382" s="398"/>
      <c r="BA382" s="401"/>
      <c r="BB382" s="1013"/>
      <c r="BC382" s="1670"/>
      <c r="BD382" s="1670"/>
      <c r="BE382" s="1670"/>
      <c r="BF382" s="1670"/>
      <c r="BG382" s="1670"/>
      <c r="BH382" s="1670"/>
      <c r="BI382" s="1670"/>
      <c r="BJ382" s="1671">
        <f>SUM(AA382:AC382)</f>
        <v>1845</v>
      </c>
      <c r="BK382" s="1670">
        <f>SUM(AD382:AG382)</f>
        <v>2910</v>
      </c>
      <c r="BL382" s="1670">
        <f>SUM(AH382:AK382)</f>
        <v>3513</v>
      </c>
      <c r="BM382" s="1670">
        <f>SUM(AL382:AO382)</f>
        <v>4182</v>
      </c>
      <c r="BN382" s="1670">
        <f>SUM(AP382:AS382)</f>
        <v>2364</v>
      </c>
      <c r="BO382" s="1670">
        <f>SUM(AT382:AW382)</f>
        <v>0</v>
      </c>
      <c r="BP382" s="1670">
        <f>SUM(AX382:BA382)</f>
        <v>0</v>
      </c>
      <c r="BR382" s="1483"/>
      <c r="BS382" s="1483"/>
      <c r="BT382" s="1483"/>
      <c r="BU382" s="1672"/>
    </row>
    <row r="383" spans="1:73" s="304" customFormat="1" ht="12" hidden="1" outlineLevel="2">
      <c r="A383" s="1677" t="s">
        <v>507</v>
      </c>
      <c r="B383" s="836"/>
      <c r="C383" s="1003"/>
      <c r="D383" s="1003"/>
      <c r="E383" s="1004"/>
      <c r="F383" s="1673"/>
      <c r="G383" s="1673"/>
      <c r="H383" s="1673"/>
      <c r="I383" s="1543"/>
      <c r="J383" s="1673"/>
      <c r="K383" s="1673"/>
      <c r="L383" s="1673"/>
      <c r="M383" s="1543"/>
      <c r="N383" s="836"/>
      <c r="O383" s="836"/>
      <c r="P383" s="836"/>
      <c r="Q383" s="1041"/>
      <c r="R383" s="836">
        <f t="shared" ref="R383:AQ383" si="2294">+(R382/N382)-1</f>
        <v>0.26623376623376616</v>
      </c>
      <c r="S383" s="1294">
        <f t="shared" si="2294"/>
        <v>0.22699386503067487</v>
      </c>
      <c r="T383" s="1294">
        <f t="shared" si="2294"/>
        <v>0.15642458100558665</v>
      </c>
      <c r="U383" s="1557">
        <f t="shared" si="2294"/>
        <v>0.20855614973262027</v>
      </c>
      <c r="V383" s="1294">
        <f t="shared" si="2294"/>
        <v>0.17435897435897441</v>
      </c>
      <c r="W383" s="1294">
        <f t="shared" si="2294"/>
        <v>0.19999999999999996</v>
      </c>
      <c r="X383" s="1294">
        <f t="shared" si="2294"/>
        <v>0.34299516908212557</v>
      </c>
      <c r="Y383" s="1557">
        <f t="shared" si="2294"/>
        <v>0.34513274336283195</v>
      </c>
      <c r="Z383" s="1294">
        <f t="shared" si="2294"/>
        <v>0.42358078602620086</v>
      </c>
      <c r="AA383" s="1294">
        <f t="shared" si="2294"/>
        <v>1.3916666666666666</v>
      </c>
      <c r="AB383" s="1294">
        <f t="shared" si="2294"/>
        <v>1.2086330935251799</v>
      </c>
      <c r="AC383" s="1557">
        <f t="shared" si="2294"/>
        <v>1.1611842105263159</v>
      </c>
      <c r="AD383" s="1294">
        <f t="shared" si="2294"/>
        <v>1.0889570552147241</v>
      </c>
      <c r="AE383" s="1294">
        <f t="shared" si="2294"/>
        <v>0.21080139372822293</v>
      </c>
      <c r="AF383" s="1294">
        <f t="shared" si="2294"/>
        <v>0.21335504885993495</v>
      </c>
      <c r="AG383" s="1557">
        <f t="shared" si="2294"/>
        <v>0.20091324200913241</v>
      </c>
      <c r="AH383" s="1294">
        <f t="shared" si="2294"/>
        <v>0.20411160058737154</v>
      </c>
      <c r="AI383" s="1294">
        <f t="shared" si="2294"/>
        <v>0.24028776978417277</v>
      </c>
      <c r="AJ383" s="1294">
        <f t="shared" si="2294"/>
        <v>0.19999999999999996</v>
      </c>
      <c r="AK383" s="1557">
        <f t="shared" si="2294"/>
        <v>0.18757921419518375</v>
      </c>
      <c r="AL383" s="1294">
        <f t="shared" si="2294"/>
        <v>0.19268292682926824</v>
      </c>
      <c r="AM383" s="1294">
        <f t="shared" si="2294"/>
        <v>0.19489559164733183</v>
      </c>
      <c r="AN383" s="1294">
        <f t="shared" si="2294"/>
        <v>0.18456375838926165</v>
      </c>
      <c r="AO383" s="1557">
        <f t="shared" si="2294"/>
        <v>0.18996798292422623</v>
      </c>
      <c r="AP383" s="1294">
        <f t="shared" si="2294"/>
        <v>0.17075664621676889</v>
      </c>
      <c r="AQ383" s="1294">
        <f t="shared" si="2294"/>
        <v>0.18349514563106806</v>
      </c>
      <c r="AR383" s="398"/>
      <c r="AS383" s="401"/>
      <c r="AT383" s="398"/>
      <c r="AU383" s="398"/>
      <c r="AV383" s="398"/>
      <c r="AW383" s="401"/>
      <c r="AX383" s="398"/>
      <c r="AY383" s="398"/>
      <c r="AZ383" s="398"/>
      <c r="BA383" s="401"/>
      <c r="BB383" s="401"/>
      <c r="BC383" s="1674"/>
      <c r="BD383" s="1674"/>
      <c r="BE383" s="1674"/>
      <c r="BF383" s="1674"/>
      <c r="BG383" s="1674"/>
      <c r="BH383" s="1674"/>
      <c r="BI383" s="1674"/>
      <c r="BJ383" s="1546"/>
      <c r="BK383" s="1674"/>
      <c r="BL383" s="1674"/>
      <c r="BM383" s="1674"/>
      <c r="BN383" s="1674"/>
      <c r="BO383" s="1674"/>
      <c r="BP383" s="1674"/>
      <c r="BR383" s="1483"/>
      <c r="BS383" s="1483"/>
      <c r="BT383" s="1483"/>
      <c r="BU383" s="1675"/>
    </row>
    <row r="384" spans="1:73" s="304" customFormat="1" ht="12" hidden="1" outlineLevel="2">
      <c r="A384" s="1677" t="s">
        <v>508</v>
      </c>
      <c r="B384" s="836"/>
      <c r="C384" s="837"/>
      <c r="D384" s="837"/>
      <c r="E384" s="838"/>
      <c r="F384" s="837"/>
      <c r="G384" s="837"/>
      <c r="H384" s="837"/>
      <c r="I384" s="838"/>
      <c r="J384" s="837"/>
      <c r="K384" s="837"/>
      <c r="L384" s="837"/>
      <c r="M384" s="838"/>
      <c r="N384" s="836"/>
      <c r="O384" s="836"/>
      <c r="P384" s="836"/>
      <c r="Q384" s="1041"/>
      <c r="R384" s="1549">
        <f t="shared" ref="R384:AQ384" si="2295">+R382-N382</f>
        <v>41</v>
      </c>
      <c r="S384" s="1550">
        <f t="shared" si="2295"/>
        <v>37</v>
      </c>
      <c r="T384" s="1550">
        <f t="shared" si="2295"/>
        <v>28</v>
      </c>
      <c r="U384" s="1551">
        <f t="shared" si="2295"/>
        <v>39</v>
      </c>
      <c r="V384" s="1550">
        <f t="shared" si="2295"/>
        <v>34</v>
      </c>
      <c r="W384" s="1550">
        <f t="shared" si="2295"/>
        <v>40</v>
      </c>
      <c r="X384" s="1550">
        <f t="shared" si="2295"/>
        <v>71</v>
      </c>
      <c r="Y384" s="1551">
        <f t="shared" si="2295"/>
        <v>78</v>
      </c>
      <c r="Z384" s="1550">
        <f t="shared" si="2295"/>
        <v>97</v>
      </c>
      <c r="AA384" s="1550">
        <f t="shared" si="2295"/>
        <v>334</v>
      </c>
      <c r="AB384" s="1550">
        <f t="shared" si="2295"/>
        <v>336</v>
      </c>
      <c r="AC384" s="1551">
        <f t="shared" si="2295"/>
        <v>353</v>
      </c>
      <c r="AD384" s="1550">
        <f t="shared" si="2295"/>
        <v>355</v>
      </c>
      <c r="AE384" s="1550">
        <f t="shared" si="2295"/>
        <v>121</v>
      </c>
      <c r="AF384" s="1550">
        <f t="shared" si="2295"/>
        <v>131</v>
      </c>
      <c r="AG384" s="1551">
        <f t="shared" si="2295"/>
        <v>132</v>
      </c>
      <c r="AH384" s="1550">
        <f t="shared" si="2295"/>
        <v>139</v>
      </c>
      <c r="AI384" s="1550">
        <f t="shared" si="2295"/>
        <v>167</v>
      </c>
      <c r="AJ384" s="1550">
        <f t="shared" si="2295"/>
        <v>149</v>
      </c>
      <c r="AK384" s="1551">
        <f t="shared" si="2295"/>
        <v>148</v>
      </c>
      <c r="AL384" s="1550">
        <f t="shared" si="2295"/>
        <v>158</v>
      </c>
      <c r="AM384" s="1550">
        <f t="shared" si="2295"/>
        <v>168</v>
      </c>
      <c r="AN384" s="1550">
        <f t="shared" si="2295"/>
        <v>165</v>
      </c>
      <c r="AO384" s="1551">
        <f t="shared" si="2295"/>
        <v>178</v>
      </c>
      <c r="AP384" s="1550">
        <f t="shared" si="2295"/>
        <v>167</v>
      </c>
      <c r="AQ384" s="1550">
        <f t="shared" si="2295"/>
        <v>189</v>
      </c>
      <c r="AR384" s="398"/>
      <c r="AS384" s="401"/>
      <c r="AT384" s="398"/>
      <c r="AU384" s="398"/>
      <c r="AV384" s="398"/>
      <c r="AW384" s="401"/>
      <c r="AX384" s="398"/>
      <c r="AY384" s="398"/>
      <c r="AZ384" s="398"/>
      <c r="BA384" s="401"/>
      <c r="BB384" s="401"/>
      <c r="BC384" s="1683"/>
      <c r="BD384" s="1683"/>
      <c r="BE384" s="1683"/>
      <c r="BF384" s="1683"/>
      <c r="BG384" s="1683"/>
      <c r="BH384" s="1683"/>
      <c r="BI384" s="1683"/>
      <c r="BJ384" s="1546"/>
      <c r="BK384" s="1683">
        <f>BK382-BJ382</f>
        <v>1065</v>
      </c>
      <c r="BL384" s="1683">
        <f>BL382-BK382</f>
        <v>603</v>
      </c>
      <c r="BM384" s="1683">
        <f>BM382-BL382</f>
        <v>669</v>
      </c>
      <c r="BN384" s="1674"/>
      <c r="BO384" s="1674"/>
      <c r="BP384" s="1674"/>
      <c r="BR384" s="1483"/>
      <c r="BS384" s="1483"/>
      <c r="BT384" s="1483"/>
      <c r="BU384" s="1675"/>
    </row>
    <row r="385" spans="1:73" s="304" customFormat="1" ht="12" hidden="1" outlineLevel="2">
      <c r="A385" s="1677" t="s">
        <v>509</v>
      </c>
      <c r="B385" s="836"/>
      <c r="C385" s="1003"/>
      <c r="D385" s="1003"/>
      <c r="E385" s="1004"/>
      <c r="F385" s="1673"/>
      <c r="G385" s="1673"/>
      <c r="H385" s="1673"/>
      <c r="I385" s="1543"/>
      <c r="J385" s="1673"/>
      <c r="K385" s="1673"/>
      <c r="L385" s="1673"/>
      <c r="M385" s="1543"/>
      <c r="N385" s="836"/>
      <c r="O385" s="1552">
        <f t="shared" ref="O385:AQ385" si="2296">+(O382/N382)-1</f>
        <v>5.8441558441558517E-2</v>
      </c>
      <c r="P385" s="1552">
        <f t="shared" si="2296"/>
        <v>9.8159509202454087E-2</v>
      </c>
      <c r="Q385" s="1553">
        <f t="shared" si="2296"/>
        <v>4.4692737430167551E-2</v>
      </c>
      <c r="R385" s="1552">
        <f t="shared" si="2296"/>
        <v>4.2780748663101553E-2</v>
      </c>
      <c r="S385" s="1552">
        <f t="shared" si="2296"/>
        <v>2.564102564102555E-2</v>
      </c>
      <c r="T385" s="1552">
        <f t="shared" si="2296"/>
        <v>3.499999999999992E-2</v>
      </c>
      <c r="U385" s="1553">
        <f t="shared" si="2296"/>
        <v>9.1787439613526534E-2</v>
      </c>
      <c r="V385" s="1552">
        <f t="shared" si="2296"/>
        <v>1.327433628318575E-2</v>
      </c>
      <c r="W385" s="1552">
        <f t="shared" si="2296"/>
        <v>4.8034934497816595E-2</v>
      </c>
      <c r="X385" s="1552">
        <f t="shared" si="2296"/>
        <v>0.15833333333333344</v>
      </c>
      <c r="Y385" s="1553">
        <f t="shared" si="2296"/>
        <v>9.3525179856115193E-2</v>
      </c>
      <c r="Z385" s="1552">
        <f t="shared" si="2296"/>
        <v>7.2368421052631637E-2</v>
      </c>
      <c r="AA385" s="1552">
        <f t="shared" si="2296"/>
        <v>0.76073619631901845</v>
      </c>
      <c r="AB385" s="1552">
        <f t="shared" si="2296"/>
        <v>6.9686411149825878E-2</v>
      </c>
      <c r="AC385" s="1553">
        <f t="shared" si="2296"/>
        <v>7.0032573289902311E-2</v>
      </c>
      <c r="AD385" s="1552">
        <f t="shared" si="2296"/>
        <v>3.6529680365296802E-2</v>
      </c>
      <c r="AE385" s="1552">
        <f t="shared" si="2296"/>
        <v>2.05580029368575E-2</v>
      </c>
      <c r="AF385" s="1552">
        <f t="shared" si="2296"/>
        <v>7.1942446043165464E-2</v>
      </c>
      <c r="AG385" s="1553">
        <f t="shared" si="2296"/>
        <v>5.9060402684563806E-2</v>
      </c>
      <c r="AH385" s="1552">
        <f t="shared" si="2296"/>
        <v>3.9290240811153287E-2</v>
      </c>
      <c r="AI385" s="1552">
        <f t="shared" si="2296"/>
        <v>5.1219512195121997E-2</v>
      </c>
      <c r="AJ385" s="1552">
        <f t="shared" si="2296"/>
        <v>3.7122969837587005E-2</v>
      </c>
      <c r="AK385" s="1553">
        <f t="shared" si="2296"/>
        <v>4.8098434004474333E-2</v>
      </c>
      <c r="AL385" s="1552">
        <f t="shared" si="2296"/>
        <v>4.3756670224119443E-2</v>
      </c>
      <c r="AM385" s="1552">
        <f t="shared" si="2296"/>
        <v>5.3169734151329306E-2</v>
      </c>
      <c r="AN385" s="1552">
        <f t="shared" si="2296"/>
        <v>2.8155339805825186E-2</v>
      </c>
      <c r="AO385" s="1553">
        <f t="shared" ref="AO385" si="2297">+(AO382/AN382)-1</f>
        <v>5.2880075542965033E-2</v>
      </c>
      <c r="AP385" s="1552">
        <f t="shared" si="2296"/>
        <v>2.6905829596412634E-2</v>
      </c>
      <c r="AQ385" s="1552">
        <f t="shared" si="2296"/>
        <v>6.4628820960698663E-2</v>
      </c>
      <c r="AR385" s="398"/>
      <c r="AS385" s="401"/>
      <c r="AT385" s="398"/>
      <c r="AU385" s="398"/>
      <c r="AV385" s="398"/>
      <c r="AW385" s="401"/>
      <c r="AX385" s="398"/>
      <c r="AY385" s="398"/>
      <c r="AZ385" s="398"/>
      <c r="BA385" s="401"/>
      <c r="BB385" s="401"/>
      <c r="BC385" s="1674"/>
      <c r="BD385" s="1674"/>
      <c r="BE385" s="1674"/>
      <c r="BF385" s="1674"/>
      <c r="BG385" s="1674"/>
      <c r="BH385" s="1674"/>
      <c r="BI385" s="1674"/>
      <c r="BJ385" s="1546"/>
      <c r="BK385" s="1674"/>
      <c r="BL385" s="1674"/>
      <c r="BM385" s="1674"/>
      <c r="BN385" s="1674"/>
      <c r="BO385" s="1674"/>
      <c r="BP385" s="1674"/>
      <c r="BR385" s="1483"/>
      <c r="BS385" s="1483"/>
      <c r="BT385" s="1483"/>
      <c r="BU385" s="1675"/>
    </row>
    <row r="386" spans="1:73" s="304" customFormat="1" ht="12" hidden="1" outlineLevel="2">
      <c r="A386" s="1677" t="s">
        <v>510</v>
      </c>
      <c r="B386" s="836"/>
      <c r="C386" s="837"/>
      <c r="D386" s="837"/>
      <c r="E386" s="838"/>
      <c r="F386" s="837"/>
      <c r="G386" s="837"/>
      <c r="H386" s="837"/>
      <c r="I386" s="838"/>
      <c r="J386" s="837"/>
      <c r="K386" s="837"/>
      <c r="L386" s="837"/>
      <c r="M386" s="838"/>
      <c r="N386" s="836"/>
      <c r="O386" s="1549">
        <f>+O382-N382</f>
        <v>9</v>
      </c>
      <c r="P386" s="1550">
        <f t="shared" ref="P386:AQ386" si="2298">+P382-O382</f>
        <v>16</v>
      </c>
      <c r="Q386" s="1551">
        <f t="shared" si="2298"/>
        <v>8</v>
      </c>
      <c r="R386" s="1550">
        <f t="shared" si="2298"/>
        <v>8</v>
      </c>
      <c r="S386" s="1550">
        <f t="shared" si="2298"/>
        <v>5</v>
      </c>
      <c r="T386" s="1550">
        <f t="shared" si="2298"/>
        <v>7</v>
      </c>
      <c r="U386" s="1551">
        <f t="shared" si="2298"/>
        <v>19</v>
      </c>
      <c r="V386" s="1550">
        <f t="shared" si="2298"/>
        <v>3</v>
      </c>
      <c r="W386" s="1550">
        <f t="shared" si="2298"/>
        <v>11</v>
      </c>
      <c r="X386" s="1550">
        <f t="shared" si="2298"/>
        <v>38</v>
      </c>
      <c r="Y386" s="1551">
        <f t="shared" si="2298"/>
        <v>26</v>
      </c>
      <c r="Z386" s="1550">
        <f t="shared" si="2298"/>
        <v>22</v>
      </c>
      <c r="AA386" s="1550">
        <f t="shared" si="2298"/>
        <v>248</v>
      </c>
      <c r="AB386" s="1550">
        <f t="shared" si="2298"/>
        <v>40</v>
      </c>
      <c r="AC386" s="1551">
        <f t="shared" si="2298"/>
        <v>43</v>
      </c>
      <c r="AD386" s="1550">
        <f t="shared" si="2298"/>
        <v>24</v>
      </c>
      <c r="AE386" s="1550">
        <f t="shared" si="2298"/>
        <v>14</v>
      </c>
      <c r="AF386" s="1550">
        <f t="shared" si="2298"/>
        <v>50</v>
      </c>
      <c r="AG386" s="1551">
        <f t="shared" si="2298"/>
        <v>44</v>
      </c>
      <c r="AH386" s="1550">
        <f t="shared" si="2298"/>
        <v>31</v>
      </c>
      <c r="AI386" s="1550">
        <f t="shared" si="2298"/>
        <v>42</v>
      </c>
      <c r="AJ386" s="1550">
        <f t="shared" si="2298"/>
        <v>32</v>
      </c>
      <c r="AK386" s="1551">
        <f t="shared" si="2298"/>
        <v>43</v>
      </c>
      <c r="AL386" s="1550">
        <f t="shared" si="2298"/>
        <v>41</v>
      </c>
      <c r="AM386" s="1550">
        <f t="shared" si="2298"/>
        <v>52</v>
      </c>
      <c r="AN386" s="1550">
        <f t="shared" si="2298"/>
        <v>29</v>
      </c>
      <c r="AO386" s="1551">
        <f t="shared" si="2298"/>
        <v>56</v>
      </c>
      <c r="AP386" s="1550">
        <f t="shared" si="2298"/>
        <v>30</v>
      </c>
      <c r="AQ386" s="1550">
        <f t="shared" si="2298"/>
        <v>74</v>
      </c>
      <c r="AR386" s="398"/>
      <c r="AS386" s="401"/>
      <c r="AT386" s="398"/>
      <c r="AU386" s="398"/>
      <c r="AV386" s="398"/>
      <c r="AW386" s="401"/>
      <c r="AX386" s="398"/>
      <c r="AY386" s="398"/>
      <c r="AZ386" s="398"/>
      <c r="BA386" s="401"/>
      <c r="BB386" s="401"/>
      <c r="BC386" s="1674"/>
      <c r="BD386" s="1674"/>
      <c r="BE386" s="1674"/>
      <c r="BF386" s="1674"/>
      <c r="BG386" s="1674"/>
      <c r="BH386" s="1674"/>
      <c r="BI386" s="1674"/>
      <c r="BJ386" s="1546"/>
      <c r="BK386" s="1674"/>
      <c r="BL386" s="1674"/>
      <c r="BM386" s="1674"/>
      <c r="BN386" s="1674"/>
      <c r="BO386" s="1674"/>
      <c r="BP386" s="1674"/>
      <c r="BR386" s="1483"/>
      <c r="BS386" s="1483"/>
      <c r="BT386" s="1483"/>
      <c r="BU386" s="1675"/>
    </row>
    <row r="387" spans="1:73" s="304" customFormat="1" ht="12" hidden="1" outlineLevel="2">
      <c r="A387" s="1548"/>
      <c r="B387" s="836"/>
      <c r="C387" s="837"/>
      <c r="D387" s="837"/>
      <c r="E387" s="838"/>
      <c r="F387" s="837"/>
      <c r="G387" s="837"/>
      <c r="H387" s="837"/>
      <c r="I387" s="838"/>
      <c r="J387" s="837"/>
      <c r="K387" s="837"/>
      <c r="L387" s="837"/>
      <c r="M387" s="838"/>
      <c r="N387" s="836"/>
      <c r="O387" s="836"/>
      <c r="P387" s="836"/>
      <c r="Q387" s="1041"/>
      <c r="R387" s="836"/>
      <c r="S387" s="1294"/>
      <c r="T387" s="1294"/>
      <c r="U387" s="1557"/>
      <c r="V387" s="1294"/>
      <c r="W387" s="1294"/>
      <c r="X387" s="1294"/>
      <c r="Y387" s="1557"/>
      <c r="Z387" s="1294"/>
      <c r="AA387" s="1294"/>
      <c r="AB387" s="1294"/>
      <c r="AC387" s="1557"/>
      <c r="AD387" s="1294"/>
      <c r="AE387" s="1294"/>
      <c r="AF387" s="1294"/>
      <c r="AG387" s="1557"/>
      <c r="AH387" s="1294"/>
      <c r="AI387" s="1294"/>
      <c r="AJ387" s="1294"/>
      <c r="AK387" s="1557"/>
      <c r="AL387" s="1294"/>
      <c r="AM387" s="1294"/>
      <c r="AN387" s="398"/>
      <c r="AO387" s="401"/>
      <c r="AP387" s="1294"/>
      <c r="AQ387" s="1294"/>
      <c r="AR387" s="398"/>
      <c r="AS387" s="401"/>
      <c r="AT387" s="398"/>
      <c r="AU387" s="398"/>
      <c r="AV387" s="398"/>
      <c r="AW387" s="401"/>
      <c r="AX387" s="398"/>
      <c r="AY387" s="398"/>
      <c r="AZ387" s="398"/>
      <c r="BA387" s="398"/>
      <c r="BB387" s="398"/>
      <c r="BC387" s="1674"/>
      <c r="BD387" s="1674"/>
      <c r="BE387" s="1674"/>
      <c r="BF387" s="1674"/>
      <c r="BG387" s="1674"/>
      <c r="BH387" s="1674"/>
      <c r="BI387" s="1674"/>
      <c r="BJ387" s="1546"/>
      <c r="BK387" s="1674"/>
      <c r="BL387" s="1674"/>
      <c r="BM387" s="1674"/>
      <c r="BN387" s="1674"/>
      <c r="BO387" s="1674"/>
      <c r="BP387" s="1674"/>
      <c r="BR387" s="1483"/>
      <c r="BS387" s="1483"/>
      <c r="BT387" s="1483"/>
      <c r="BU387" s="1675"/>
    </row>
    <row r="388" spans="1:73" s="1014" customFormat="1" ht="12" hidden="1" customHeight="1" outlineLevel="2">
      <c r="A388" s="1691" t="s">
        <v>407</v>
      </c>
      <c r="B388" s="1008"/>
      <c r="C388" s="1008"/>
      <c r="D388" s="1008"/>
      <c r="E388" s="1009"/>
      <c r="F388" s="1008"/>
      <c r="G388" s="1008"/>
      <c r="H388" s="1008"/>
      <c r="I388" s="1009"/>
      <c r="J388" s="1010"/>
      <c r="K388" s="1008"/>
      <c r="L388" s="1010"/>
      <c r="M388" s="1009"/>
      <c r="N388" s="1008"/>
      <c r="O388" s="1008"/>
      <c r="P388" s="1008"/>
      <c r="Q388" s="1009"/>
      <c r="R388" s="984"/>
      <c r="S388" s="984"/>
      <c r="T388" s="984"/>
      <c r="U388" s="985"/>
      <c r="V388" s="984"/>
      <c r="W388" s="984"/>
      <c r="X388" s="984"/>
      <c r="Y388" s="985"/>
      <c r="Z388" s="1309"/>
      <c r="AA388" s="1073">
        <v>240</v>
      </c>
      <c r="AB388" s="1073">
        <v>257</v>
      </c>
      <c r="AC388" s="1074">
        <v>265</v>
      </c>
      <c r="AD388" s="1295">
        <v>264</v>
      </c>
      <c r="AE388" s="1347">
        <v>270</v>
      </c>
      <c r="AF388" s="1347">
        <f t="shared" ref="AF388:AQ388" si="2299">AB388*(1+AF389)</f>
        <v>295.54999999999995</v>
      </c>
      <c r="AG388" s="1296">
        <f t="shared" si="2299"/>
        <v>302.10000000000002</v>
      </c>
      <c r="AH388" s="1295">
        <f>AD388*(1+AH389)</f>
        <v>298.32</v>
      </c>
      <c r="AI388" s="1295">
        <f t="shared" si="2299"/>
        <v>313.2</v>
      </c>
      <c r="AJ388" s="1295">
        <f t="shared" si="2299"/>
        <v>331.01599999999996</v>
      </c>
      <c r="AK388" s="1296">
        <f t="shared" si="2299"/>
        <v>339.56040000000007</v>
      </c>
      <c r="AL388" s="1295">
        <f t="shared" si="2299"/>
        <v>334.11840000000001</v>
      </c>
      <c r="AM388" s="1295">
        <f t="shared" si="2299"/>
        <v>342.95399999999995</v>
      </c>
      <c r="AN388" s="1295">
        <f t="shared" si="2299"/>
        <v>331.01599999999996</v>
      </c>
      <c r="AO388" s="1296">
        <f t="shared" si="2299"/>
        <v>339.56040000000007</v>
      </c>
      <c r="AP388" s="2151">
        <f t="shared" si="2299"/>
        <v>330.77721600000001</v>
      </c>
      <c r="AQ388" s="2151">
        <f t="shared" si="2299"/>
        <v>375.53462999999994</v>
      </c>
      <c r="AR388" s="2151">
        <f t="shared" ref="AR388" si="2300">AN388*(1+AR389)</f>
        <v>347.5668</v>
      </c>
      <c r="AS388" s="2152">
        <f t="shared" ref="AS388" si="2301">AO388*(1+AS389)</f>
        <v>366.72523200000012</v>
      </c>
      <c r="AT388" s="1295">
        <f t="shared" ref="AT388" si="2302">AP388*(1+AT389)</f>
        <v>357.23939328000006</v>
      </c>
      <c r="AU388" s="1295">
        <f t="shared" ref="AU388" si="2303">AQ388*(1+AU389)</f>
        <v>405.57740039999993</v>
      </c>
      <c r="AV388" s="1295">
        <f t="shared" ref="AV388" si="2304">AR388*(1+AV389)</f>
        <v>375.37214400000005</v>
      </c>
      <c r="AW388" s="1296">
        <f t="shared" ref="AW388" si="2305">AS388*(1+AW389)</f>
        <v>396.06325056000014</v>
      </c>
      <c r="AX388" s="1295">
        <f t="shared" ref="AX388" si="2306">AT388*(1+AX389)</f>
        <v>385.81854474240009</v>
      </c>
      <c r="AY388" s="1295">
        <f t="shared" ref="AY388" si="2307">AU388*(1+AY389)</f>
        <v>438.02359243199993</v>
      </c>
      <c r="AZ388" s="1295">
        <f t="shared" ref="AZ388" si="2308">AV388*(1+AZ389)</f>
        <v>405.4019155200001</v>
      </c>
      <c r="BA388" s="1296">
        <f t="shared" ref="BA388" si="2309">AW388*(1+BA389)</f>
        <v>427.74831060480017</v>
      </c>
      <c r="BB388" s="1013"/>
      <c r="BC388" s="1289"/>
      <c r="BD388" s="1290"/>
      <c r="BE388" s="1290"/>
      <c r="BF388" s="1291"/>
      <c r="BG388" s="1291"/>
      <c r="BH388" s="1291"/>
      <c r="BI388" s="1291"/>
      <c r="BJ388" s="1083">
        <f>SUM(AA388:AC388)</f>
        <v>762</v>
      </c>
      <c r="BK388" s="1083">
        <f>SUM(AD388:AG388)</f>
        <v>1131.6500000000001</v>
      </c>
      <c r="BL388" s="1083">
        <f>SUM(AH388:AK388)</f>
        <v>1282.0963999999999</v>
      </c>
      <c r="BM388" s="1083">
        <f>SUM(AL388:AO388)</f>
        <v>1347.6487999999999</v>
      </c>
      <c r="BN388" s="1364">
        <f>SUM(AP388:AS388)</f>
        <v>1420.6038779999999</v>
      </c>
      <c r="BO388" s="1364">
        <f>SUM(AT388:AW388)</f>
        <v>1534.2521882400001</v>
      </c>
      <c r="BP388" s="1364">
        <f>SUM(AX388:BA388)</f>
        <v>1656.9923632992004</v>
      </c>
      <c r="BR388" s="1433"/>
      <c r="BS388" s="1425"/>
      <c r="BT388" s="1425"/>
      <c r="BU388" s="1263"/>
    </row>
    <row r="389" spans="1:73" s="1014" customFormat="1" ht="12" hidden="1" customHeight="1" outlineLevel="2">
      <c r="A389" s="1293" t="s">
        <v>181</v>
      </c>
      <c r="B389" s="1008"/>
      <c r="C389" s="1008"/>
      <c r="D389" s="1008"/>
      <c r="E389" s="1009"/>
      <c r="F389" s="1008"/>
      <c r="G389" s="1008"/>
      <c r="H389" s="1008"/>
      <c r="I389" s="1009"/>
      <c r="J389" s="1010"/>
      <c r="K389" s="1008"/>
      <c r="L389" s="1010"/>
      <c r="M389" s="1009"/>
      <c r="N389" s="1008"/>
      <c r="O389" s="1008"/>
      <c r="P389" s="1008"/>
      <c r="Q389" s="1009"/>
      <c r="R389" s="984"/>
      <c r="S389" s="984"/>
      <c r="T389" s="984"/>
      <c r="U389" s="985"/>
      <c r="V389" s="984"/>
      <c r="W389" s="984"/>
      <c r="X389" s="984"/>
      <c r="Y389" s="985"/>
      <c r="Z389" s="1270"/>
      <c r="AA389" s="1294" t="s">
        <v>366</v>
      </c>
      <c r="AB389" s="984" t="str">
        <f>IF(ISERROR(AB165/AA165-1),"NA",AB165/AA165-1)</f>
        <v>NA</v>
      </c>
      <c r="AC389" s="985" t="str">
        <f>IF(ISERROR(AC165/AB165-1),"NA",AC165/AB165-1)</f>
        <v>NA</v>
      </c>
      <c r="AD389" s="984" t="str">
        <f>IF(ISERROR(AD165/AC165-1),"NA",AD165/AC165-1)</f>
        <v>NA</v>
      </c>
      <c r="AE389" s="984">
        <f>+(AE388/AA388)-1</f>
        <v>0.125</v>
      </c>
      <c r="AF389" s="1069">
        <v>0.15</v>
      </c>
      <c r="AG389" s="1070">
        <v>0.14000000000000001</v>
      </c>
      <c r="AH389" s="1069">
        <v>0.13</v>
      </c>
      <c r="AI389" s="1069">
        <v>0.16</v>
      </c>
      <c r="AJ389" s="1069">
        <v>0.12</v>
      </c>
      <c r="AK389" s="1070">
        <v>0.124</v>
      </c>
      <c r="AL389" s="1069">
        <v>0.12</v>
      </c>
      <c r="AM389" s="1069">
        <v>9.5000000000000001E-2</v>
      </c>
      <c r="AN389" s="1069">
        <v>0</v>
      </c>
      <c r="AO389" s="1070">
        <v>0</v>
      </c>
      <c r="AP389" s="2153">
        <v>-0.01</v>
      </c>
      <c r="AQ389" s="2153">
        <v>9.5000000000000001E-2</v>
      </c>
      <c r="AR389" s="2153">
        <v>0.05</v>
      </c>
      <c r="AS389" s="2154">
        <v>0.08</v>
      </c>
      <c r="AT389" s="1069">
        <f t="shared" ref="AT389:BA389" si="2310">+AS389</f>
        <v>0.08</v>
      </c>
      <c r="AU389" s="1069">
        <f t="shared" si="2310"/>
        <v>0.08</v>
      </c>
      <c r="AV389" s="1069">
        <f t="shared" si="2310"/>
        <v>0.08</v>
      </c>
      <c r="AW389" s="1070">
        <f t="shared" si="2310"/>
        <v>0.08</v>
      </c>
      <c r="AX389" s="1069">
        <f t="shared" si="2310"/>
        <v>0.08</v>
      </c>
      <c r="AY389" s="1069">
        <f t="shared" si="2310"/>
        <v>0.08</v>
      </c>
      <c r="AZ389" s="1069">
        <f t="shared" si="2310"/>
        <v>0.08</v>
      </c>
      <c r="BA389" s="1070">
        <f t="shared" si="2310"/>
        <v>0.08</v>
      </c>
      <c r="BB389" s="1013"/>
      <c r="BC389" s="1289"/>
      <c r="BD389" s="1290"/>
      <c r="BE389" s="1290"/>
      <c r="BF389" s="1291"/>
      <c r="BG389" s="1291"/>
      <c r="BH389" s="1291"/>
      <c r="BI389" s="1291"/>
      <c r="BJ389" s="842" t="str">
        <f t="shared" ref="BJ389" si="2311">IF(ISERROR(BJ388/BI388-1),"NA",BJ388/BI388-1)</f>
        <v>NA</v>
      </c>
      <c r="BK389" s="842">
        <f t="shared" ref="BK389" si="2312">IF(ISERROR(BK388/BJ388-1),"NA",BK388/BJ388-1)</f>
        <v>0.48510498687664061</v>
      </c>
      <c r="BL389" s="842">
        <f t="shared" ref="BL389:BP389" si="2313">IF(ISERROR(BL388/BK388-1),"NA",BL388/BK388-1)</f>
        <v>0.132944284893739</v>
      </c>
      <c r="BM389" s="842">
        <f t="shared" si="2313"/>
        <v>5.1129072665674791E-2</v>
      </c>
      <c r="BN389" s="1187">
        <f t="shared" si="2313"/>
        <v>5.4135081780950722E-2</v>
      </c>
      <c r="BO389" s="1187">
        <f t="shared" si="2313"/>
        <v>8.0000000000000071E-2</v>
      </c>
      <c r="BP389" s="1187">
        <f t="shared" si="2313"/>
        <v>8.0000000000000071E-2</v>
      </c>
      <c r="BR389" s="1432"/>
      <c r="BS389" s="1425"/>
      <c r="BT389" s="1425"/>
      <c r="BU389" s="1263"/>
    </row>
    <row r="390" spans="1:73" s="1014" customFormat="1" ht="12" hidden="1" customHeight="1" outlineLevel="2">
      <c r="A390" s="1293" t="s">
        <v>291</v>
      </c>
      <c r="B390" s="1008"/>
      <c r="C390" s="1008"/>
      <c r="D390" s="1008"/>
      <c r="E390" s="1009"/>
      <c r="F390" s="1008"/>
      <c r="G390" s="1008"/>
      <c r="H390" s="1008"/>
      <c r="I390" s="1009"/>
      <c r="J390" s="1010"/>
      <c r="K390" s="1008"/>
      <c r="L390" s="1010"/>
      <c r="M390" s="1009"/>
      <c r="N390" s="1008"/>
      <c r="O390" s="1008"/>
      <c r="P390" s="1008"/>
      <c r="Q390" s="1009"/>
      <c r="R390" s="984"/>
      <c r="S390" s="984"/>
      <c r="T390" s="984"/>
      <c r="U390" s="985"/>
      <c r="V390" s="984"/>
      <c r="W390" s="984"/>
      <c r="X390" s="984"/>
      <c r="Y390" s="985"/>
      <c r="Z390" s="1270"/>
      <c r="AA390" s="1294" t="s">
        <v>366</v>
      </c>
      <c r="AB390" s="1015">
        <f>AB388/AA388-1</f>
        <v>7.0833333333333304E-2</v>
      </c>
      <c r="AC390" s="1016">
        <f t="shared" ref="AC390:AQ390" si="2314">AC388/AB388-1</f>
        <v>3.112840466926059E-2</v>
      </c>
      <c r="AD390" s="1015">
        <f t="shared" si="2314"/>
        <v>-3.7735849056603765E-3</v>
      </c>
      <c r="AE390" s="1015">
        <f>AE388/AD388-1</f>
        <v>2.2727272727272707E-2</v>
      </c>
      <c r="AF390" s="1015">
        <f t="shared" si="2314"/>
        <v>9.4629629629629397E-2</v>
      </c>
      <c r="AG390" s="1016">
        <f t="shared" si="2314"/>
        <v>2.2162070715615156E-2</v>
      </c>
      <c r="AH390" s="1015">
        <f t="shared" si="2314"/>
        <v>-1.251241310824236E-2</v>
      </c>
      <c r="AI390" s="1015">
        <f t="shared" si="2314"/>
        <v>4.9879324215607479E-2</v>
      </c>
      <c r="AJ390" s="1015">
        <f t="shared" si="2314"/>
        <v>5.68837803320561E-2</v>
      </c>
      <c r="AK390" s="1016">
        <f t="shared" si="2314"/>
        <v>2.5812649539599608E-2</v>
      </c>
      <c r="AL390" s="1015">
        <f t="shared" si="2314"/>
        <v>-1.6026603808924955E-2</v>
      </c>
      <c r="AM390" s="1015">
        <f t="shared" si="2314"/>
        <v>2.6444517871508921E-2</v>
      </c>
      <c r="AN390" s="1015">
        <f t="shared" si="2314"/>
        <v>-3.4809333030085599E-2</v>
      </c>
      <c r="AO390" s="1016">
        <f t="shared" si="2314"/>
        <v>2.5812649539599608E-2</v>
      </c>
      <c r="AP390" s="2155">
        <f t="shared" si="2314"/>
        <v>-2.586633777083569E-2</v>
      </c>
      <c r="AQ390" s="2155">
        <f t="shared" si="2314"/>
        <v>0.13530984552454761</v>
      </c>
      <c r="AR390" s="2155">
        <f t="shared" ref="AR390" si="2315">AR388/AQ388-1</f>
        <v>-7.4474702905561463E-2</v>
      </c>
      <c r="AS390" s="2156">
        <f t="shared" ref="AS390" si="2316">AS388/AR388-1</f>
        <v>5.5121582383588219E-2</v>
      </c>
      <c r="AT390" s="1015">
        <f t="shared" ref="AT390" si="2317">AT388/AS388-1</f>
        <v>-2.5866337770835579E-2</v>
      </c>
      <c r="AU390" s="1015">
        <f t="shared" ref="AU390" si="2318">AU388/AT388-1</f>
        <v>0.13530984552454739</v>
      </c>
      <c r="AV390" s="1015">
        <f t="shared" ref="AV390" si="2319">AV388/AU388-1</f>
        <v>-7.4474702905561352E-2</v>
      </c>
      <c r="AW390" s="1016">
        <f t="shared" ref="AW390" si="2320">AW388/AV388-1</f>
        <v>5.5121582383587997E-2</v>
      </c>
      <c r="AX390" s="1015">
        <f t="shared" ref="AX390" si="2321">AX388/AW388-1</f>
        <v>-2.5866337770835579E-2</v>
      </c>
      <c r="AY390" s="1015">
        <f t="shared" ref="AY390" si="2322">AY388/AX388-1</f>
        <v>0.13530984552454739</v>
      </c>
      <c r="AZ390" s="1015">
        <f t="shared" ref="AZ390" si="2323">AZ388/AY388-1</f>
        <v>-7.4474702905561241E-2</v>
      </c>
      <c r="BA390" s="1016">
        <f t="shared" ref="BA390" si="2324">BA388/AZ388-1</f>
        <v>5.5121582383587997E-2</v>
      </c>
      <c r="BB390" s="1013"/>
      <c r="BC390" s="1289"/>
      <c r="BD390" s="1290"/>
      <c r="BE390" s="1290"/>
      <c r="BF390" s="1291"/>
      <c r="BG390" s="1291"/>
      <c r="BH390" s="1291"/>
      <c r="BI390" s="1291"/>
      <c r="BJ390" s="989" t="s">
        <v>366</v>
      </c>
      <c r="BK390" s="989" t="s">
        <v>366</v>
      </c>
      <c r="BL390" s="989" t="s">
        <v>366</v>
      </c>
      <c r="BM390" s="989" t="s">
        <v>366</v>
      </c>
      <c r="BN390" s="1188" t="s">
        <v>366</v>
      </c>
      <c r="BO390" s="1188" t="s">
        <v>366</v>
      </c>
      <c r="BP390" s="1188" t="s">
        <v>366</v>
      </c>
      <c r="BR390" s="1425"/>
      <c r="BS390" s="1425"/>
      <c r="BT390" s="1425"/>
      <c r="BU390" s="1263"/>
    </row>
    <row r="391" spans="1:73" s="1014" customFormat="1" ht="12" hidden="1" customHeight="1" outlineLevel="2">
      <c r="A391" s="1293" t="s">
        <v>153</v>
      </c>
      <c r="B391" s="1008"/>
      <c r="C391" s="1008"/>
      <c r="D391" s="1008"/>
      <c r="E391" s="1009"/>
      <c r="F391" s="1008"/>
      <c r="G391" s="1008"/>
      <c r="H391" s="1008"/>
      <c r="I391" s="1009"/>
      <c r="J391" s="1010"/>
      <c r="K391" s="1008"/>
      <c r="L391" s="1010"/>
      <c r="M391" s="1009"/>
      <c r="N391" s="1008"/>
      <c r="O391" s="1008"/>
      <c r="P391" s="1008"/>
      <c r="Q391" s="1009"/>
      <c r="R391" s="984"/>
      <c r="S391" s="984"/>
      <c r="T391" s="984"/>
      <c r="U391" s="985"/>
      <c r="V391" s="984"/>
      <c r="W391" s="984"/>
      <c r="X391" s="984"/>
      <c r="Y391" s="985"/>
      <c r="Z391" s="1270"/>
      <c r="AA391" s="984">
        <f t="shared" ref="AA391:BA391" si="2325">+AA388/AA$6</f>
        <v>8.9786756453423114E-2</v>
      </c>
      <c r="AB391" s="984">
        <f t="shared" si="2325"/>
        <v>4.5632102272727279E-2</v>
      </c>
      <c r="AC391" s="985">
        <f t="shared" si="2325"/>
        <v>0.10977630488815245</v>
      </c>
      <c r="AD391" s="984">
        <f t="shared" si="2325"/>
        <v>0.10165575664227955</v>
      </c>
      <c r="AE391" s="984">
        <f t="shared" si="2325"/>
        <v>8.8786583360736596E-2</v>
      </c>
      <c r="AF391" s="984">
        <f t="shared" si="2325"/>
        <v>4.911100033233632E-2</v>
      </c>
      <c r="AG391" s="985">
        <f t="shared" si="2325"/>
        <v>0.11139380530973453</v>
      </c>
      <c r="AH391" s="984">
        <f t="shared" si="2325"/>
        <v>0.10017461383478844</v>
      </c>
      <c r="AI391" s="984">
        <f t="shared" si="2325"/>
        <v>9.2498523331364435E-2</v>
      </c>
      <c r="AJ391" s="984">
        <f t="shared" si="2325"/>
        <v>4.9134035921033103E-2</v>
      </c>
      <c r="AK391" s="985">
        <f t="shared" si="2325"/>
        <v>0.1066458542713568</v>
      </c>
      <c r="AL391" s="984">
        <f t="shared" si="2325"/>
        <v>0.10177228144989339</v>
      </c>
      <c r="AM391" s="984">
        <f t="shared" si="2325"/>
        <v>8.6538985616956832E-2</v>
      </c>
      <c r="AN391" s="984">
        <f t="shared" si="2325"/>
        <v>4.2689708537529014E-2</v>
      </c>
      <c r="AO391" s="985">
        <f t="shared" si="2325"/>
        <v>8.8634925606891166E-2</v>
      </c>
      <c r="AP391" s="987">
        <f t="shared" ref="AP391:AQ391" si="2326">+AP388/AP$6</f>
        <v>8.5142140540540548E-2</v>
      </c>
      <c r="AQ391" s="987">
        <f t="shared" si="2326"/>
        <v>8.0742771447000636E-2</v>
      </c>
      <c r="AR391" s="987">
        <f t="shared" si="2325"/>
        <v>4.0945271111624222E-2</v>
      </c>
      <c r="AS391" s="998">
        <f t="shared" si="2325"/>
        <v>8.6234976376369704E-2</v>
      </c>
      <c r="AT391" s="984">
        <f t="shared" si="2325"/>
        <v>8.0872794077830365E-2</v>
      </c>
      <c r="AU391" s="984">
        <f t="shared" si="2325"/>
        <v>7.6505342929627948E-2</v>
      </c>
      <c r="AV391" s="984">
        <f t="shared" si="2325"/>
        <v>4.0348418917299698E-2</v>
      </c>
      <c r="AW391" s="985">
        <f t="shared" si="2325"/>
        <v>8.3461258545559275E-2</v>
      </c>
      <c r="AX391" s="984">
        <f t="shared" si="2325"/>
        <v>7.7498014497181328E-2</v>
      </c>
      <c r="AY391" s="984">
        <f t="shared" si="2325"/>
        <v>7.27246173341215E-2</v>
      </c>
      <c r="AZ391" s="984">
        <f t="shared" si="2325"/>
        <v>3.9600223511786152E-2</v>
      </c>
      <c r="BA391" s="985">
        <f t="shared" si="2325"/>
        <v>8.0209741087736319E-2</v>
      </c>
      <c r="BB391" s="1013"/>
      <c r="BC391" s="1289"/>
      <c r="BD391" s="1290"/>
      <c r="BE391" s="1290"/>
      <c r="BF391" s="1291"/>
      <c r="BG391" s="1291"/>
      <c r="BH391" s="1291"/>
      <c r="BI391" s="1291"/>
      <c r="BJ391" s="1017">
        <f t="shared" ref="BJ391:BP391" si="2327">+BJ388/BJ$6</f>
        <v>5.9877416313059879E-2</v>
      </c>
      <c r="BK391" s="1017">
        <f t="shared" si="2327"/>
        <v>7.8761831848552344E-2</v>
      </c>
      <c r="BL391" s="1017">
        <f t="shared" si="2327"/>
        <v>7.8728670555726118E-2</v>
      </c>
      <c r="BM391" s="1017">
        <f t="shared" si="2327"/>
        <v>7.1565439966013486E-2</v>
      </c>
      <c r="BN391" s="1368">
        <f t="shared" si="2327"/>
        <v>6.6766493942635063E-2</v>
      </c>
      <c r="BO391" s="1368">
        <f t="shared" si="2327"/>
        <v>6.455296964861347E-2</v>
      </c>
      <c r="BP391" s="1368">
        <f t="shared" si="2327"/>
        <v>6.2359261702416659E-2</v>
      </c>
      <c r="BR391" s="1425"/>
      <c r="BS391" s="1425"/>
      <c r="BT391" s="1425"/>
      <c r="BU391" s="1263"/>
    </row>
    <row r="392" spans="1:73" s="1014" customFormat="1" ht="12" hidden="1" customHeight="1" outlineLevel="2">
      <c r="A392" s="1064"/>
      <c r="B392" s="1008"/>
      <c r="C392" s="1008"/>
      <c r="D392" s="1008"/>
      <c r="E392" s="1308">
        <f>+E178/SUM(B178:E178)</f>
        <v>2.8850855745721271E-2</v>
      </c>
      <c r="F392" s="1008"/>
      <c r="G392" s="1008"/>
      <c r="H392" s="1008"/>
      <c r="I392" s="1308">
        <f>+I178/SUM(F178:I178)</f>
        <v>2.7260336210813266E-2</v>
      </c>
      <c r="J392" s="1010"/>
      <c r="K392" s="1008"/>
      <c r="L392" s="1010"/>
      <c r="M392" s="1308">
        <f>+M178/SUM(J178:M178)</f>
        <v>2.751196172248804E-2</v>
      </c>
      <c r="N392" s="1008"/>
      <c r="O392" s="1008"/>
      <c r="P392" s="1008"/>
      <c r="Q392" s="1308">
        <f>+Q178/SUM(N178:Q178)</f>
        <v>2.6666666666666668E-2</v>
      </c>
      <c r="R392" s="984"/>
      <c r="S392" s="984"/>
      <c r="T392" s="984"/>
      <c r="U392" s="1308">
        <f>+U178/SUM(R178:U178)</f>
        <v>0.2264030612244898</v>
      </c>
      <c r="V392" s="984"/>
      <c r="W392" s="984"/>
      <c r="X392" s="984"/>
      <c r="Y392" s="1308"/>
      <c r="Z392" s="1270"/>
      <c r="AA392" s="1304"/>
      <c r="AB392" s="1307"/>
      <c r="AC392" s="1308"/>
      <c r="AD392" s="1304"/>
      <c r="AE392" s="1304"/>
      <c r="AF392" s="1304"/>
      <c r="AG392" s="1308"/>
      <c r="AH392" s="1015"/>
      <c r="AI392" s="1015"/>
      <c r="AJ392" s="1015"/>
      <c r="AK392" s="1016"/>
      <c r="AL392" s="1015"/>
      <c r="AM392" s="1015"/>
      <c r="AN392" s="1015"/>
      <c r="AO392" s="1016"/>
      <c r="AP392" s="1015"/>
      <c r="AQ392" s="1015"/>
      <c r="AR392" s="1015"/>
      <c r="AS392" s="1016"/>
      <c r="AT392" s="1015"/>
      <c r="AU392" s="1015"/>
      <c r="AV392" s="1015"/>
      <c r="AW392" s="1016"/>
      <c r="AX392" s="1015"/>
      <c r="AY392" s="1015"/>
      <c r="AZ392" s="1015"/>
      <c r="BA392" s="1016"/>
      <c r="BB392" s="1013"/>
      <c r="BC392" s="846"/>
      <c r="BD392" s="1011"/>
      <c r="BE392" s="1011"/>
      <c r="BF392" s="1017"/>
      <c r="BG392" s="1017"/>
      <c r="BH392" s="1017"/>
      <c r="BI392" s="1017"/>
      <c r="BJ392" s="1305"/>
      <c r="BK392" s="1305"/>
      <c r="BL392" s="1062"/>
      <c r="BM392" s="1062"/>
      <c r="BN392" s="1368"/>
      <c r="BO392" s="1368"/>
      <c r="BP392" s="1368"/>
      <c r="BR392" s="1425"/>
      <c r="BS392" s="1434"/>
      <c r="BT392" s="1425"/>
      <c r="BU392" s="1263"/>
    </row>
    <row r="393" spans="1:73" s="304" customFormat="1" ht="11.65" hidden="1" customHeight="1" outlineLevel="2" collapsed="1">
      <c r="A393" s="1548"/>
      <c r="B393" s="836"/>
      <c r="C393" s="837"/>
      <c r="D393" s="837"/>
      <c r="E393" s="838"/>
      <c r="F393" s="837"/>
      <c r="G393" s="837"/>
      <c r="H393" s="837"/>
      <c r="I393" s="838"/>
      <c r="J393" s="837"/>
      <c r="K393" s="837"/>
      <c r="L393" s="837"/>
      <c r="M393" s="838"/>
      <c r="N393" s="836"/>
      <c r="O393" s="836"/>
      <c r="P393" s="836"/>
      <c r="Q393" s="1041"/>
      <c r="R393" s="836"/>
      <c r="S393" s="1294"/>
      <c r="T393" s="1294"/>
      <c r="U393" s="1557"/>
      <c r="V393" s="1294"/>
      <c r="W393" s="1294"/>
      <c r="X393" s="1294"/>
      <c r="Y393" s="1557"/>
      <c r="Z393" s="1294"/>
      <c r="AA393" s="1294"/>
      <c r="AB393" s="1294"/>
      <c r="AC393" s="1557"/>
      <c r="AD393" s="1294"/>
      <c r="AE393" s="1294"/>
      <c r="AF393" s="1294"/>
      <c r="AG393" s="1557"/>
      <c r="AH393" s="1294"/>
      <c r="AI393" s="1294"/>
      <c r="AJ393" s="1294"/>
      <c r="AK393" s="1557"/>
      <c r="AL393" s="1294"/>
      <c r="AM393" s="1294"/>
      <c r="AN393" s="398"/>
      <c r="AO393" s="401"/>
      <c r="AP393" s="1294"/>
      <c r="AQ393" s="1294"/>
      <c r="AR393" s="398"/>
      <c r="AS393" s="401"/>
      <c r="AT393" s="398"/>
      <c r="AU393" s="398"/>
      <c r="AV393" s="398"/>
      <c r="AW393" s="401"/>
      <c r="AX393" s="398"/>
      <c r="AY393" s="398"/>
      <c r="AZ393" s="398"/>
      <c r="BA393" s="401"/>
      <c r="BB393" s="398"/>
      <c r="BC393" s="1674"/>
      <c r="BD393" s="1674"/>
      <c r="BE393" s="1674"/>
      <c r="BF393" s="1674"/>
      <c r="BG393" s="1674"/>
      <c r="BH393" s="1674"/>
      <c r="BI393" s="1674"/>
      <c r="BJ393" s="1546"/>
      <c r="BK393" s="1674"/>
      <c r="BL393" s="1707"/>
      <c r="BM393" s="1674"/>
      <c r="BN393" s="1674"/>
      <c r="BO393" s="1674"/>
      <c r="BP393" s="1674"/>
      <c r="BR393" s="1483"/>
      <c r="BS393" s="1483"/>
      <c r="BT393" s="1483"/>
      <c r="BU393" s="1675"/>
    </row>
    <row r="394" spans="1:73" s="305" customFormat="1" hidden="1" outlineLevel="2">
      <c r="A394" s="1002" t="s">
        <v>68</v>
      </c>
      <c r="B394" s="1142">
        <v>1.159</v>
      </c>
      <c r="C394" s="1142">
        <v>1.2569999999999999</v>
      </c>
      <c r="D394" s="1142">
        <v>1.397</v>
      </c>
      <c r="E394" s="1143">
        <v>1.5129999999999999</v>
      </c>
      <c r="F394" s="1151">
        <v>1.6379999999999999</v>
      </c>
      <c r="G394" s="1151">
        <v>1.871</v>
      </c>
      <c r="H394" s="1151">
        <v>2.2200000000000002</v>
      </c>
      <c r="I394" s="1152">
        <v>2.383</v>
      </c>
      <c r="J394" s="1151">
        <v>2.552</v>
      </c>
      <c r="K394" s="1151">
        <v>2.827</v>
      </c>
      <c r="L394" s="1151">
        <v>3.2229999999999999</v>
      </c>
      <c r="M394" s="1152">
        <v>3.4119999999999999</v>
      </c>
      <c r="N394" s="1151">
        <f>+M394+0.15</f>
        <v>3.5619999999999998</v>
      </c>
      <c r="O394" s="1151">
        <f t="shared" ref="O394:P394" si="2328">+N394+0.15</f>
        <v>3.7119999999999997</v>
      </c>
      <c r="P394" s="1151">
        <f t="shared" si="2328"/>
        <v>3.8619999999999997</v>
      </c>
      <c r="Q394" s="1543">
        <v>4.0999999999999996</v>
      </c>
      <c r="R394" s="1151">
        <f>+Q394+0.125</f>
        <v>4.2249999999999996</v>
      </c>
      <c r="S394" s="1151">
        <f t="shared" ref="S394:T394" si="2329">+R394+0.125</f>
        <v>4.3499999999999996</v>
      </c>
      <c r="T394" s="1151">
        <f t="shared" si="2329"/>
        <v>4.4749999999999996</v>
      </c>
      <c r="U394" s="1543">
        <v>4.5999999999999996</v>
      </c>
      <c r="V394" s="1151">
        <f>+U394+0.175</f>
        <v>4.7749999999999995</v>
      </c>
      <c r="W394" s="1151">
        <f t="shared" ref="W394:X394" si="2330">+V394+0.175</f>
        <v>4.9499999999999993</v>
      </c>
      <c r="X394" s="1151">
        <f t="shared" si="2330"/>
        <v>5.1249999999999991</v>
      </c>
      <c r="Y394" s="1543">
        <v>5.3</v>
      </c>
      <c r="Z394" s="1151">
        <f>+Y394+0.15</f>
        <v>5.45</v>
      </c>
      <c r="AA394" s="1151">
        <f t="shared" ref="AA394:AB394" si="2331">+Z394+0.15</f>
        <v>5.6000000000000005</v>
      </c>
      <c r="AB394" s="1151">
        <f t="shared" si="2331"/>
        <v>5.7500000000000009</v>
      </c>
      <c r="AC394" s="1543">
        <v>5.9</v>
      </c>
      <c r="AD394" s="1151">
        <f>+AC394+0.15</f>
        <v>6.0500000000000007</v>
      </c>
      <c r="AE394" s="1151">
        <f t="shared" ref="AE394:AF394" si="2332">+AD394+0.15</f>
        <v>6.2000000000000011</v>
      </c>
      <c r="AF394" s="1151">
        <f t="shared" si="2332"/>
        <v>6.3500000000000014</v>
      </c>
      <c r="AG394" s="1543">
        <v>6.5</v>
      </c>
      <c r="AH394" s="1151">
        <f>+AG394+0.175</f>
        <v>6.6749999999999998</v>
      </c>
      <c r="AI394" s="1151">
        <f t="shared" ref="AI394:AJ394" si="2333">+AH394+0.175</f>
        <v>6.85</v>
      </c>
      <c r="AJ394" s="1151">
        <f t="shared" si="2333"/>
        <v>7.0249999999999995</v>
      </c>
      <c r="AK394" s="1543">
        <f>+AG394*(1+AK395)</f>
        <v>7.2150000000000007</v>
      </c>
      <c r="AL394" s="1576"/>
      <c r="AM394" s="1576"/>
      <c r="AN394" s="1576">
        <v>8.1</v>
      </c>
      <c r="AO394" s="1543">
        <f>+AK394*(1+AO395)</f>
        <v>7.8643500000000017</v>
      </c>
      <c r="AP394" s="1576"/>
      <c r="AQ394" s="1576"/>
      <c r="AR394" s="1151"/>
      <c r="AS394" s="1152"/>
      <c r="AT394" s="1151"/>
      <c r="AU394" s="1151"/>
      <c r="AV394" s="1151"/>
      <c r="AW394" s="1152"/>
      <c r="AX394" s="1151"/>
      <c r="AY394" s="1151"/>
      <c r="AZ394" s="1151"/>
      <c r="BA394" s="1152"/>
      <c r="BB394" s="401"/>
      <c r="BC394" s="1116">
        <v>1.075</v>
      </c>
      <c r="BD394" s="1116">
        <v>1.5129999999999999</v>
      </c>
      <c r="BE394" s="1116">
        <v>2.383</v>
      </c>
      <c r="BF394" s="1115">
        <v>3.4119999999999999</v>
      </c>
      <c r="BG394" s="1558">
        <v>4.5359999999999996</v>
      </c>
      <c r="BH394" s="1116">
        <v>5.0830000000000002</v>
      </c>
      <c r="BI394" s="1116">
        <f>+Y394</f>
        <v>5.3</v>
      </c>
      <c r="BJ394" s="1116">
        <f>+AC394</f>
        <v>5.9</v>
      </c>
      <c r="BK394" s="1116">
        <f>+AG394</f>
        <v>6.5</v>
      </c>
      <c r="BL394" s="1116">
        <f>+AK394</f>
        <v>7.2150000000000007</v>
      </c>
      <c r="BM394" s="1116">
        <f>+AO394</f>
        <v>7.8643500000000017</v>
      </c>
      <c r="BN394" s="1160">
        <f>+AS394</f>
        <v>0</v>
      </c>
      <c r="BO394" s="1160">
        <f>+AW394</f>
        <v>0</v>
      </c>
      <c r="BP394" s="1160">
        <f>+BA394</f>
        <v>0</v>
      </c>
      <c r="BR394" s="1379"/>
      <c r="BS394" s="1379"/>
      <c r="BT394" s="1379"/>
      <c r="BU394" s="1260"/>
    </row>
    <row r="395" spans="1:73" s="305" customFormat="1" hidden="1" outlineLevel="2">
      <c r="A395" s="1757" t="s">
        <v>181</v>
      </c>
      <c r="B395" s="837"/>
      <c r="C395" s="837"/>
      <c r="D395" s="837"/>
      <c r="E395" s="838"/>
      <c r="F395" s="1044">
        <f t="shared" ref="F395" si="2334">IF(ISERROR(F394/B394-1),"NA",F394/B394-1)</f>
        <v>0.41328731665228635</v>
      </c>
      <c r="G395" s="837">
        <f t="shared" ref="G395" si="2335">IF(ISERROR(G394/C394-1),"NA",G394/C394-1)</f>
        <v>0.48846459824980126</v>
      </c>
      <c r="H395" s="837">
        <f t="shared" ref="H395" si="2336">IF(ISERROR(H394/D394-1),"NA",H394/D394-1)</f>
        <v>0.58911954187544757</v>
      </c>
      <c r="I395" s="838">
        <f t="shared" ref="I395" si="2337">IF(ISERROR(I394/E394-1),"NA",I394/E394-1)</f>
        <v>0.575016523463318</v>
      </c>
      <c r="J395" s="1044">
        <f t="shared" ref="J395" si="2338">IF(ISERROR(J394/F394-1),"NA",J394/F394-1)</f>
        <v>0.55799755799755801</v>
      </c>
      <c r="K395" s="837">
        <f t="shared" ref="K395" si="2339">IF(ISERROR(K394/G394-1),"NA",K394/G394-1)</f>
        <v>0.51095670764297174</v>
      </c>
      <c r="L395" s="837">
        <f t="shared" ref="L395" si="2340">IF(ISERROR(L394/H394-1),"NA",L394/H394-1)</f>
        <v>0.45180180180180152</v>
      </c>
      <c r="M395" s="838">
        <f t="shared" ref="M395" si="2341">IF(ISERROR(M394/I394-1),"NA",M394/I394-1)</f>
        <v>0.43180864456567347</v>
      </c>
      <c r="N395" s="1044">
        <f t="shared" ref="N395" si="2342">IF(ISERROR(N394/J394-1),"NA",N394/J394-1)</f>
        <v>0.39576802507836972</v>
      </c>
      <c r="O395" s="837">
        <f t="shared" ref="O395" si="2343">IF(ISERROR(O394/K394-1),"NA",O394/K394-1)</f>
        <v>0.31305270604881485</v>
      </c>
      <c r="P395" s="837">
        <f t="shared" ref="P395" si="2344">IF(ISERROR(P394/L394-1),"NA",P394/L394-1)</f>
        <v>0.19826248836487737</v>
      </c>
      <c r="Q395" s="1580">
        <f>+Q394/M394-1</f>
        <v>0.20164126611957789</v>
      </c>
      <c r="R395" s="1044">
        <f t="shared" ref="R395" si="2345">IF(ISERROR(R394/N394-1),"NA",R394/N394-1)</f>
        <v>0.18613138686131392</v>
      </c>
      <c r="S395" s="837">
        <f t="shared" ref="S395" si="2346">IF(ISERROR(S394/O394-1),"NA",S394/O394-1)</f>
        <v>0.171875</v>
      </c>
      <c r="T395" s="837">
        <f t="shared" ref="T395" si="2347">IF(ISERROR(T394/P394-1),"NA",T394/P394-1)</f>
        <v>0.15872604867944062</v>
      </c>
      <c r="U395" s="1580">
        <f>+U394/Q394-1</f>
        <v>0.12195121951219523</v>
      </c>
      <c r="V395" s="1044">
        <f t="shared" ref="V395" si="2348">IF(ISERROR(V394/R394-1),"NA",V394/R394-1)</f>
        <v>0.13017751479289941</v>
      </c>
      <c r="W395" s="837">
        <f t="shared" ref="W395" si="2349">IF(ISERROR(W394/S394-1),"NA",W394/S394-1)</f>
        <v>0.13793103448275845</v>
      </c>
      <c r="X395" s="837">
        <f t="shared" ref="X395" si="2350">IF(ISERROR(X394/T394-1),"NA",X394/T394-1)</f>
        <v>0.14525139664804465</v>
      </c>
      <c r="Y395" s="1580">
        <f>+Y394/U394-1</f>
        <v>0.15217391304347827</v>
      </c>
      <c r="Z395" s="1044">
        <f t="shared" ref="Z395" si="2351">IF(ISERROR(Z394/V394-1),"NA",Z394/V394-1)</f>
        <v>0.14136125654450282</v>
      </c>
      <c r="AA395" s="837">
        <f t="shared" ref="AA395" si="2352">IF(ISERROR(AA394/W394-1),"NA",AA394/W394-1)</f>
        <v>0.13131313131313149</v>
      </c>
      <c r="AB395" s="837">
        <f t="shared" ref="AB395" si="2353">IF(ISERROR(AB394/X394-1),"NA",AB394/X394-1)</f>
        <v>0.12195121951219545</v>
      </c>
      <c r="AC395" s="1580">
        <f>+AC394/Y394-1</f>
        <v>0.11320754716981152</v>
      </c>
      <c r="AD395" s="1044">
        <f t="shared" ref="AD395" si="2354">IF(ISERROR(AD394/Z394-1),"NA",AD394/Z394-1)</f>
        <v>0.11009174311926606</v>
      </c>
      <c r="AE395" s="837">
        <f t="shared" ref="AE395" si="2355">IF(ISERROR(AE394/AA394-1),"NA",AE394/AA394-1)</f>
        <v>0.10714285714285721</v>
      </c>
      <c r="AF395" s="837">
        <f t="shared" ref="AF395" si="2356">IF(ISERROR(AF394/AB394-1),"NA",AF394/AB394-1)</f>
        <v>0.10434782608695659</v>
      </c>
      <c r="AG395" s="1580">
        <f>+AG394/AC394-1</f>
        <v>0.10169491525423724</v>
      </c>
      <c r="AH395" s="1044">
        <f t="shared" ref="AH395" si="2357">IF(ISERROR(AH394/AD394-1),"NA",AH394/AD394-1)</f>
        <v>0.10330578512396671</v>
      </c>
      <c r="AI395" s="837">
        <f t="shared" ref="AI395" si="2358">IF(ISERROR(AI394/AE394-1),"NA",AI394/AE394-1)</f>
        <v>0.10483870967741904</v>
      </c>
      <c r="AJ395" s="837">
        <f t="shared" ref="AJ395" si="2359">IF(ISERROR(AJ394/AF394-1),"NA",AJ394/AF394-1)</f>
        <v>0.10629921259842479</v>
      </c>
      <c r="AK395" s="1580">
        <v>0.11</v>
      </c>
      <c r="AL395" s="1044">
        <f t="shared" ref="AL395" si="2360">IF(ISERROR(AL394/AH394-1),"NA",AL394/AH394-1)</f>
        <v>-1</v>
      </c>
      <c r="AM395" s="837">
        <f t="shared" ref="AM395" si="2361">IF(ISERROR(AM394/AI394-1),"NA",AM394/AI394-1)</f>
        <v>-1</v>
      </c>
      <c r="AN395" s="837">
        <f t="shared" ref="AN395" si="2362">IF(ISERROR(AN394/AJ394-1),"NA",AN394/AJ394-1)</f>
        <v>0.15302491103202853</v>
      </c>
      <c r="AO395" s="1580">
        <v>0.09</v>
      </c>
      <c r="AP395" s="1044" t="str">
        <f t="shared" ref="AP395:AQ395" si="2363">IF(ISERROR(AP394/AL394-1),"NA",AP394/AL394-1)</f>
        <v>NA</v>
      </c>
      <c r="AQ395" s="837" t="str">
        <f t="shared" si="2363"/>
        <v>NA</v>
      </c>
      <c r="AR395" s="837"/>
      <c r="AS395" s="838"/>
      <c r="AT395" s="837"/>
      <c r="AU395" s="837"/>
      <c r="AV395" s="837"/>
      <c r="AW395" s="838"/>
      <c r="AX395" s="837"/>
      <c r="AY395" s="837"/>
      <c r="AZ395" s="837"/>
      <c r="BA395" s="838"/>
      <c r="BB395" s="401"/>
      <c r="BC395" s="985" t="str">
        <f t="shared" ref="BC395" si="2364">IF(ISERROR(BC394/BB394-1),"NA",BC394/BB394-1)</f>
        <v>NA</v>
      </c>
      <c r="BD395" s="985">
        <f t="shared" ref="BD395" si="2365">IF(ISERROR(BD394/BC394-1),"NA",BD394/BC394-1)</f>
        <v>0.40744186046511621</v>
      </c>
      <c r="BE395" s="985">
        <f t="shared" ref="BE395" si="2366">IF(ISERROR(BE394/BD394-1),"NA",BE394/BD394-1)</f>
        <v>0.575016523463318</v>
      </c>
      <c r="BF395" s="985">
        <f t="shared" ref="BF395" si="2367">IF(ISERROR(BF394/BE394-1),"NA",BF394/BE394-1)</f>
        <v>0.43180864456567347</v>
      </c>
      <c r="BG395" s="1187">
        <f t="shared" ref="BG395" si="2368">IF(ISERROR(BG394/BF394-1),"NA",BG394/BF394-1)</f>
        <v>0.32942555685814767</v>
      </c>
      <c r="BH395" s="1187">
        <f t="shared" ref="BH395" si="2369">IF(ISERROR(BH394/BG394-1),"NA",BH394/BG394-1)</f>
        <v>0.1205908289241624</v>
      </c>
      <c r="BI395" s="1187">
        <f t="shared" ref="BI395" si="2370">IF(ISERROR(BI394/BH394-1),"NA",BI394/BH394-1)</f>
        <v>4.2691324021247201E-2</v>
      </c>
      <c r="BJ395" s="1187">
        <f t="shared" ref="BJ395" si="2371">IF(ISERROR(BJ394/BI394-1),"NA",BJ394/BI394-1)</f>
        <v>0.11320754716981152</v>
      </c>
      <c r="BK395" s="1187">
        <f t="shared" ref="BK395" si="2372">IF(ISERROR(BK394/BJ394-1),"NA",BK394/BJ394-1)</f>
        <v>0.10169491525423724</v>
      </c>
      <c r="BL395" s="1187">
        <f t="shared" ref="BL395" si="2373">IF(ISERROR(BL394/BK394-1),"NA",BL394/BK394-1)</f>
        <v>0.1100000000000001</v>
      </c>
      <c r="BM395" s="1187">
        <f t="shared" ref="BM395" si="2374">IF(ISERROR(BM394/BL394-1),"NA",BM394/BL394-1)</f>
        <v>9.000000000000008E-2</v>
      </c>
      <c r="BN395" s="1187">
        <f t="shared" ref="BN395" si="2375">IF(ISERROR(BN394/BM394-1),"NA",BN394/BM394-1)</f>
        <v>-1</v>
      </c>
      <c r="BO395" s="1187" t="str">
        <f t="shared" ref="BO395" si="2376">IF(ISERROR(BO394/BN394-1),"NA",BO394/BN394-1)</f>
        <v>NA</v>
      </c>
      <c r="BP395" s="1187" t="str">
        <f t="shared" ref="BP395" si="2377">IF(ISERROR(BP394/BO394-1),"NA",BP394/BO394-1)</f>
        <v>NA</v>
      </c>
      <c r="BR395" s="1379"/>
      <c r="BS395" s="1379"/>
      <c r="BT395" s="1379"/>
      <c r="BU395" s="1260"/>
    </row>
    <row r="396" spans="1:73" s="570" customFormat="1" hidden="1" outlineLevel="2">
      <c r="A396" s="1758" t="s">
        <v>385</v>
      </c>
      <c r="B396" s="1144"/>
      <c r="C396" s="1147">
        <f t="shared" ref="C396:M396" si="2378">+C394-B394</f>
        <v>9.7999999999999865E-2</v>
      </c>
      <c r="D396" s="1147">
        <f t="shared" si="2378"/>
        <v>0.14000000000000012</v>
      </c>
      <c r="E396" s="1148">
        <f t="shared" si="2378"/>
        <v>0.11599999999999988</v>
      </c>
      <c r="F396" s="1147">
        <f t="shared" si="2378"/>
        <v>0.125</v>
      </c>
      <c r="G396" s="1147">
        <f t="shared" si="2378"/>
        <v>0.2330000000000001</v>
      </c>
      <c r="H396" s="1147">
        <f t="shared" si="2378"/>
        <v>0.3490000000000002</v>
      </c>
      <c r="I396" s="1148">
        <f t="shared" si="2378"/>
        <v>0.16299999999999981</v>
      </c>
      <c r="J396" s="1147">
        <f t="shared" si="2378"/>
        <v>0.16900000000000004</v>
      </c>
      <c r="K396" s="1147">
        <f t="shared" si="2378"/>
        <v>0.27499999999999991</v>
      </c>
      <c r="L396" s="1147">
        <f t="shared" si="2378"/>
        <v>0.39599999999999991</v>
      </c>
      <c r="M396" s="1148">
        <f t="shared" si="2378"/>
        <v>0.18900000000000006</v>
      </c>
      <c r="N396" s="1147">
        <f t="shared" ref="N396" si="2379">+N394-M394</f>
        <v>0.14999999999999991</v>
      </c>
      <c r="O396" s="1147">
        <f t="shared" ref="O396" si="2380">+O394-N394</f>
        <v>0.14999999999999991</v>
      </c>
      <c r="P396" s="1147">
        <f t="shared" ref="P396:Q396" si="2381">+P394-O394</f>
        <v>0.14999999999999991</v>
      </c>
      <c r="Q396" s="1148">
        <f t="shared" si="2381"/>
        <v>0.23799999999999999</v>
      </c>
      <c r="R396" s="1147">
        <f t="shared" ref="R396" si="2382">+R394-Q394</f>
        <v>0.125</v>
      </c>
      <c r="S396" s="1147">
        <f t="shared" ref="S396" si="2383">+S394-R394</f>
        <v>0.125</v>
      </c>
      <c r="T396" s="1147">
        <f t="shared" ref="T396:U396" si="2384">+T394-S394</f>
        <v>0.125</v>
      </c>
      <c r="U396" s="1148">
        <f t="shared" si="2384"/>
        <v>0.125</v>
      </c>
      <c r="V396" s="1147">
        <f t="shared" ref="V396" si="2385">+V394-U394</f>
        <v>0.17499999999999982</v>
      </c>
      <c r="W396" s="1147">
        <f t="shared" ref="W396" si="2386">+W394-V394</f>
        <v>0.17499999999999982</v>
      </c>
      <c r="X396" s="1147">
        <f t="shared" ref="X396" si="2387">+X394-W394</f>
        <v>0.17499999999999982</v>
      </c>
      <c r="Y396" s="1148">
        <f t="shared" ref="Y396" si="2388">+Y394-X394</f>
        <v>0.17500000000000071</v>
      </c>
      <c r="Z396" s="1147">
        <f t="shared" ref="Z396" si="2389">+Z394-Y394</f>
        <v>0.15000000000000036</v>
      </c>
      <c r="AA396" s="1147">
        <f t="shared" ref="AA396" si="2390">+AA394-Z394</f>
        <v>0.15000000000000036</v>
      </c>
      <c r="AB396" s="1147">
        <f t="shared" ref="AB396" si="2391">+AB394-AA394</f>
        <v>0.15000000000000036</v>
      </c>
      <c r="AC396" s="1148">
        <f t="shared" ref="AC396" si="2392">+AC394-AB394</f>
        <v>0.14999999999999947</v>
      </c>
      <c r="AD396" s="1147">
        <f t="shared" ref="AD396" si="2393">+AD394-AC394</f>
        <v>0.15000000000000036</v>
      </c>
      <c r="AE396" s="1147">
        <f t="shared" ref="AE396" si="2394">+AE394-AD394</f>
        <v>0.15000000000000036</v>
      </c>
      <c r="AF396" s="1147">
        <f t="shared" ref="AF396" si="2395">+AF394-AE394</f>
        <v>0.15000000000000036</v>
      </c>
      <c r="AG396" s="1148">
        <f t="shared" ref="AG396" si="2396">+AG394-AF394</f>
        <v>0.14999999999999858</v>
      </c>
      <c r="AH396" s="1147">
        <f t="shared" ref="AH396" si="2397">+AH394-AG394</f>
        <v>0.17499999999999982</v>
      </c>
      <c r="AI396" s="1147">
        <f t="shared" ref="AI396" si="2398">+AI394-AH394</f>
        <v>0.17499999999999982</v>
      </c>
      <c r="AJ396" s="1147">
        <f t="shared" ref="AJ396" si="2399">+AJ394-AI394</f>
        <v>0.17499999999999982</v>
      </c>
      <c r="AK396" s="1148">
        <f t="shared" ref="AK396" si="2400">+AK394-AJ394</f>
        <v>0.19000000000000128</v>
      </c>
      <c r="AL396" s="1576"/>
      <c r="AM396" s="1576"/>
      <c r="AN396" s="1576"/>
      <c r="AO396" s="1150"/>
      <c r="AP396" s="1576"/>
      <c r="AQ396" s="1576"/>
      <c r="AR396" s="1149"/>
      <c r="AS396" s="1150"/>
      <c r="AT396" s="1149"/>
      <c r="AU396" s="1149"/>
      <c r="AV396" s="1149"/>
      <c r="AW396" s="1150"/>
      <c r="AX396" s="1149"/>
      <c r="AY396" s="1149"/>
      <c r="AZ396" s="1149"/>
      <c r="BA396" s="1150"/>
      <c r="BB396" s="1145"/>
      <c r="BC396" s="1146"/>
      <c r="BD396" s="1170"/>
      <c r="BE396" s="991"/>
      <c r="BF396" s="991"/>
      <c r="BG396" s="1153"/>
      <c r="BH396" s="991"/>
      <c r="BI396" s="1171"/>
      <c r="BJ396" s="1171"/>
      <c r="BK396" s="1171"/>
      <c r="BL396" s="1171"/>
      <c r="BM396" s="1171"/>
      <c r="BN396" s="1171"/>
      <c r="BO396" s="1171"/>
      <c r="BP396" s="1171"/>
      <c r="BR396" s="1440"/>
      <c r="BS396" s="1440"/>
      <c r="BT396" s="1440"/>
      <c r="BU396" s="1260"/>
    </row>
    <row r="397" spans="1:73" s="305" customFormat="1" hidden="1" outlineLevel="2">
      <c r="A397" s="1759" t="s">
        <v>291</v>
      </c>
      <c r="B397" s="837"/>
      <c r="C397" s="837"/>
      <c r="D397" s="837"/>
      <c r="E397" s="838"/>
      <c r="F397" s="836">
        <f t="shared" ref="F397" si="2401">IF(ISERROR(F394/E394-1),"NA",F394/E394-1)</f>
        <v>8.2617316589557177E-2</v>
      </c>
      <c r="G397" s="836">
        <f t="shared" ref="G397" si="2402">IF(ISERROR(G394/F394-1),"NA",G394/F394-1)</f>
        <v>0.14224664224664241</v>
      </c>
      <c r="H397" s="837">
        <f t="shared" ref="H397" si="2403">IF(ISERROR(H394/G394-1),"NA",H394/G394-1)</f>
        <v>0.18653126670229825</v>
      </c>
      <c r="I397" s="838">
        <f t="shared" ref="I397" si="2404">IF(ISERROR(I394/H394-1),"NA",I394/H394-1)</f>
        <v>7.3423423423423229E-2</v>
      </c>
      <c r="J397" s="836">
        <f t="shared" ref="J397" si="2405">IF(ISERROR(J394/I394-1),"NA",J394/I394-1)</f>
        <v>7.0919009651699616E-2</v>
      </c>
      <c r="K397" s="836">
        <f t="shared" ref="K397" si="2406">IF(ISERROR(K394/J394-1),"NA",K394/J394-1)</f>
        <v>0.10775862068965503</v>
      </c>
      <c r="L397" s="837">
        <f t="shared" ref="L397" si="2407">IF(ISERROR(L394/K394-1),"NA",L394/K394-1)</f>
        <v>0.1400778210116731</v>
      </c>
      <c r="M397" s="838">
        <f t="shared" ref="M397" si="2408">IF(ISERROR(M394/L394-1),"NA",M394/L394-1)</f>
        <v>5.864101768538621E-2</v>
      </c>
      <c r="N397" s="836">
        <f t="shared" ref="N397" si="2409">IF(ISERROR(N394/M394-1),"NA",N394/M394-1)</f>
        <v>4.3962485345838243E-2</v>
      </c>
      <c r="O397" s="836">
        <f t="shared" ref="O397" si="2410">IF(ISERROR(O394/N394-1),"NA",O394/N394-1)</f>
        <v>4.2111173498034837E-2</v>
      </c>
      <c r="P397" s="837">
        <f t="shared" ref="P397:Q397" si="2411">IF(ISERROR(P394/O394-1),"NA",P394/O394-1)</f>
        <v>4.0409482758620774E-2</v>
      </c>
      <c r="Q397" s="838">
        <f t="shared" si="2411"/>
        <v>6.1626100466079858E-2</v>
      </c>
      <c r="R397" s="836">
        <f t="shared" ref="R397" si="2412">IF(ISERROR(R394/Q394-1),"NA",R394/Q394-1)</f>
        <v>3.0487804878048808E-2</v>
      </c>
      <c r="S397" s="836">
        <f t="shared" ref="S397" si="2413">IF(ISERROR(S394/R394-1),"NA",S394/R394-1)</f>
        <v>2.9585798816567976E-2</v>
      </c>
      <c r="T397" s="837">
        <f t="shared" ref="T397:U397" si="2414">IF(ISERROR(T394/S394-1),"NA",T394/S394-1)</f>
        <v>2.8735632183908066E-2</v>
      </c>
      <c r="U397" s="838">
        <f t="shared" si="2414"/>
        <v>2.7932960893854775E-2</v>
      </c>
      <c r="V397" s="836">
        <f t="shared" ref="V397" si="2415">IF(ISERROR(V394/U394-1),"NA",V394/U394-1)</f>
        <v>3.8043478260869623E-2</v>
      </c>
      <c r="W397" s="836">
        <f t="shared" ref="W397" si="2416">IF(ISERROR(W394/V394-1),"NA",W394/V394-1)</f>
        <v>3.6649214659685736E-2</v>
      </c>
      <c r="X397" s="837">
        <f t="shared" ref="X397" si="2417">IF(ISERROR(X394/W394-1),"NA",X394/W394-1)</f>
        <v>3.5353535353535248E-2</v>
      </c>
      <c r="Y397" s="838">
        <f t="shared" ref="Y397" si="2418">IF(ISERROR(Y394/X394-1),"NA",Y394/X394-1)</f>
        <v>3.4146341463414887E-2</v>
      </c>
      <c r="Z397" s="836">
        <f t="shared" ref="Z397" si="2419">IF(ISERROR(Z394/Y394-1),"NA",Z394/Y394-1)</f>
        <v>2.8301886792452935E-2</v>
      </c>
      <c r="AA397" s="836">
        <f t="shared" ref="AA397" si="2420">IF(ISERROR(AA394/Z394-1),"NA",AA394/Z394-1)</f>
        <v>2.7522935779816571E-2</v>
      </c>
      <c r="AB397" s="837">
        <f t="shared" ref="AB397" si="2421">IF(ISERROR(AB394/AA394-1),"NA",AB394/AA394-1)</f>
        <v>2.6785714285714413E-2</v>
      </c>
      <c r="AC397" s="838">
        <f t="shared" ref="AC397" si="2422">IF(ISERROR(AC394/AB394-1),"NA",AC394/AB394-1)</f>
        <v>2.608695652173898E-2</v>
      </c>
      <c r="AD397" s="836">
        <f t="shared" ref="AD397" si="2423">IF(ISERROR(AD394/AC394-1),"NA",AD394/AC394-1)</f>
        <v>2.5423728813559476E-2</v>
      </c>
      <c r="AE397" s="836">
        <f t="shared" ref="AE397" si="2424">IF(ISERROR(AE394/AD394-1),"NA",AE394/AD394-1)</f>
        <v>2.4793388429752206E-2</v>
      </c>
      <c r="AF397" s="837">
        <f t="shared" ref="AF397" si="2425">IF(ISERROR(AF394/AE394-1),"NA",AF394/AE394-1)</f>
        <v>2.4193548387096753E-2</v>
      </c>
      <c r="AG397" s="838">
        <f t="shared" ref="AG397" si="2426">IF(ISERROR(AG394/AF394-1),"NA",AG394/AF394-1)</f>
        <v>2.3622047244094224E-2</v>
      </c>
      <c r="AH397" s="836">
        <f t="shared" ref="AH397" si="2427">IF(ISERROR(AH394/AG394-1),"NA",AH394/AG394-1)</f>
        <v>2.6923076923076827E-2</v>
      </c>
      <c r="AI397" s="836">
        <f t="shared" ref="AI397" si="2428">IF(ISERROR(AI394/AH394-1),"NA",AI394/AH394-1)</f>
        <v>2.621722846441954E-2</v>
      </c>
      <c r="AJ397" s="837">
        <f t="shared" ref="AJ397" si="2429">IF(ISERROR(AJ394/AI394-1),"NA",AJ394/AI394-1)</f>
        <v>2.5547445255474477E-2</v>
      </c>
      <c r="AK397" s="838">
        <f t="shared" ref="AK397" si="2430">IF(ISERROR(AK394/AJ394-1),"NA",AK394/AJ394-1)</f>
        <v>2.7046263345195998E-2</v>
      </c>
      <c r="AL397" s="836"/>
      <c r="AM397" s="836"/>
      <c r="AN397" s="837"/>
      <c r="AO397" s="838"/>
      <c r="AP397" s="836"/>
      <c r="AQ397" s="836"/>
      <c r="AR397" s="837"/>
      <c r="AS397" s="838"/>
      <c r="AT397" s="836"/>
      <c r="AU397" s="836"/>
      <c r="AV397" s="837"/>
      <c r="AW397" s="838"/>
      <c r="AX397" s="836"/>
      <c r="AY397" s="836"/>
      <c r="AZ397" s="837"/>
      <c r="BA397" s="838"/>
      <c r="BB397" s="401"/>
      <c r="BC397" s="1047"/>
      <c r="BD397" s="1047"/>
      <c r="BE397" s="1047"/>
      <c r="BF397" s="1047"/>
      <c r="BG397" s="1188"/>
      <c r="BH397" s="1188"/>
      <c r="BI397" s="1188"/>
      <c r="BJ397" s="1188"/>
      <c r="BK397" s="1188"/>
      <c r="BL397" s="1188"/>
      <c r="BM397" s="1188" t="s">
        <v>366</v>
      </c>
      <c r="BN397" s="1188" t="s">
        <v>366</v>
      </c>
      <c r="BO397" s="1188" t="s">
        <v>366</v>
      </c>
      <c r="BP397" s="1188" t="s">
        <v>366</v>
      </c>
      <c r="BR397" s="1379"/>
      <c r="BS397" s="1379"/>
      <c r="BT397" s="1379"/>
      <c r="BU397" s="1260"/>
    </row>
    <row r="398" spans="1:73" s="305" customFormat="1" hidden="1" outlineLevel="2">
      <c r="A398" s="1034"/>
      <c r="B398" s="837"/>
      <c r="C398" s="837"/>
      <c r="D398" s="837"/>
      <c r="E398" s="838"/>
      <c r="F398" s="836"/>
      <c r="G398" s="836"/>
      <c r="H398" s="837"/>
      <c r="I398" s="838"/>
      <c r="J398" s="836"/>
      <c r="K398" s="836"/>
      <c r="L398" s="837"/>
      <c r="M398" s="838"/>
      <c r="N398" s="836"/>
      <c r="O398" s="836"/>
      <c r="P398" s="837"/>
      <c r="Q398" s="838"/>
      <c r="R398" s="836"/>
      <c r="S398" s="836"/>
      <c r="T398" s="837"/>
      <c r="U398" s="838"/>
      <c r="V398" s="836"/>
      <c r="W398" s="836"/>
      <c r="X398" s="837"/>
      <c r="Y398" s="838"/>
      <c r="Z398" s="836"/>
      <c r="AA398" s="836"/>
      <c r="AB398" s="837"/>
      <c r="AC398" s="838"/>
      <c r="AD398" s="836"/>
      <c r="AE398" s="836"/>
      <c r="AF398" s="837"/>
      <c r="AG398" s="838"/>
      <c r="AH398" s="836"/>
      <c r="AI398" s="836"/>
      <c r="AJ398" s="837"/>
      <c r="AK398" s="838"/>
      <c r="AL398" s="836"/>
      <c r="AM398" s="836"/>
      <c r="AN398" s="837"/>
      <c r="AO398" s="838"/>
      <c r="AP398" s="836"/>
      <c r="AQ398" s="836"/>
      <c r="AR398" s="837"/>
      <c r="AS398" s="838"/>
      <c r="AT398" s="836"/>
      <c r="AU398" s="836"/>
      <c r="AV398" s="837"/>
      <c r="AW398" s="838"/>
      <c r="AX398" s="836"/>
      <c r="AY398" s="836"/>
      <c r="AZ398" s="837"/>
      <c r="BA398" s="838"/>
      <c r="BB398" s="401"/>
      <c r="BC398" s="1047"/>
      <c r="BD398" s="1047"/>
      <c r="BE398" s="1047"/>
      <c r="BF398" s="1047"/>
      <c r="BG398" s="1047"/>
      <c r="BH398" s="1047"/>
      <c r="BI398" s="1188"/>
      <c r="BJ398" s="1188"/>
      <c r="BK398" s="1188"/>
      <c r="BL398" s="1188"/>
      <c r="BM398" s="1188"/>
      <c r="BN398" s="1188"/>
      <c r="BO398" s="1188"/>
      <c r="BP398" s="1188"/>
      <c r="BR398" s="1379"/>
      <c r="BS398" s="1379"/>
      <c r="BT398" s="1379"/>
      <c r="BU398" s="1260"/>
    </row>
    <row r="399" spans="1:73" s="570" customFormat="1" hidden="1" outlineLevel="2">
      <c r="A399" s="1049" t="s">
        <v>491</v>
      </c>
      <c r="B399" s="1144"/>
      <c r="C399" s="1147"/>
      <c r="D399" s="1147"/>
      <c r="E399" s="1523"/>
      <c r="F399" s="1147"/>
      <c r="G399" s="1147"/>
      <c r="H399" s="1147"/>
      <c r="I399" s="1523"/>
      <c r="J399" s="1147"/>
      <c r="K399" s="1147"/>
      <c r="L399" s="1147"/>
      <c r="M399" s="1523"/>
      <c r="N399" s="1147"/>
      <c r="O399" s="1147"/>
      <c r="P399" s="1147"/>
      <c r="Q399" s="1562"/>
      <c r="R399" s="1147"/>
      <c r="S399" s="1147"/>
      <c r="T399" s="1147"/>
      <c r="U399" s="1562"/>
      <c r="V399" s="1147"/>
      <c r="W399" s="1207"/>
      <c r="X399" s="1147"/>
      <c r="Y399" s="1562"/>
      <c r="Z399" s="1149"/>
      <c r="AA399" s="1149"/>
      <c r="AB399" s="1149"/>
      <c r="AC399" s="1562"/>
      <c r="AD399" s="1149"/>
      <c r="AE399" s="1149"/>
      <c r="AF399" s="1149"/>
      <c r="AG399" s="1562"/>
      <c r="AH399" s="1579">
        <v>460</v>
      </c>
      <c r="AI399" s="1149"/>
      <c r="AJ399" s="1149"/>
      <c r="AK399" s="1562"/>
      <c r="AL399" s="1578"/>
      <c r="AM399" s="1578"/>
      <c r="AN399" s="1578">
        <v>525</v>
      </c>
      <c r="AO399" s="1150"/>
      <c r="AP399" s="1578"/>
      <c r="AQ399" s="1578"/>
      <c r="AR399" s="1149"/>
      <c r="AS399" s="1150"/>
      <c r="AT399" s="1149"/>
      <c r="AU399" s="1149"/>
      <c r="AV399" s="1149"/>
      <c r="AW399" s="1150"/>
      <c r="AX399" s="1149"/>
      <c r="AY399" s="1149"/>
      <c r="AZ399" s="1149"/>
      <c r="BA399" s="1150"/>
      <c r="BB399" s="1524"/>
      <c r="BC399" s="1146"/>
      <c r="BD399" s="1170"/>
      <c r="BE399" s="991"/>
      <c r="BF399" s="991"/>
      <c r="BG399" s="1153"/>
      <c r="BH399" s="991"/>
      <c r="BI399" s="1171"/>
      <c r="BJ399" s="1171"/>
      <c r="BK399" s="1171"/>
      <c r="BL399" s="1171"/>
      <c r="BM399" s="1171"/>
      <c r="BN399" s="1171"/>
      <c r="BO399" s="1171"/>
      <c r="BP399" s="1171"/>
      <c r="BR399" s="1440"/>
      <c r="BS399" s="1440"/>
      <c r="BT399" s="1440"/>
      <c r="BU399" s="1260"/>
    </row>
    <row r="400" spans="1:73" s="305" customFormat="1" hidden="1" outlineLevel="2">
      <c r="A400" s="1037" t="s">
        <v>181</v>
      </c>
      <c r="B400" s="837"/>
      <c r="C400" s="837"/>
      <c r="D400" s="837"/>
      <c r="E400" s="838"/>
      <c r="F400" s="1044"/>
      <c r="G400" s="837"/>
      <c r="H400" s="837"/>
      <c r="I400" s="838"/>
      <c r="J400" s="1044"/>
      <c r="K400" s="837"/>
      <c r="L400" s="837"/>
      <c r="M400" s="838"/>
      <c r="N400" s="1044"/>
      <c r="O400" s="837"/>
      <c r="P400" s="837"/>
      <c r="Q400" s="838"/>
      <c r="R400" s="837"/>
      <c r="S400" s="837"/>
      <c r="T400" s="837"/>
      <c r="U400" s="838"/>
      <c r="V400" s="837"/>
      <c r="W400" s="837"/>
      <c r="X400" s="837"/>
      <c r="Y400" s="838"/>
      <c r="Z400" s="836"/>
      <c r="AA400" s="837"/>
      <c r="AB400" s="837"/>
      <c r="AC400" s="838"/>
      <c r="AD400" s="837"/>
      <c r="AE400" s="837"/>
      <c r="AF400" s="837"/>
      <c r="AG400" s="838"/>
      <c r="AH400" s="837">
        <v>7.0000000000000007E-2</v>
      </c>
      <c r="AI400" s="837"/>
      <c r="AJ400" s="837"/>
      <c r="AK400" s="838"/>
      <c r="AL400" s="1577"/>
      <c r="AM400" s="1577"/>
      <c r="AN400" s="1577"/>
      <c r="AO400" s="1580"/>
      <c r="AP400" s="1577"/>
      <c r="AQ400" s="837"/>
      <c r="AR400" s="837"/>
      <c r="AS400" s="838"/>
      <c r="AT400" s="837"/>
      <c r="AU400" s="837"/>
      <c r="AV400" s="837"/>
      <c r="AW400" s="838"/>
      <c r="AX400" s="837"/>
      <c r="AY400" s="837"/>
      <c r="AZ400" s="837"/>
      <c r="BA400" s="838"/>
      <c r="BB400" s="401"/>
      <c r="BC400" s="985"/>
      <c r="BD400" s="985"/>
      <c r="BE400" s="985"/>
      <c r="BF400" s="985"/>
      <c r="BG400" s="1187"/>
      <c r="BH400" s="1187"/>
      <c r="BI400" s="1187"/>
      <c r="BJ400" s="1187"/>
      <c r="BK400" s="1187"/>
      <c r="BL400" s="1187"/>
      <c r="BM400" s="1187" t="str">
        <f t="shared" ref="BM400" si="2431">IF(ISERROR(BM399/BL399-1),"NA",BM399/BL399-1)</f>
        <v>NA</v>
      </c>
      <c r="BN400" s="1187" t="str">
        <f t="shared" ref="BN400" si="2432">IF(ISERROR(BN399/BM399-1),"NA",BN399/BM399-1)</f>
        <v>NA</v>
      </c>
      <c r="BO400" s="1187" t="str">
        <f t="shared" ref="BO400" si="2433">IF(ISERROR(BO399/BN399-1),"NA",BO399/BN399-1)</f>
        <v>NA</v>
      </c>
      <c r="BP400" s="1187" t="str">
        <f t="shared" ref="BP400" si="2434">IF(ISERROR(BP399/BO399-1),"NA",BP399/BO399-1)</f>
        <v>NA</v>
      </c>
      <c r="BR400" s="1379"/>
      <c r="BS400" s="1379"/>
      <c r="BT400" s="1379"/>
      <c r="BU400" s="1260"/>
    </row>
    <row r="401" spans="1:73" s="570" customFormat="1" hidden="1" outlineLevel="2">
      <c r="A401" s="1049" t="s">
        <v>493</v>
      </c>
      <c r="B401" s="1144"/>
      <c r="C401" s="1147"/>
      <c r="D401" s="1147"/>
      <c r="E401" s="1523"/>
      <c r="F401" s="1147"/>
      <c r="G401" s="1147"/>
      <c r="H401" s="1147"/>
      <c r="I401" s="1523"/>
      <c r="J401" s="1147"/>
      <c r="K401" s="1147"/>
      <c r="L401" s="1147"/>
      <c r="M401" s="1523"/>
      <c r="N401" s="1147"/>
      <c r="O401" s="1147"/>
      <c r="P401" s="1147"/>
      <c r="Q401" s="1562"/>
      <c r="R401" s="1147"/>
      <c r="S401" s="1147"/>
      <c r="T401" s="1147"/>
      <c r="U401" s="1562"/>
      <c r="V401" s="1147"/>
      <c r="W401" s="1207"/>
      <c r="X401" s="1147"/>
      <c r="Y401" s="1562"/>
      <c r="Z401" s="1149"/>
      <c r="AA401" s="1149"/>
      <c r="AB401" s="1149"/>
      <c r="AC401" s="1562"/>
      <c r="AD401" s="1149"/>
      <c r="AE401" s="1149"/>
      <c r="AF401" s="1149"/>
      <c r="AG401" s="1562"/>
      <c r="AH401" s="1149"/>
      <c r="AI401" s="1149"/>
      <c r="AJ401" s="1149"/>
      <c r="AK401" s="1562"/>
      <c r="AL401" s="1578"/>
      <c r="AM401" s="1578"/>
      <c r="AN401" s="1578"/>
      <c r="AO401" s="1150"/>
      <c r="AP401" s="1578"/>
      <c r="AQ401" s="1149"/>
      <c r="AR401" s="1149"/>
      <c r="AS401" s="1150"/>
      <c r="AT401" s="1149"/>
      <c r="AU401" s="1149"/>
      <c r="AV401" s="1149"/>
      <c r="AW401" s="1150"/>
      <c r="AX401" s="1149"/>
      <c r="AY401" s="1149"/>
      <c r="AZ401" s="1149"/>
      <c r="BA401" s="1150"/>
      <c r="BB401" s="1524"/>
      <c r="BC401" s="1146"/>
      <c r="BD401" s="1170"/>
      <c r="BE401" s="991"/>
      <c r="BF401" s="991"/>
      <c r="BG401" s="1153"/>
      <c r="BH401" s="991"/>
      <c r="BI401" s="1171"/>
      <c r="BJ401" s="1171"/>
      <c r="BK401" s="1171"/>
      <c r="BL401" s="1171"/>
      <c r="BM401" s="1171"/>
      <c r="BN401" s="1171"/>
      <c r="BO401" s="1171"/>
      <c r="BP401" s="1171"/>
      <c r="BR401" s="1440"/>
      <c r="BS401" s="1440"/>
      <c r="BT401" s="1440"/>
      <c r="BU401" s="1260"/>
    </row>
    <row r="402" spans="1:73" s="305" customFormat="1" ht="12" hidden="1" customHeight="1" outlineLevel="2">
      <c r="A402" s="1037" t="s">
        <v>181</v>
      </c>
      <c r="B402" s="837"/>
      <c r="C402" s="837"/>
      <c r="D402" s="837"/>
      <c r="E402" s="838"/>
      <c r="F402" s="1044"/>
      <c r="G402" s="837"/>
      <c r="H402" s="837"/>
      <c r="I402" s="838"/>
      <c r="J402" s="1044"/>
      <c r="K402" s="837"/>
      <c r="L402" s="837"/>
      <c r="M402" s="838"/>
      <c r="N402" s="1044"/>
      <c r="O402" s="837"/>
      <c r="P402" s="837"/>
      <c r="Q402" s="838"/>
      <c r="R402" s="837"/>
      <c r="S402" s="837"/>
      <c r="T402" s="837"/>
      <c r="U402" s="838"/>
      <c r="V402" s="837"/>
      <c r="W402" s="837"/>
      <c r="X402" s="837"/>
      <c r="Y402" s="838"/>
      <c r="Z402" s="836"/>
      <c r="AA402" s="837"/>
      <c r="AB402" s="837"/>
      <c r="AC402" s="838"/>
      <c r="AD402" s="837"/>
      <c r="AE402" s="837"/>
      <c r="AF402" s="837"/>
      <c r="AG402" s="838"/>
      <c r="AH402" s="837"/>
      <c r="AI402" s="837"/>
      <c r="AJ402" s="837"/>
      <c r="AK402" s="838"/>
      <c r="AL402" s="1577"/>
      <c r="AM402" s="1577"/>
      <c r="AN402" s="1577"/>
      <c r="AO402" s="1580"/>
      <c r="AP402" s="1577"/>
      <c r="AQ402" s="837"/>
      <c r="AR402" s="837"/>
      <c r="AS402" s="838"/>
      <c r="AT402" s="837"/>
      <c r="AU402" s="837"/>
      <c r="AV402" s="837"/>
      <c r="AW402" s="838"/>
      <c r="AX402" s="837"/>
      <c r="AY402" s="837"/>
      <c r="AZ402" s="837"/>
      <c r="BA402" s="838"/>
      <c r="BB402" s="401"/>
      <c r="BC402" s="985"/>
      <c r="BD402" s="985"/>
      <c r="BE402" s="985"/>
      <c r="BF402" s="985"/>
      <c r="BG402" s="1187"/>
      <c r="BH402" s="1187"/>
      <c r="BI402" s="1187"/>
      <c r="BJ402" s="1187"/>
      <c r="BK402" s="1187"/>
      <c r="BL402" s="1187"/>
      <c r="BM402" s="1187" t="str">
        <f t="shared" ref="BM402" si="2435">IF(ISERROR(BM401/BL401-1),"NA",BM401/BL401-1)</f>
        <v>NA</v>
      </c>
      <c r="BN402" s="1187" t="str">
        <f t="shared" ref="BN402" si="2436">IF(ISERROR(BN401/BM401-1),"NA",BN401/BM401-1)</f>
        <v>NA</v>
      </c>
      <c r="BO402" s="1187" t="str">
        <f t="shared" ref="BO402" si="2437">IF(ISERROR(BO401/BN401-1),"NA",BO401/BN401-1)</f>
        <v>NA</v>
      </c>
      <c r="BP402" s="1187" t="str">
        <f t="shared" ref="BP402" si="2438">IF(ISERROR(BP401/BO401-1),"NA",BP401/BO401-1)</f>
        <v>NA</v>
      </c>
      <c r="BR402" s="1379"/>
      <c r="BS402" s="1379"/>
      <c r="BT402" s="1379"/>
      <c r="BU402" s="1260"/>
    </row>
    <row r="403" spans="1:73" s="570" customFormat="1" ht="12" hidden="1" customHeight="1" outlineLevel="2">
      <c r="A403" s="1049" t="s">
        <v>492</v>
      </c>
      <c r="B403" s="1144"/>
      <c r="C403" s="1147"/>
      <c r="D403" s="1147"/>
      <c r="E403" s="1523"/>
      <c r="F403" s="1147"/>
      <c r="G403" s="1147"/>
      <c r="H403" s="1147"/>
      <c r="I403" s="1523"/>
      <c r="J403" s="1147"/>
      <c r="K403" s="1147"/>
      <c r="L403" s="1147"/>
      <c r="M403" s="1523"/>
      <c r="N403" s="1147"/>
      <c r="O403" s="1147"/>
      <c r="P403" s="1147"/>
      <c r="Q403" s="1562"/>
      <c r="R403" s="1147"/>
      <c r="S403" s="1147"/>
      <c r="T403" s="1147"/>
      <c r="U403" s="1562"/>
      <c r="V403" s="1147"/>
      <c r="W403" s="1207"/>
      <c r="X403" s="1147"/>
      <c r="Y403" s="1562"/>
      <c r="Z403" s="1149"/>
      <c r="AA403" s="1149"/>
      <c r="AB403" s="1149"/>
      <c r="AC403" s="1562"/>
      <c r="AD403" s="1149"/>
      <c r="AE403" s="1149"/>
      <c r="AF403" s="1149"/>
      <c r="AG403" s="1562"/>
      <c r="AH403" s="1149"/>
      <c r="AI403" s="1149"/>
      <c r="AJ403" s="1149"/>
      <c r="AK403" s="1562"/>
      <c r="AL403" s="1578"/>
      <c r="AM403" s="1578"/>
      <c r="AN403" s="1578"/>
      <c r="AO403" s="1581"/>
      <c r="AP403" s="1578"/>
      <c r="AQ403" s="1149"/>
      <c r="AR403" s="1149"/>
      <c r="AS403" s="1150"/>
      <c r="AT403" s="1149"/>
      <c r="AU403" s="1149"/>
      <c r="AV403" s="1149"/>
      <c r="AW403" s="1150"/>
      <c r="AX403" s="1149"/>
      <c r="AY403" s="1149"/>
      <c r="AZ403" s="1149"/>
      <c r="BA403" s="1150"/>
      <c r="BB403" s="1524"/>
      <c r="BC403" s="1146"/>
      <c r="BD403" s="1170"/>
      <c r="BE403" s="991"/>
      <c r="BF403" s="991"/>
      <c r="BG403" s="1153"/>
      <c r="BH403" s="991"/>
      <c r="BI403" s="1171"/>
      <c r="BJ403" s="1171"/>
      <c r="BK403" s="1171"/>
      <c r="BL403" s="1171"/>
      <c r="BM403" s="1171"/>
      <c r="BN403" s="1171"/>
      <c r="BO403" s="1171"/>
      <c r="BP403" s="1171"/>
      <c r="BR403" s="1440"/>
      <c r="BS403" s="1440"/>
      <c r="BT403" s="1440"/>
      <c r="BU403" s="1260"/>
    </row>
    <row r="404" spans="1:73" s="305" customFormat="1" ht="12" hidden="1" customHeight="1" outlineLevel="2">
      <c r="A404" s="1037" t="s">
        <v>181</v>
      </c>
      <c r="B404" s="837"/>
      <c r="C404" s="837"/>
      <c r="D404" s="837"/>
      <c r="E404" s="838"/>
      <c r="F404" s="1044"/>
      <c r="G404" s="837"/>
      <c r="H404" s="837"/>
      <c r="I404" s="838"/>
      <c r="J404" s="1044"/>
      <c r="K404" s="837"/>
      <c r="L404" s="837"/>
      <c r="M404" s="838"/>
      <c r="N404" s="1044"/>
      <c r="O404" s="837"/>
      <c r="P404" s="837"/>
      <c r="Q404" s="838"/>
      <c r="R404" s="837"/>
      <c r="S404" s="837"/>
      <c r="T404" s="837"/>
      <c r="U404" s="838"/>
      <c r="V404" s="837"/>
      <c r="W404" s="837"/>
      <c r="X404" s="837"/>
      <c r="Y404" s="838"/>
      <c r="Z404" s="836"/>
      <c r="AA404" s="837"/>
      <c r="AB404" s="837"/>
      <c r="AC404" s="838"/>
      <c r="AD404" s="837"/>
      <c r="AE404" s="837"/>
      <c r="AF404" s="837"/>
      <c r="AG404" s="838"/>
      <c r="AH404" s="837"/>
      <c r="AI404" s="837"/>
      <c r="AJ404" s="837"/>
      <c r="AK404" s="838"/>
      <c r="AL404" s="1577"/>
      <c r="AM404" s="1577"/>
      <c r="AN404" s="1577"/>
      <c r="AO404" s="1580"/>
      <c r="AP404" s="1577"/>
      <c r="AQ404" s="837"/>
      <c r="AR404" s="837"/>
      <c r="AS404" s="838"/>
      <c r="AT404" s="837"/>
      <c r="AU404" s="837"/>
      <c r="AV404" s="837"/>
      <c r="AW404" s="838"/>
      <c r="AX404" s="837"/>
      <c r="AY404" s="837"/>
      <c r="AZ404" s="837"/>
      <c r="BA404" s="838"/>
      <c r="BB404" s="401"/>
      <c r="BC404" s="985"/>
      <c r="BD404" s="985"/>
      <c r="BE404" s="985"/>
      <c r="BF404" s="985"/>
      <c r="BG404" s="1187"/>
      <c r="BH404" s="1187"/>
      <c r="BI404" s="1187"/>
      <c r="BJ404" s="1187"/>
      <c r="BK404" s="1187"/>
      <c r="BL404" s="1187"/>
      <c r="BM404" s="1187" t="str">
        <f t="shared" ref="BM404" si="2439">IF(ISERROR(BM403/BL403-1),"NA",BM403/BL403-1)</f>
        <v>NA</v>
      </c>
      <c r="BN404" s="1187" t="str">
        <f t="shared" ref="BN404" si="2440">IF(ISERROR(BN403/BM403-1),"NA",BN403/BM403-1)</f>
        <v>NA</v>
      </c>
      <c r="BO404" s="1187" t="str">
        <f t="shared" ref="BO404" si="2441">IF(ISERROR(BO403/BN403-1),"NA",BO403/BN403-1)</f>
        <v>NA</v>
      </c>
      <c r="BP404" s="1187" t="str">
        <f t="shared" ref="BP404" si="2442">IF(ISERROR(BP403/BO403-1),"NA",BP403/BO403-1)</f>
        <v>NA</v>
      </c>
      <c r="BR404" s="1379"/>
      <c r="BS404" s="1379"/>
      <c r="BT404" s="1379"/>
      <c r="BU404" s="1260"/>
    </row>
    <row r="405" spans="1:73" s="305" customFormat="1" ht="12" hidden="1" customHeight="1" outlineLevel="2">
      <c r="A405" s="1107" t="s">
        <v>490</v>
      </c>
      <c r="B405" s="837"/>
      <c r="C405" s="837"/>
      <c r="D405" s="837"/>
      <c r="E405" s="838"/>
      <c r="F405" s="837"/>
      <c r="G405" s="837"/>
      <c r="H405" s="837"/>
      <c r="I405" s="838"/>
      <c r="J405" s="837"/>
      <c r="K405" s="837"/>
      <c r="L405" s="837"/>
      <c r="M405" s="838"/>
      <c r="N405" s="836"/>
      <c r="O405" s="836"/>
      <c r="P405" s="836"/>
      <c r="Q405" s="1543">
        <f>+Q394-Q414</f>
        <v>4.0599999999999996</v>
      </c>
      <c r="R405" s="836"/>
      <c r="S405" s="836"/>
      <c r="T405" s="836"/>
      <c r="U405" s="1543">
        <f>+U394-U414</f>
        <v>4.5199999999999996</v>
      </c>
      <c r="V405" s="836"/>
      <c r="W405" s="836"/>
      <c r="X405" s="836"/>
      <c r="Y405" s="1543">
        <f>+Y394-Y414</f>
        <v>5.1819999999999995</v>
      </c>
      <c r="Z405" s="836"/>
      <c r="AA405" s="836"/>
      <c r="AB405" s="836"/>
      <c r="AC405" s="1543">
        <f>+AC394-AC414</f>
        <v>5.7350000000000003</v>
      </c>
      <c r="AD405" s="836"/>
      <c r="AE405" s="836"/>
      <c r="AF405" s="836"/>
      <c r="AG405" s="1543">
        <f>+AG394-AG414</f>
        <v>6.2779999999999996</v>
      </c>
      <c r="AH405" s="398"/>
      <c r="AI405" s="398"/>
      <c r="AJ405" s="398"/>
      <c r="AK405" s="1543">
        <f>+AK394-AK414</f>
        <v>6.9320000000000004</v>
      </c>
      <c r="AL405" s="1576"/>
      <c r="AM405" s="1576"/>
      <c r="AN405" s="1576"/>
      <c r="AO405" s="401"/>
      <c r="AP405" s="1576"/>
      <c r="AQ405" s="398"/>
      <c r="AR405" s="398"/>
      <c r="AS405" s="401"/>
      <c r="AT405" s="398"/>
      <c r="AU405" s="398"/>
      <c r="AV405" s="398"/>
      <c r="AW405" s="401"/>
      <c r="AX405" s="398"/>
      <c r="AY405" s="398"/>
      <c r="AZ405" s="398"/>
      <c r="BA405" s="401"/>
      <c r="BB405" s="401"/>
      <c r="BC405" s="1084"/>
      <c r="BD405" s="1170"/>
      <c r="BE405" s="991"/>
      <c r="BF405" s="991"/>
      <c r="BG405" s="1153"/>
      <c r="BH405" s="991"/>
      <c r="BI405" s="1171"/>
      <c r="BJ405" s="1171"/>
      <c r="BK405" s="1171"/>
      <c r="BL405" s="1171"/>
      <c r="BM405" s="1171"/>
      <c r="BN405" s="1171"/>
      <c r="BO405" s="1171"/>
      <c r="BP405" s="1171"/>
      <c r="BR405" s="1379"/>
      <c r="BS405" s="1379"/>
      <c r="BT405" s="1379"/>
      <c r="BU405" s="1260"/>
    </row>
    <row r="406" spans="1:73" s="305" customFormat="1" ht="12" hidden="1" customHeight="1" outlineLevel="2">
      <c r="A406" s="1037" t="s">
        <v>181</v>
      </c>
      <c r="B406" s="837"/>
      <c r="C406" s="837"/>
      <c r="D406" s="837"/>
      <c r="E406" s="838"/>
      <c r="F406" s="837"/>
      <c r="G406" s="837"/>
      <c r="H406" s="837"/>
      <c r="I406" s="838"/>
      <c r="J406" s="837"/>
      <c r="K406" s="837"/>
      <c r="L406" s="837"/>
      <c r="M406" s="838"/>
      <c r="N406" s="836"/>
      <c r="O406" s="836"/>
      <c r="P406" s="836"/>
      <c r="Q406" s="838"/>
      <c r="R406" s="837"/>
      <c r="S406" s="837"/>
      <c r="T406" s="837"/>
      <c r="U406" s="838">
        <f>+U405/Q405-1</f>
        <v>0.11330049261083741</v>
      </c>
      <c r="V406" s="837"/>
      <c r="W406" s="837"/>
      <c r="X406" s="837"/>
      <c r="Y406" s="838">
        <f>+Y405/U405-1</f>
        <v>0.14646017699115044</v>
      </c>
      <c r="Z406" s="836"/>
      <c r="AA406" s="837"/>
      <c r="AB406" s="837"/>
      <c r="AC406" s="838">
        <f>+AC405/Y405-1</f>
        <v>0.10671555384021625</v>
      </c>
      <c r="AD406" s="837"/>
      <c r="AE406" s="837"/>
      <c r="AF406" s="837"/>
      <c r="AG406" s="838">
        <f>+AG405/AC405-1</f>
        <v>9.4681778552746065E-2</v>
      </c>
      <c r="AH406" s="837"/>
      <c r="AI406" s="837"/>
      <c r="AJ406" s="837"/>
      <c r="AK406" s="838">
        <f>+AK405/AG405-1</f>
        <v>0.10417330359987265</v>
      </c>
      <c r="AL406" s="1577"/>
      <c r="AM406" s="1577"/>
      <c r="AN406" s="1577"/>
      <c r="AO406" s="401"/>
      <c r="AP406" s="1577"/>
      <c r="AQ406" s="398"/>
      <c r="AR406" s="398"/>
      <c r="AS406" s="401"/>
      <c r="AT406" s="398"/>
      <c r="AU406" s="398"/>
      <c r="AV406" s="398"/>
      <c r="AW406" s="401"/>
      <c r="AX406" s="398"/>
      <c r="AY406" s="398"/>
      <c r="AZ406" s="398"/>
      <c r="BA406" s="401"/>
      <c r="BB406" s="401"/>
      <c r="BC406" s="1115">
        <v>0.877</v>
      </c>
      <c r="BD406" s="1112">
        <v>1.226</v>
      </c>
      <c r="BE406" s="1116">
        <v>1.881</v>
      </c>
      <c r="BF406" s="1115">
        <v>2.6120000000000001</v>
      </c>
      <c r="BG406" s="1112">
        <v>3.3</v>
      </c>
      <c r="BH406" s="1116"/>
      <c r="BI406" s="1171"/>
      <c r="BJ406" s="1171"/>
      <c r="BK406" s="1171"/>
      <c r="BL406" s="1171"/>
      <c r="BM406" s="1171"/>
      <c r="BN406" s="1171"/>
      <c r="BO406" s="1171"/>
      <c r="BP406" s="1171"/>
      <c r="BR406" s="1379"/>
      <c r="BS406" s="1379"/>
      <c r="BT406" s="1379"/>
      <c r="BU406" s="1260"/>
    </row>
    <row r="407" spans="1:73" s="1035" customFormat="1" ht="12" hidden="1" customHeight="1" outlineLevel="2">
      <c r="A407" s="1034" t="s">
        <v>291</v>
      </c>
      <c r="B407" s="837"/>
      <c r="C407" s="837"/>
      <c r="D407" s="837"/>
      <c r="E407" s="838"/>
      <c r="F407" s="837"/>
      <c r="G407" s="837"/>
      <c r="H407" s="837"/>
      <c r="I407" s="838"/>
      <c r="J407" s="837"/>
      <c r="K407" s="837"/>
      <c r="L407" s="837"/>
      <c r="M407" s="838"/>
      <c r="N407" s="836"/>
      <c r="O407" s="836"/>
      <c r="P407" s="836"/>
      <c r="Q407" s="1041"/>
      <c r="R407" s="836"/>
      <c r="S407" s="836"/>
      <c r="T407" s="836"/>
      <c r="U407" s="1041"/>
      <c r="V407" s="836"/>
      <c r="W407" s="836"/>
      <c r="X407" s="836"/>
      <c r="Y407" s="1041"/>
      <c r="Z407" s="836"/>
      <c r="AA407" s="836"/>
      <c r="AB407" s="836"/>
      <c r="AC407" s="1041"/>
      <c r="AD407" s="836"/>
      <c r="AE407" s="836"/>
      <c r="AF407" s="836"/>
      <c r="AG407" s="1041"/>
      <c r="AH407" s="1175"/>
      <c r="AI407" s="1175"/>
      <c r="AJ407" s="1175"/>
      <c r="AK407" s="1041"/>
      <c r="AL407" s="1175"/>
      <c r="AM407" s="1175"/>
      <c r="AN407" s="1175"/>
      <c r="AO407" s="1176"/>
      <c r="AP407" s="1175"/>
      <c r="AQ407" s="1175"/>
      <c r="AR407" s="1175"/>
      <c r="AS407" s="1176"/>
      <c r="AT407" s="1175"/>
      <c r="AU407" s="1175"/>
      <c r="AV407" s="1175"/>
      <c r="AW407" s="1176"/>
      <c r="AX407" s="1175"/>
      <c r="AY407" s="1175"/>
      <c r="AZ407" s="1175"/>
      <c r="BA407" s="1176"/>
      <c r="BB407" s="1176"/>
      <c r="BC407" s="1177" t="e">
        <f>+BC406/BC108</f>
        <v>#DIV/0!</v>
      </c>
      <c r="BD407" s="1177" t="e">
        <f>+BD406/BD108</f>
        <v>#DIV/0!</v>
      </c>
      <c r="BE407" s="1177" t="e">
        <f>+BE406/BE108</f>
        <v>#DIV/0!</v>
      </c>
      <c r="BF407" s="1177" t="e">
        <f>+BF406/BF108</f>
        <v>#DIV/0!</v>
      </c>
      <c r="BG407" s="1177" t="e">
        <f>+BG406/BG108</f>
        <v>#DIV/0!</v>
      </c>
      <c r="BH407" s="991"/>
      <c r="BI407" s="1171"/>
      <c r="BJ407" s="1171"/>
      <c r="BK407" s="1171"/>
      <c r="BL407" s="1171"/>
      <c r="BM407" s="1171"/>
      <c r="BN407" s="1171"/>
      <c r="BO407" s="1171"/>
      <c r="BP407" s="1171"/>
      <c r="BR407" s="1441"/>
      <c r="BS407" s="1441"/>
      <c r="BT407" s="1441"/>
      <c r="BU407" s="1260"/>
    </row>
    <row r="408" spans="1:73" s="1038" customFormat="1" ht="12" hidden="1" customHeight="1" outlineLevel="2">
      <c r="A408" s="1049" t="s">
        <v>385</v>
      </c>
      <c r="B408" s="837"/>
      <c r="C408" s="837"/>
      <c r="D408" s="837"/>
      <c r="E408" s="838"/>
      <c r="F408" s="837"/>
      <c r="G408" s="837"/>
      <c r="H408" s="837"/>
      <c r="I408" s="838"/>
      <c r="J408" s="837"/>
      <c r="K408" s="837"/>
      <c r="L408" s="837"/>
      <c r="M408" s="838"/>
      <c r="N408" s="836"/>
      <c r="O408" s="836"/>
      <c r="P408" s="836"/>
      <c r="Q408" s="1041"/>
      <c r="R408" s="836"/>
      <c r="S408" s="836"/>
      <c r="T408" s="836"/>
      <c r="U408" s="1148">
        <f>+U405-Q405</f>
        <v>0.45999999999999996</v>
      </c>
      <c r="V408" s="1147"/>
      <c r="W408" s="1207"/>
      <c r="X408" s="1147"/>
      <c r="Y408" s="1148">
        <f>+Y405-U405</f>
        <v>0.66199999999999992</v>
      </c>
      <c r="Z408" s="1149"/>
      <c r="AA408" s="1149"/>
      <c r="AB408" s="1149"/>
      <c r="AC408" s="1148">
        <f>+AC405-Y405</f>
        <v>0.55300000000000082</v>
      </c>
      <c r="AD408" s="1149"/>
      <c r="AE408" s="1149"/>
      <c r="AF408" s="1149"/>
      <c r="AG408" s="1148">
        <f>+AG405-AC405</f>
        <v>0.54299999999999926</v>
      </c>
      <c r="AH408" s="1149"/>
      <c r="AI408" s="1149"/>
      <c r="AJ408" s="1149"/>
      <c r="AK408" s="1148">
        <f>+AK405-AG405</f>
        <v>0.6540000000000008</v>
      </c>
      <c r="AL408" s="1040"/>
      <c r="AM408" s="1040"/>
      <c r="AN408" s="1040"/>
      <c r="AO408" s="1173"/>
      <c r="AP408" s="1040"/>
      <c r="AQ408" s="1040"/>
      <c r="AR408" s="1040"/>
      <c r="AS408" s="1173"/>
      <c r="AT408" s="1040"/>
      <c r="AU408" s="1040"/>
      <c r="AV408" s="1040"/>
      <c r="AW408" s="1173"/>
      <c r="AX408" s="1040"/>
      <c r="AY408" s="1040"/>
      <c r="AZ408" s="1040"/>
      <c r="BA408" s="1173"/>
      <c r="BB408" s="1173"/>
      <c r="BC408" s="1178">
        <v>425</v>
      </c>
      <c r="BD408" s="1174">
        <v>420</v>
      </c>
      <c r="BE408" s="1179">
        <v>434</v>
      </c>
      <c r="BF408" s="1178">
        <v>490</v>
      </c>
      <c r="BG408" s="1174">
        <v>553</v>
      </c>
      <c r="BH408" s="991"/>
      <c r="BI408" s="1171"/>
      <c r="BJ408" s="1171"/>
      <c r="BK408" s="1171"/>
      <c r="BL408" s="1171"/>
      <c r="BM408" s="1171"/>
      <c r="BN408" s="1171"/>
      <c r="BO408" s="1171"/>
      <c r="BP408" s="1171"/>
      <c r="BR408" s="1439"/>
      <c r="BS408" s="1439"/>
      <c r="BT408" s="1439"/>
      <c r="BU408" s="1260"/>
    </row>
    <row r="409" spans="1:73" s="570" customFormat="1" ht="12" hidden="1" customHeight="1" outlineLevel="2">
      <c r="A409" s="1049" t="s">
        <v>492</v>
      </c>
      <c r="B409" s="1144"/>
      <c r="C409" s="1147"/>
      <c r="D409" s="1147"/>
      <c r="E409" s="1523"/>
      <c r="F409" s="1147"/>
      <c r="G409" s="1147"/>
      <c r="H409" s="1147"/>
      <c r="I409" s="1523"/>
      <c r="J409" s="1147"/>
      <c r="K409" s="1147"/>
      <c r="L409" s="1147"/>
      <c r="M409" s="1523"/>
      <c r="N409" s="1147"/>
      <c r="O409" s="1147"/>
      <c r="P409" s="1147"/>
      <c r="Q409" s="1148"/>
      <c r="R409" s="1147"/>
      <c r="S409" s="1147"/>
      <c r="T409" s="1147"/>
      <c r="U409" s="1562">
        <f>+SUM(R381:U381)/U405</f>
        <v>0</v>
      </c>
      <c r="V409" s="1147"/>
      <c r="W409" s="1207"/>
      <c r="X409" s="1147"/>
      <c r="Y409" s="1562">
        <f>+SUM(V381:Y381)/Y405</f>
        <v>0</v>
      </c>
      <c r="Z409" s="1149"/>
      <c r="AA409" s="1149"/>
      <c r="AB409" s="1149"/>
      <c r="AC409" s="1562">
        <f>+SUM(Z381:AC381)/AC405</f>
        <v>0</v>
      </c>
      <c r="AD409" s="1149"/>
      <c r="AE409" s="1149"/>
      <c r="AF409" s="1149"/>
      <c r="AG409" s="1562">
        <f>+SUM(AD381:AG381)/AG405</f>
        <v>0</v>
      </c>
      <c r="AH409" s="1149"/>
      <c r="AI409" s="1149"/>
      <c r="AJ409" s="1149"/>
      <c r="AK409" s="1562">
        <f>+SUM(AH381:AK381)/AK405</f>
        <v>0</v>
      </c>
      <c r="AL409" s="1149"/>
      <c r="AM409" s="1149"/>
      <c r="AN409" s="1149"/>
      <c r="AO409" s="1150"/>
      <c r="AP409" s="1149"/>
      <c r="AQ409" s="1149"/>
      <c r="AR409" s="1149"/>
      <c r="AS409" s="1150"/>
      <c r="AT409" s="1149"/>
      <c r="AU409" s="1149"/>
      <c r="AV409" s="1149"/>
      <c r="AW409" s="1150"/>
      <c r="AX409" s="1149"/>
      <c r="AY409" s="1149"/>
      <c r="AZ409" s="1149"/>
      <c r="BA409" s="1150"/>
      <c r="BB409" s="1524"/>
      <c r="BC409" s="1146"/>
      <c r="BD409" s="1170"/>
      <c r="BE409" s="991"/>
      <c r="BF409" s="991"/>
      <c r="BG409" s="1153"/>
      <c r="BH409" s="991"/>
      <c r="BI409" s="1171"/>
      <c r="BJ409" s="1171"/>
      <c r="BK409" s="1171"/>
      <c r="BL409" s="1171"/>
      <c r="BM409" s="1171"/>
      <c r="BN409" s="1171"/>
      <c r="BO409" s="1171"/>
      <c r="BP409" s="1171"/>
      <c r="BR409" s="1440"/>
      <c r="BS409" s="1440"/>
      <c r="BT409" s="1440"/>
      <c r="BU409" s="1260"/>
    </row>
    <row r="410" spans="1:73" s="1038" customFormat="1" ht="12" hidden="1" customHeight="1" outlineLevel="2">
      <c r="A410" s="1510" t="s">
        <v>480</v>
      </c>
      <c r="B410" s="837"/>
      <c r="C410" s="837"/>
      <c r="D410" s="837"/>
      <c r="E410" s="838"/>
      <c r="F410" s="837"/>
      <c r="G410" s="837"/>
      <c r="H410" s="837"/>
      <c r="I410" s="838"/>
      <c r="J410" s="837"/>
      <c r="K410" s="837"/>
      <c r="L410" s="837"/>
      <c r="M410" s="838"/>
      <c r="N410" s="836"/>
      <c r="O410" s="836"/>
      <c r="P410" s="836"/>
      <c r="Q410" s="1041"/>
      <c r="R410" s="836"/>
      <c r="S410" s="836"/>
      <c r="T410" s="836"/>
      <c r="U410" s="1041"/>
      <c r="V410" s="836"/>
      <c r="W410" s="836"/>
      <c r="X410" s="836"/>
      <c r="Y410" s="838" t="e">
        <f>+Y409/U409-1</f>
        <v>#DIV/0!</v>
      </c>
      <c r="Z410" s="836"/>
      <c r="AA410" s="836"/>
      <c r="AB410" s="836"/>
      <c r="AC410" s="838" t="e">
        <f>+AC409/Y409-1</f>
        <v>#DIV/0!</v>
      </c>
      <c r="AD410" s="836"/>
      <c r="AE410" s="836"/>
      <c r="AF410" s="836"/>
      <c r="AG410" s="838" t="e">
        <f>+AG409/AC409-1</f>
        <v>#DIV/0!</v>
      </c>
      <c r="AH410" s="1040"/>
      <c r="AI410" s="1040"/>
      <c r="AJ410" s="1040"/>
      <c r="AK410" s="838" t="e">
        <f>+AK409/AG409-1</f>
        <v>#DIV/0!</v>
      </c>
      <c r="AL410" s="1040"/>
      <c r="AM410" s="1040"/>
      <c r="AN410" s="1040"/>
      <c r="AO410" s="1173"/>
      <c r="AP410" s="1040"/>
      <c r="AQ410" s="1040"/>
      <c r="AR410" s="1040"/>
      <c r="AS410" s="1173"/>
      <c r="AT410" s="1040"/>
      <c r="AU410" s="1040"/>
      <c r="AV410" s="1040"/>
      <c r="AW410" s="1173"/>
      <c r="AX410" s="1040"/>
      <c r="AY410" s="1040"/>
      <c r="AZ410" s="1040"/>
      <c r="BA410" s="1173"/>
      <c r="BB410" s="1173"/>
      <c r="BC410" s="1178"/>
      <c r="BD410" s="1555"/>
      <c r="BE410" s="1179"/>
      <c r="BF410" s="1556"/>
      <c r="BG410" s="1179"/>
      <c r="BH410" s="991"/>
      <c r="BI410" s="1119"/>
      <c r="BJ410" s="1119"/>
      <c r="BK410" s="1119"/>
      <c r="BL410" s="1119"/>
      <c r="BM410" s="1119"/>
      <c r="BN410" s="1119"/>
      <c r="BO410" s="1119"/>
      <c r="BP410" s="1119"/>
      <c r="BR410" s="1439"/>
      <c r="BS410" s="1439"/>
      <c r="BT410" s="1439"/>
      <c r="BU410" s="1260"/>
    </row>
    <row r="411" spans="1:73" s="1038" customFormat="1" ht="12" hidden="1" customHeight="1" outlineLevel="2">
      <c r="A411" s="1554" t="s">
        <v>494</v>
      </c>
      <c r="B411" s="837"/>
      <c r="C411" s="837"/>
      <c r="D411" s="837"/>
      <c r="E411" s="838"/>
      <c r="F411" s="837"/>
      <c r="G411" s="837"/>
      <c r="H411" s="837"/>
      <c r="I411" s="838"/>
      <c r="J411" s="837"/>
      <c r="K411" s="837"/>
      <c r="L411" s="837"/>
      <c r="M411" s="838"/>
      <c r="N411" s="836"/>
      <c r="O411" s="836"/>
      <c r="P411" s="836"/>
      <c r="Q411" s="1041"/>
      <c r="R411" s="836"/>
      <c r="S411" s="836"/>
      <c r="T411" s="836"/>
      <c r="U411" s="1551">
        <f>+SUM(R381:U381)-U420</f>
        <v>-110.4</v>
      </c>
      <c r="V411" s="836"/>
      <c r="W411" s="836"/>
      <c r="X411" s="836"/>
      <c r="Y411" s="1551">
        <f>+SUM(V381:Y381)-Y420</f>
        <v>-184.07999999999998</v>
      </c>
      <c r="Z411" s="836"/>
      <c r="AA411" s="836"/>
      <c r="AB411" s="836"/>
      <c r="AC411" s="1551">
        <f>+SUM(Z381:AC381)-AC420</f>
        <v>-321.75</v>
      </c>
      <c r="AD411" s="836"/>
      <c r="AE411" s="836"/>
      <c r="AF411" s="836"/>
      <c r="AG411" s="1551">
        <f>+SUM(AD381:AG381)-AG420</f>
        <v>-502.16399999999999</v>
      </c>
      <c r="AH411" s="1040"/>
      <c r="AI411" s="1040"/>
      <c r="AJ411" s="1040"/>
      <c r="AK411" s="1551">
        <f>+SUM(AH381:AK381)-AK420</f>
        <v>-652.88099999999997</v>
      </c>
      <c r="AL411" s="1040"/>
      <c r="AM411" s="1040"/>
      <c r="AN411" s="1040"/>
      <c r="AO411" s="1173"/>
      <c r="AP411" s="1040"/>
      <c r="AQ411" s="1040"/>
      <c r="AR411" s="1040"/>
      <c r="AS411" s="1173"/>
      <c r="AT411" s="1040"/>
      <c r="AU411" s="1040"/>
      <c r="AV411" s="1040"/>
      <c r="AW411" s="1173"/>
      <c r="AX411" s="1040"/>
      <c r="AY411" s="1040"/>
      <c r="AZ411" s="1040"/>
      <c r="BA411" s="1173"/>
      <c r="BB411" s="1173"/>
      <c r="BC411" s="1178"/>
      <c r="BD411" s="1555"/>
      <c r="BE411" s="1179"/>
      <c r="BF411" s="1556"/>
      <c r="BG411" s="1179"/>
      <c r="BH411" s="991"/>
      <c r="BI411" s="1119"/>
      <c r="BJ411" s="1119"/>
      <c r="BK411" s="1119"/>
      <c r="BL411" s="1119"/>
      <c r="BM411" s="1119"/>
      <c r="BN411" s="1119"/>
      <c r="BO411" s="1119"/>
      <c r="BP411" s="1119"/>
      <c r="BR411" s="1439"/>
      <c r="BS411" s="1439"/>
      <c r="BT411" s="1439"/>
      <c r="BU411" s="1260"/>
    </row>
    <row r="412" spans="1:73" s="305" customFormat="1" ht="12" hidden="1" customHeight="1" outlineLevel="2">
      <c r="A412" s="1554" t="s">
        <v>495</v>
      </c>
      <c r="B412" s="836"/>
      <c r="C412" s="836"/>
      <c r="D412" s="836"/>
      <c r="E412" s="1041"/>
      <c r="F412" s="836"/>
      <c r="G412" s="836"/>
      <c r="H412" s="836"/>
      <c r="I412" s="1041"/>
      <c r="J412" s="836"/>
      <c r="K412" s="836"/>
      <c r="L412" s="836"/>
      <c r="M412" s="1041"/>
      <c r="N412" s="836"/>
      <c r="O412" s="836"/>
      <c r="P412" s="836"/>
      <c r="Q412" s="1041"/>
      <c r="R412" s="836"/>
      <c r="S412" s="836"/>
      <c r="T412" s="836"/>
      <c r="U412" s="1041" t="e">
        <f>+U411/SUM(R381:U381)</f>
        <v>#DIV/0!</v>
      </c>
      <c r="V412" s="836"/>
      <c r="W412" s="836"/>
      <c r="X412" s="836"/>
      <c r="Y412" s="1041" t="e">
        <f>+Y411/SUM(V381:Y381)</f>
        <v>#DIV/0!</v>
      </c>
      <c r="Z412" s="836"/>
      <c r="AA412" s="836"/>
      <c r="AB412" s="836"/>
      <c r="AC412" s="1041" t="e">
        <f>+AC411/SUM(Z381:AC381)</f>
        <v>#DIV/0!</v>
      </c>
      <c r="AD412" s="836"/>
      <c r="AE412" s="836"/>
      <c r="AF412" s="836"/>
      <c r="AG412" s="1041" t="e">
        <f>+AG411/SUM(AD381:AG381)</f>
        <v>#DIV/0!</v>
      </c>
      <c r="AH412" s="398"/>
      <c r="AI412" s="398"/>
      <c r="AJ412" s="398"/>
      <c r="AK412" s="1041" t="e">
        <f>+AK411/SUM(AH381:AK381)</f>
        <v>#DIV/0!</v>
      </c>
      <c r="AL412" s="398"/>
      <c r="AM412" s="398"/>
      <c r="AN412" s="398"/>
      <c r="AO412" s="401"/>
      <c r="AP412" s="398"/>
      <c r="AQ412" s="398"/>
      <c r="AR412" s="398"/>
      <c r="AS412" s="401"/>
      <c r="AT412" s="398"/>
      <c r="AU412" s="398"/>
      <c r="AV412" s="398"/>
      <c r="AW412" s="401"/>
      <c r="AX412" s="398"/>
      <c r="AY412" s="398"/>
      <c r="AZ412" s="398"/>
      <c r="BA412" s="401"/>
      <c r="BB412" s="401"/>
      <c r="BC412" s="636"/>
      <c r="BD412" s="1170"/>
      <c r="BE412" s="991"/>
      <c r="BF412" s="990"/>
      <c r="BG412" s="991"/>
      <c r="BH412" s="991"/>
      <c r="BI412" s="1119"/>
      <c r="BJ412" s="1119"/>
      <c r="BK412" s="1119"/>
      <c r="BL412" s="1119"/>
      <c r="BM412" s="1119"/>
      <c r="BN412" s="1119"/>
      <c r="BO412" s="1119"/>
      <c r="BP412" s="1119"/>
      <c r="BR412" s="1379"/>
      <c r="BS412" s="1379"/>
      <c r="BT412" s="1379"/>
      <c r="BU412" s="1545"/>
    </row>
    <row r="413" spans="1:73" s="305" customFormat="1" ht="12" hidden="1" customHeight="1" outlineLevel="2">
      <c r="A413" s="1554" t="s">
        <v>496</v>
      </c>
      <c r="B413" s="837"/>
      <c r="C413" s="837"/>
      <c r="D413" s="837"/>
      <c r="E413" s="838"/>
      <c r="F413" s="837"/>
      <c r="G413" s="837"/>
      <c r="H413" s="837"/>
      <c r="I413" s="838"/>
      <c r="J413" s="837"/>
      <c r="K413" s="837"/>
      <c r="L413" s="837"/>
      <c r="M413" s="838"/>
      <c r="N413" s="836"/>
      <c r="O413" s="836"/>
      <c r="P413" s="836"/>
      <c r="Q413" s="1041"/>
      <c r="R413" s="836"/>
      <c r="S413" s="836"/>
      <c r="T413" s="836"/>
      <c r="U413" s="1041">
        <f>+U405/U394</f>
        <v>0.9826086956521739</v>
      </c>
      <c r="V413" s="836"/>
      <c r="W413" s="836"/>
      <c r="X413" s="836"/>
      <c r="Y413" s="1041">
        <f>+Y405/Y394</f>
        <v>0.97773584905660371</v>
      </c>
      <c r="Z413" s="836"/>
      <c r="AA413" s="836"/>
      <c r="AB413" s="836"/>
      <c r="AC413" s="1041">
        <f>+AC405/AC394</f>
        <v>0.97203389830508469</v>
      </c>
      <c r="AD413" s="836"/>
      <c r="AE413" s="836"/>
      <c r="AF413" s="836"/>
      <c r="AG413" s="1041">
        <f>+AG405/AG394</f>
        <v>0.9658461538461538</v>
      </c>
      <c r="AH413" s="398"/>
      <c r="AI413" s="398"/>
      <c r="AJ413" s="398"/>
      <c r="AK413" s="1041">
        <f>+AK405/AK394</f>
        <v>0.96077616077616068</v>
      </c>
      <c r="AL413" s="398"/>
      <c r="AM413" s="398"/>
      <c r="AN413" s="398"/>
      <c r="AO413" s="401"/>
      <c r="AP413" s="398"/>
      <c r="AQ413" s="398"/>
      <c r="AR413" s="398"/>
      <c r="AS413" s="401"/>
      <c r="AT413" s="398"/>
      <c r="AU413" s="398"/>
      <c r="AV413" s="398"/>
      <c r="AW413" s="401"/>
      <c r="AX413" s="398"/>
      <c r="AY413" s="398"/>
      <c r="AZ413" s="398"/>
      <c r="BA413" s="401"/>
      <c r="BB413" s="401"/>
      <c r="BC413" s="1115">
        <v>0.19800000000000001</v>
      </c>
      <c r="BD413" s="1112">
        <v>0.28699999999999998</v>
      </c>
      <c r="BE413" s="1116">
        <v>0.503</v>
      </c>
      <c r="BF413" s="1115">
        <v>0.8</v>
      </c>
      <c r="BG413" s="1112">
        <v>1.286</v>
      </c>
      <c r="BH413" s="991"/>
      <c r="BI413" s="1171"/>
      <c r="BJ413" s="1171"/>
      <c r="BK413" s="1171"/>
      <c r="BL413" s="1171"/>
      <c r="BM413" s="1171"/>
      <c r="BN413" s="1171"/>
      <c r="BO413" s="1171"/>
      <c r="BP413" s="1171"/>
      <c r="BR413" s="1379"/>
      <c r="BS413" s="1379"/>
      <c r="BT413" s="1379"/>
      <c r="BU413" s="1260"/>
    </row>
    <row r="414" spans="1:73" s="305" customFormat="1" ht="12" hidden="1" customHeight="1" outlineLevel="2">
      <c r="A414" s="1107" t="s">
        <v>484</v>
      </c>
      <c r="B414" s="837"/>
      <c r="C414" s="837"/>
      <c r="D414" s="837"/>
      <c r="E414" s="838"/>
      <c r="F414" s="837"/>
      <c r="G414" s="837"/>
      <c r="H414" s="837"/>
      <c r="I414" s="838"/>
      <c r="J414" s="837"/>
      <c r="K414" s="837"/>
      <c r="L414" s="837"/>
      <c r="M414" s="838"/>
      <c r="N414" s="836"/>
      <c r="O414" s="836"/>
      <c r="P414" s="836"/>
      <c r="Q414" s="1152">
        <v>0.04</v>
      </c>
      <c r="R414" s="1559"/>
      <c r="S414" s="1559"/>
      <c r="T414" s="1559"/>
      <c r="U414" s="1152">
        <v>0.08</v>
      </c>
      <c r="V414" s="1559"/>
      <c r="W414" s="1559"/>
      <c r="X414" s="1559"/>
      <c r="Y414" s="1152">
        <v>0.11799999999999999</v>
      </c>
      <c r="Z414" s="1559"/>
      <c r="AA414" s="1559"/>
      <c r="AB414" s="1559"/>
      <c r="AC414" s="1152">
        <v>0.16500000000000001</v>
      </c>
      <c r="AD414" s="1559"/>
      <c r="AE414" s="1559"/>
      <c r="AF414" s="1559"/>
      <c r="AG414" s="1152">
        <v>0.222</v>
      </c>
      <c r="AH414" s="1560"/>
      <c r="AI414" s="1560"/>
      <c r="AJ414" s="1560"/>
      <c r="AK414" s="1152">
        <v>0.28299999999999997</v>
      </c>
      <c r="AL414" s="398"/>
      <c r="AM414" s="398"/>
      <c r="AN414" s="398"/>
      <c r="AO414" s="401"/>
      <c r="AP414" s="398"/>
      <c r="AQ414" s="398"/>
      <c r="AR414" s="398"/>
      <c r="AS414" s="401"/>
      <c r="AT414" s="398"/>
      <c r="AU414" s="398"/>
      <c r="AV414" s="398"/>
      <c r="AW414" s="401"/>
      <c r="AX414" s="398"/>
      <c r="AY414" s="398"/>
      <c r="AZ414" s="398"/>
      <c r="BA414" s="401"/>
      <c r="BB414" s="401"/>
      <c r="BC414" s="1084"/>
      <c r="BD414" s="1170"/>
      <c r="BE414" s="991"/>
      <c r="BF414" s="991"/>
      <c r="BG414" s="1153"/>
      <c r="BH414" s="991"/>
      <c r="BI414" s="1171"/>
      <c r="BJ414" s="1171"/>
      <c r="BK414" s="1171"/>
      <c r="BL414" s="1171"/>
      <c r="BM414" s="1171"/>
      <c r="BN414" s="1171"/>
      <c r="BO414" s="1171"/>
      <c r="BP414" s="1171"/>
      <c r="BR414" s="1379"/>
      <c r="BS414" s="1379"/>
      <c r="BT414" s="1379"/>
      <c r="BU414" s="1260"/>
    </row>
    <row r="415" spans="1:73" s="305" customFormat="1" ht="12" hidden="1" customHeight="1" outlineLevel="2">
      <c r="A415" s="1037" t="s">
        <v>181</v>
      </c>
      <c r="B415" s="837"/>
      <c r="C415" s="837"/>
      <c r="D415" s="837"/>
      <c r="E415" s="838"/>
      <c r="F415" s="837"/>
      <c r="G415" s="837"/>
      <c r="H415" s="837"/>
      <c r="I415" s="838"/>
      <c r="J415" s="837"/>
      <c r="K415" s="837"/>
      <c r="L415" s="837"/>
      <c r="M415" s="838"/>
      <c r="N415" s="836"/>
      <c r="O415" s="836"/>
      <c r="P415" s="836"/>
      <c r="Q415" s="838"/>
      <c r="R415" s="837"/>
      <c r="S415" s="837"/>
      <c r="T415" s="837"/>
      <c r="U415" s="838">
        <f>+U414/Q414-1</f>
        <v>1</v>
      </c>
      <c r="V415" s="837"/>
      <c r="W415" s="837"/>
      <c r="X415" s="837"/>
      <c r="Y415" s="838">
        <f>+Y414/U414-1</f>
        <v>0.47499999999999987</v>
      </c>
      <c r="Z415" s="836"/>
      <c r="AA415" s="837"/>
      <c r="AB415" s="837"/>
      <c r="AC415" s="838">
        <f>+AC414/Y414-1</f>
        <v>0.39830508474576276</v>
      </c>
      <c r="AD415" s="837"/>
      <c r="AE415" s="837"/>
      <c r="AF415" s="837"/>
      <c r="AG415" s="838">
        <f>+AG414/AC414-1</f>
        <v>0.34545454545454546</v>
      </c>
      <c r="AH415" s="837"/>
      <c r="AI415" s="837"/>
      <c r="AJ415" s="837"/>
      <c r="AK415" s="838">
        <f>+AK414/AG414-1</f>
        <v>0.27477477477477463</v>
      </c>
      <c r="AL415" s="398"/>
      <c r="AM415" s="398"/>
      <c r="AN415" s="398"/>
      <c r="AO415" s="401"/>
      <c r="AP415" s="398"/>
      <c r="AQ415" s="398"/>
      <c r="AR415" s="398"/>
      <c r="AS415" s="401"/>
      <c r="AT415" s="398"/>
      <c r="AU415" s="398"/>
      <c r="AV415" s="398"/>
      <c r="AW415" s="401"/>
      <c r="AX415" s="398"/>
      <c r="AY415" s="398"/>
      <c r="AZ415" s="398"/>
      <c r="BA415" s="401"/>
      <c r="BB415" s="401"/>
      <c r="BC415" s="1115">
        <v>0.877</v>
      </c>
      <c r="BD415" s="1112">
        <v>1.226</v>
      </c>
      <c r="BE415" s="1116">
        <v>1.881</v>
      </c>
      <c r="BF415" s="1115">
        <v>2.6120000000000001</v>
      </c>
      <c r="BG415" s="1112">
        <v>3.3</v>
      </c>
      <c r="BH415" s="1116"/>
      <c r="BI415" s="1171"/>
      <c r="BJ415" s="1171"/>
      <c r="BK415" s="1171"/>
      <c r="BL415" s="1171"/>
      <c r="BM415" s="1171"/>
      <c r="BN415" s="1171"/>
      <c r="BO415" s="1171"/>
      <c r="BP415" s="1171"/>
      <c r="BR415" s="1379"/>
      <c r="BS415" s="1379"/>
      <c r="BT415" s="1379"/>
      <c r="BU415" s="1260"/>
    </row>
    <row r="416" spans="1:73" s="1035" customFormat="1" ht="12" hidden="1" customHeight="1" outlineLevel="2">
      <c r="A416" s="1034" t="s">
        <v>291</v>
      </c>
      <c r="B416" s="837"/>
      <c r="C416" s="837"/>
      <c r="D416" s="837"/>
      <c r="E416" s="838"/>
      <c r="F416" s="837"/>
      <c r="G416" s="837"/>
      <c r="H416" s="837"/>
      <c r="I416" s="838"/>
      <c r="J416" s="837"/>
      <c r="K416" s="837"/>
      <c r="L416" s="837"/>
      <c r="M416" s="838"/>
      <c r="N416" s="836"/>
      <c r="O416" s="836"/>
      <c r="P416" s="836"/>
      <c r="Q416" s="1041"/>
      <c r="R416" s="836"/>
      <c r="S416" s="836"/>
      <c r="T416" s="836"/>
      <c r="U416" s="1041"/>
      <c r="V416" s="836"/>
      <c r="W416" s="836"/>
      <c r="X416" s="836"/>
      <c r="Y416" s="838"/>
      <c r="Z416" s="836"/>
      <c r="AA416" s="836"/>
      <c r="AB416" s="836"/>
      <c r="AC416" s="1041"/>
      <c r="AD416" s="836"/>
      <c r="AE416" s="836"/>
      <c r="AF416" s="836"/>
      <c r="AG416" s="1041"/>
      <c r="AH416" s="1175"/>
      <c r="AI416" s="1175"/>
      <c r="AJ416" s="1175"/>
      <c r="AK416" s="1176"/>
      <c r="AL416" s="1175"/>
      <c r="AM416" s="1175"/>
      <c r="AN416" s="1175"/>
      <c r="AO416" s="1176"/>
      <c r="AP416" s="1175"/>
      <c r="AQ416" s="1175"/>
      <c r="AR416" s="1175"/>
      <c r="AS416" s="1176"/>
      <c r="AT416" s="1175"/>
      <c r="AU416" s="1175"/>
      <c r="AV416" s="1175"/>
      <c r="AW416" s="1176"/>
      <c r="AX416" s="1175"/>
      <c r="AY416" s="1175"/>
      <c r="AZ416" s="1175"/>
      <c r="BA416" s="1176"/>
      <c r="BB416" s="1176"/>
      <c r="BC416" s="1177">
        <f>+BC415/BC394</f>
        <v>0.81581395348837216</v>
      </c>
      <c r="BD416" s="1177">
        <f>+BD415/BD394</f>
        <v>0.81031064111037676</v>
      </c>
      <c r="BE416" s="1177">
        <f>+BE415/BE394</f>
        <v>0.78934116659672682</v>
      </c>
      <c r="BF416" s="1177">
        <f>+BF415/BF394</f>
        <v>0.76553341148886289</v>
      </c>
      <c r="BG416" s="1177">
        <f>+BG415/BG394</f>
        <v>0.72751322751322756</v>
      </c>
      <c r="BH416" s="991"/>
      <c r="BI416" s="1171"/>
      <c r="BJ416" s="1171"/>
      <c r="BK416" s="1171"/>
      <c r="BL416" s="1171"/>
      <c r="BM416" s="1171"/>
      <c r="BN416" s="1171"/>
      <c r="BO416" s="1171"/>
      <c r="BP416" s="1171"/>
      <c r="BR416" s="1441"/>
      <c r="BS416" s="1441"/>
      <c r="BT416" s="1441"/>
      <c r="BU416" s="1260"/>
    </row>
    <row r="417" spans="1:73" s="1038" customFormat="1" ht="12" hidden="1" customHeight="1" outlineLevel="2">
      <c r="A417" s="1049" t="s">
        <v>385</v>
      </c>
      <c r="B417" s="837"/>
      <c r="C417" s="837"/>
      <c r="D417" s="837"/>
      <c r="E417" s="838"/>
      <c r="F417" s="837"/>
      <c r="G417" s="837"/>
      <c r="H417" s="837"/>
      <c r="I417" s="838"/>
      <c r="J417" s="837"/>
      <c r="K417" s="837"/>
      <c r="L417" s="837"/>
      <c r="M417" s="838"/>
      <c r="N417" s="836"/>
      <c r="O417" s="836"/>
      <c r="P417" s="836"/>
      <c r="Q417" s="1041"/>
      <c r="R417" s="836"/>
      <c r="S417" s="836"/>
      <c r="T417" s="836"/>
      <c r="U417" s="1148">
        <f>+U414-Q414</f>
        <v>0.04</v>
      </c>
      <c r="V417" s="1147"/>
      <c r="W417" s="1207"/>
      <c r="X417" s="1147"/>
      <c r="Y417" s="1148">
        <f>+Y414-U414</f>
        <v>3.7999999999999992E-2</v>
      </c>
      <c r="Z417" s="1149"/>
      <c r="AA417" s="1149"/>
      <c r="AB417" s="1149"/>
      <c r="AC417" s="1148">
        <f>+AC414-Y414</f>
        <v>4.7000000000000014E-2</v>
      </c>
      <c r="AD417" s="1149"/>
      <c r="AE417" s="1149"/>
      <c r="AF417" s="1149"/>
      <c r="AG417" s="1148">
        <f>+AG414-AC414</f>
        <v>5.6999999999999995E-2</v>
      </c>
      <c r="AH417" s="1149"/>
      <c r="AI417" s="1149"/>
      <c r="AJ417" s="1149"/>
      <c r="AK417" s="1148">
        <f>+AK414-AG414</f>
        <v>6.0999999999999971E-2</v>
      </c>
      <c r="AL417" s="1040"/>
      <c r="AM417" s="1040"/>
      <c r="AN417" s="1040"/>
      <c r="AO417" s="1173"/>
      <c r="AP417" s="1040"/>
      <c r="AQ417" s="1040"/>
      <c r="AR417" s="1040"/>
      <c r="AS417" s="1173"/>
      <c r="AT417" s="1040"/>
      <c r="AU417" s="1040"/>
      <c r="AV417" s="1040"/>
      <c r="AW417" s="1173"/>
      <c r="AX417" s="1040"/>
      <c r="AY417" s="1040"/>
      <c r="AZ417" s="1040"/>
      <c r="BA417" s="1173"/>
      <c r="BB417" s="1173"/>
      <c r="BC417" s="1178">
        <v>425</v>
      </c>
      <c r="BD417" s="1174">
        <v>420</v>
      </c>
      <c r="BE417" s="1179">
        <v>434</v>
      </c>
      <c r="BF417" s="1178">
        <v>490</v>
      </c>
      <c r="BG417" s="1174">
        <v>553</v>
      </c>
      <c r="BH417" s="991"/>
      <c r="BI417" s="1171"/>
      <c r="BJ417" s="1171"/>
      <c r="BK417" s="1171"/>
      <c r="BL417" s="1171"/>
      <c r="BM417" s="1171"/>
      <c r="BN417" s="1171"/>
      <c r="BO417" s="1171"/>
      <c r="BP417" s="1171"/>
      <c r="BR417" s="1439"/>
      <c r="BS417" s="1439"/>
      <c r="BT417" s="1439"/>
      <c r="BU417" s="1260"/>
    </row>
    <row r="418" spans="1:73" s="570" customFormat="1" ht="12" hidden="1" customHeight="1" outlineLevel="2">
      <c r="A418" s="1049" t="s">
        <v>492</v>
      </c>
      <c r="B418" s="1144"/>
      <c r="C418" s="1147"/>
      <c r="D418" s="1147"/>
      <c r="E418" s="1523"/>
      <c r="F418" s="1147"/>
      <c r="G418" s="1147"/>
      <c r="H418" s="1147"/>
      <c r="I418" s="1523"/>
      <c r="J418" s="1147"/>
      <c r="K418" s="1147"/>
      <c r="L418" s="1147"/>
      <c r="M418" s="1523"/>
      <c r="N418" s="1147"/>
      <c r="O418" s="1147"/>
      <c r="P418" s="1147"/>
      <c r="Q418" s="1148"/>
      <c r="R418" s="1147"/>
      <c r="S418" s="1147"/>
      <c r="T418" s="1147"/>
      <c r="U418" s="1562">
        <v>1380</v>
      </c>
      <c r="V418" s="1147"/>
      <c r="W418" s="1207"/>
      <c r="X418" s="1147"/>
      <c r="Y418" s="1562">
        <v>1560</v>
      </c>
      <c r="Z418" s="1149"/>
      <c r="AA418" s="1149"/>
      <c r="AB418" s="1149"/>
      <c r="AC418" s="1562">
        <v>1950</v>
      </c>
      <c r="AD418" s="1149"/>
      <c r="AE418" s="1149"/>
      <c r="AF418" s="1149"/>
      <c r="AG418" s="1562">
        <v>2262</v>
      </c>
      <c r="AH418" s="1149"/>
      <c r="AI418" s="1149"/>
      <c r="AJ418" s="1149"/>
      <c r="AK418" s="1562">
        <v>2307</v>
      </c>
      <c r="AL418" s="1149"/>
      <c r="AM418" s="1149"/>
      <c r="AN418" s="1149"/>
      <c r="AO418" s="1150"/>
      <c r="AP418" s="1149"/>
      <c r="AQ418" s="1149"/>
      <c r="AR418" s="1149"/>
      <c r="AS418" s="1150"/>
      <c r="AT418" s="1149"/>
      <c r="AU418" s="1149"/>
      <c r="AV418" s="1149"/>
      <c r="AW418" s="1150"/>
      <c r="AX418" s="1149"/>
      <c r="AY418" s="1149"/>
      <c r="AZ418" s="1149"/>
      <c r="BA418" s="1150"/>
      <c r="BB418" s="1524"/>
      <c r="BC418" s="1146"/>
      <c r="BD418" s="1170"/>
      <c r="BE418" s="991"/>
      <c r="BF418" s="991"/>
      <c r="BG418" s="1153"/>
      <c r="BH418" s="991"/>
      <c r="BI418" s="1171"/>
      <c r="BJ418" s="1171"/>
      <c r="BK418" s="1171"/>
      <c r="BL418" s="1171"/>
      <c r="BM418" s="1171"/>
      <c r="BN418" s="1171"/>
      <c r="BO418" s="1171"/>
      <c r="BP418" s="1171"/>
      <c r="BR418" s="1440"/>
      <c r="BS418" s="1440"/>
      <c r="BT418" s="1440"/>
      <c r="BU418" s="1260"/>
    </row>
    <row r="419" spans="1:73" s="1038" customFormat="1" ht="12" hidden="1" customHeight="1" outlineLevel="2">
      <c r="A419" s="1510" t="s">
        <v>480</v>
      </c>
      <c r="B419" s="837"/>
      <c r="C419" s="837"/>
      <c r="D419" s="837"/>
      <c r="E419" s="838"/>
      <c r="F419" s="837"/>
      <c r="G419" s="837"/>
      <c r="H419" s="837"/>
      <c r="I419" s="838"/>
      <c r="J419" s="837"/>
      <c r="K419" s="837"/>
      <c r="L419" s="837"/>
      <c r="M419" s="838"/>
      <c r="N419" s="836"/>
      <c r="O419" s="836"/>
      <c r="P419" s="836"/>
      <c r="Q419" s="1041"/>
      <c r="R419" s="836"/>
      <c r="S419" s="836"/>
      <c r="T419" s="836"/>
      <c r="U419" s="1041"/>
      <c r="V419" s="836"/>
      <c r="W419" s="836"/>
      <c r="X419" s="836"/>
      <c r="Y419" s="838">
        <f>+Y418/U418-1</f>
        <v>0.13043478260869557</v>
      </c>
      <c r="Z419" s="836"/>
      <c r="AA419" s="836"/>
      <c r="AB419" s="836"/>
      <c r="AC419" s="838">
        <f>+AC418/Y418-1</f>
        <v>0.25</v>
      </c>
      <c r="AD419" s="836"/>
      <c r="AE419" s="836"/>
      <c r="AF419" s="836"/>
      <c r="AG419" s="838">
        <f>+AG418/AC418-1</f>
        <v>0.15999999999999992</v>
      </c>
      <c r="AH419" s="1040"/>
      <c r="AI419" s="1040"/>
      <c r="AJ419" s="1040"/>
      <c r="AK419" s="838">
        <f>+AK418/AG418-1</f>
        <v>1.9893899204244114E-2</v>
      </c>
      <c r="AL419" s="1040"/>
      <c r="AM419" s="1040"/>
      <c r="AN419" s="1040"/>
      <c r="AO419" s="1173"/>
      <c r="AP419" s="1040"/>
      <c r="AQ419" s="1040"/>
      <c r="AR419" s="1040"/>
      <c r="AS419" s="1173"/>
      <c r="AT419" s="1040"/>
      <c r="AU419" s="1040"/>
      <c r="AV419" s="1040"/>
      <c r="AW419" s="1173"/>
      <c r="AX419" s="1040"/>
      <c r="AY419" s="1040"/>
      <c r="AZ419" s="1040"/>
      <c r="BA419" s="1173"/>
      <c r="BB419" s="1173"/>
      <c r="BC419" s="1178"/>
      <c r="BD419" s="1555"/>
      <c r="BE419" s="1179"/>
      <c r="BF419" s="1556"/>
      <c r="BG419" s="1179"/>
      <c r="BH419" s="991"/>
      <c r="BI419" s="1119"/>
      <c r="BJ419" s="1119"/>
      <c r="BK419" s="1119"/>
      <c r="BL419" s="1119"/>
      <c r="BM419" s="1119"/>
      <c r="BN419" s="1119"/>
      <c r="BO419" s="1119"/>
      <c r="BP419" s="1119"/>
      <c r="BR419" s="1439"/>
      <c r="BS419" s="1439"/>
      <c r="BT419" s="1439"/>
      <c r="BU419" s="1260"/>
    </row>
    <row r="420" spans="1:73" s="1038" customFormat="1" ht="12" hidden="1" customHeight="1" outlineLevel="2">
      <c r="A420" s="1554" t="s">
        <v>494</v>
      </c>
      <c r="B420" s="837"/>
      <c r="C420" s="837"/>
      <c r="D420" s="837"/>
      <c r="E420" s="838"/>
      <c r="F420" s="837"/>
      <c r="G420" s="837"/>
      <c r="H420" s="837"/>
      <c r="I420" s="838"/>
      <c r="J420" s="837"/>
      <c r="K420" s="837"/>
      <c r="L420" s="837"/>
      <c r="M420" s="838"/>
      <c r="N420" s="836"/>
      <c r="O420" s="836"/>
      <c r="P420" s="836"/>
      <c r="Q420" s="1041"/>
      <c r="R420" s="836"/>
      <c r="S420" s="836"/>
      <c r="T420" s="836"/>
      <c r="U420" s="1551">
        <f>+U418*U414</f>
        <v>110.4</v>
      </c>
      <c r="V420" s="836"/>
      <c r="W420" s="836"/>
      <c r="X420" s="836"/>
      <c r="Y420" s="1551">
        <f>+Y418*Y414</f>
        <v>184.07999999999998</v>
      </c>
      <c r="Z420" s="836"/>
      <c r="AA420" s="836"/>
      <c r="AB420" s="836"/>
      <c r="AC420" s="1551">
        <f>+AC418*AC414</f>
        <v>321.75</v>
      </c>
      <c r="AD420" s="836"/>
      <c r="AE420" s="836"/>
      <c r="AF420" s="836"/>
      <c r="AG420" s="1551">
        <f>+AG418*AG414</f>
        <v>502.16399999999999</v>
      </c>
      <c r="AH420" s="1040"/>
      <c r="AI420" s="1040"/>
      <c r="AJ420" s="1040"/>
      <c r="AK420" s="1551">
        <f>+AK418*AK414</f>
        <v>652.88099999999997</v>
      </c>
      <c r="AL420" s="1040"/>
      <c r="AM420" s="1040"/>
      <c r="AN420" s="1040"/>
      <c r="AO420" s="1173"/>
      <c r="AP420" s="1040"/>
      <c r="AQ420" s="1040"/>
      <c r="AR420" s="1040"/>
      <c r="AS420" s="1173"/>
      <c r="AT420" s="1040"/>
      <c r="AU420" s="1040"/>
      <c r="AV420" s="1040"/>
      <c r="AW420" s="1173"/>
      <c r="AX420" s="1040"/>
      <c r="AY420" s="1040"/>
      <c r="AZ420" s="1040"/>
      <c r="BA420" s="1173"/>
      <c r="BB420" s="1173"/>
      <c r="BC420" s="1178"/>
      <c r="BD420" s="1555"/>
      <c r="BE420" s="1179"/>
      <c r="BF420" s="1556"/>
      <c r="BG420" s="1179"/>
      <c r="BH420" s="991"/>
      <c r="BI420" s="1119"/>
      <c r="BJ420" s="1119"/>
      <c r="BK420" s="1119"/>
      <c r="BL420" s="1119"/>
      <c r="BM420" s="1119"/>
      <c r="BN420" s="1119"/>
      <c r="BO420" s="1119"/>
      <c r="BP420" s="1119"/>
      <c r="BR420" s="1439"/>
      <c r="BS420" s="1439"/>
      <c r="BT420" s="1439"/>
      <c r="BU420" s="1260"/>
    </row>
    <row r="421" spans="1:73" s="305" customFormat="1" ht="12" hidden="1" customHeight="1" outlineLevel="2">
      <c r="A421" s="1554" t="s">
        <v>495</v>
      </c>
      <c r="B421" s="836"/>
      <c r="C421" s="836"/>
      <c r="D421" s="836"/>
      <c r="E421" s="1041"/>
      <c r="F421" s="836"/>
      <c r="G421" s="836"/>
      <c r="H421" s="836"/>
      <c r="I421" s="1041"/>
      <c r="J421" s="836"/>
      <c r="K421" s="836"/>
      <c r="L421" s="836"/>
      <c r="M421" s="1041"/>
      <c r="N421" s="836"/>
      <c r="O421" s="836"/>
      <c r="P421" s="836"/>
      <c r="Q421" s="1041"/>
      <c r="R421" s="836"/>
      <c r="S421" s="836"/>
      <c r="T421" s="836"/>
      <c r="U421" s="1041" t="e">
        <f>+U420/SUM(R381:U381)</f>
        <v>#DIV/0!</v>
      </c>
      <c r="V421" s="836"/>
      <c r="W421" s="836"/>
      <c r="X421" s="836"/>
      <c r="Y421" s="1041" t="e">
        <f>+Y420/SUM(V381:Y381)</f>
        <v>#DIV/0!</v>
      </c>
      <c r="Z421" s="836"/>
      <c r="AA421" s="836"/>
      <c r="AB421" s="836"/>
      <c r="AC421" s="1041" t="e">
        <f>+AC420/SUM(Z381:AC381)</f>
        <v>#DIV/0!</v>
      </c>
      <c r="AD421" s="836"/>
      <c r="AE421" s="836"/>
      <c r="AF421" s="836"/>
      <c r="AG421" s="1041" t="e">
        <f>+AG420/SUM(AD381:AG381)</f>
        <v>#DIV/0!</v>
      </c>
      <c r="AH421" s="398"/>
      <c r="AI421" s="398"/>
      <c r="AJ421" s="398"/>
      <c r="AK421" s="1041" t="e">
        <f>+AK420/SUM(AH381:AK381)</f>
        <v>#DIV/0!</v>
      </c>
      <c r="AL421" s="398"/>
      <c r="AM421" s="398"/>
      <c r="AN421" s="398"/>
      <c r="AO421" s="401"/>
      <c r="AP421" s="398"/>
      <c r="AQ421" s="398"/>
      <c r="AR421" s="398"/>
      <c r="AS421" s="401"/>
      <c r="AT421" s="398"/>
      <c r="AU421" s="398"/>
      <c r="AV421" s="398"/>
      <c r="AW421" s="401"/>
      <c r="AX421" s="398"/>
      <c r="AY421" s="398"/>
      <c r="AZ421" s="398"/>
      <c r="BA421" s="401"/>
      <c r="BB421" s="401"/>
      <c r="BC421" s="636"/>
      <c r="BD421" s="1170"/>
      <c r="BE421" s="991"/>
      <c r="BF421" s="990"/>
      <c r="BG421" s="991"/>
      <c r="BH421" s="991"/>
      <c r="BI421" s="1119"/>
      <c r="BJ421" s="1119"/>
      <c r="BK421" s="1119"/>
      <c r="BL421" s="1119"/>
      <c r="BM421" s="1119"/>
      <c r="BN421" s="1119"/>
      <c r="BO421" s="1119"/>
      <c r="BP421" s="1119"/>
      <c r="BR421" s="1379"/>
      <c r="BS421" s="1379"/>
      <c r="BT421" s="1379"/>
      <c r="BU421" s="1545"/>
    </row>
    <row r="422" spans="1:73" s="305" customFormat="1" ht="12" hidden="1" customHeight="1" outlineLevel="2">
      <c r="A422" s="1554" t="s">
        <v>496</v>
      </c>
      <c r="B422" s="837"/>
      <c r="C422" s="837"/>
      <c r="D422" s="837"/>
      <c r="E422" s="838"/>
      <c r="F422" s="837"/>
      <c r="G422" s="837"/>
      <c r="H422" s="837"/>
      <c r="I422" s="838"/>
      <c r="J422" s="837"/>
      <c r="K422" s="837"/>
      <c r="L422" s="837"/>
      <c r="M422" s="838"/>
      <c r="N422" s="836"/>
      <c r="O422" s="836"/>
      <c r="P422" s="836"/>
      <c r="Q422" s="1041"/>
      <c r="R422" s="836"/>
      <c r="S422" s="836"/>
      <c r="T422" s="836"/>
      <c r="U422" s="1041">
        <f>+U414/U394</f>
        <v>1.7391304347826087E-2</v>
      </c>
      <c r="V422" s="836"/>
      <c r="W422" s="836"/>
      <c r="X422" s="836"/>
      <c r="Y422" s="1041">
        <f>+Y414/Y394</f>
        <v>2.2264150943396226E-2</v>
      </c>
      <c r="Z422" s="836"/>
      <c r="AA422" s="836"/>
      <c r="AB422" s="836"/>
      <c r="AC422" s="1041">
        <f>+AC414/AC394</f>
        <v>2.7966101694915254E-2</v>
      </c>
      <c r="AD422" s="836"/>
      <c r="AE422" s="836"/>
      <c r="AF422" s="836"/>
      <c r="AG422" s="1041">
        <f>+AG414/AG394</f>
        <v>3.4153846153846153E-2</v>
      </c>
      <c r="AH422" s="398"/>
      <c r="AI422" s="398"/>
      <c r="AJ422" s="398"/>
      <c r="AK422" s="1041">
        <f>+AK414/AK394</f>
        <v>3.9223839223839214E-2</v>
      </c>
      <c r="AL422" s="398"/>
      <c r="AM422" s="398"/>
      <c r="AN422" s="398"/>
      <c r="AO422" s="401"/>
      <c r="AP422" s="398"/>
      <c r="AQ422" s="398"/>
      <c r="AR422" s="398"/>
      <c r="AS422" s="401"/>
      <c r="AT422" s="398"/>
      <c r="AU422" s="398"/>
      <c r="AV422" s="398"/>
      <c r="AW422" s="401"/>
      <c r="AX422" s="398"/>
      <c r="AY422" s="398"/>
      <c r="AZ422" s="398"/>
      <c r="BA422" s="401"/>
      <c r="BB422" s="401"/>
      <c r="BC422" s="1115">
        <v>0.19800000000000001</v>
      </c>
      <c r="BD422" s="1112">
        <v>0.28699999999999998</v>
      </c>
      <c r="BE422" s="1116">
        <v>0.503</v>
      </c>
      <c r="BF422" s="1115">
        <v>0.8</v>
      </c>
      <c r="BG422" s="1112">
        <v>1.286</v>
      </c>
      <c r="BH422" s="991"/>
      <c r="BI422" s="1171"/>
      <c r="BJ422" s="1171"/>
      <c r="BK422" s="1171"/>
      <c r="BL422" s="1171"/>
      <c r="BM422" s="1171"/>
      <c r="BN422" s="1171"/>
      <c r="BO422" s="1171"/>
      <c r="BP422" s="1171"/>
      <c r="BR422" s="1379"/>
      <c r="BS422" s="1379"/>
      <c r="BT422" s="1379"/>
      <c r="BU422" s="1260"/>
    </row>
    <row r="423" spans="1:73" s="305" customFormat="1" ht="12" hidden="1" customHeight="1" outlineLevel="2">
      <c r="A423" s="1049"/>
      <c r="B423" s="837"/>
      <c r="C423" s="837"/>
      <c r="D423" s="837"/>
      <c r="E423" s="838"/>
      <c r="F423" s="837"/>
      <c r="G423" s="837"/>
      <c r="H423" s="837"/>
      <c r="I423" s="838"/>
      <c r="J423" s="837"/>
      <c r="K423" s="837"/>
      <c r="L423" s="837"/>
      <c r="M423" s="838"/>
      <c r="N423" s="836"/>
      <c r="O423" s="836"/>
      <c r="P423" s="836"/>
      <c r="Q423" s="1041"/>
      <c r="R423" s="836"/>
      <c r="S423" s="836"/>
      <c r="T423" s="836"/>
      <c r="U423" s="1041"/>
      <c r="V423" s="836"/>
      <c r="W423" s="836"/>
      <c r="X423" s="836"/>
      <c r="Y423" s="838"/>
      <c r="Z423" s="836"/>
      <c r="AA423" s="836"/>
      <c r="AB423" s="836"/>
      <c r="AC423" s="1041"/>
      <c r="AD423" s="836"/>
      <c r="AE423" s="836"/>
      <c r="AF423" s="836"/>
      <c r="AG423" s="1041"/>
      <c r="AH423" s="398"/>
      <c r="AI423" s="398"/>
      <c r="AJ423" s="398"/>
      <c r="AK423" s="401"/>
      <c r="AL423" s="398"/>
      <c r="AM423" s="398"/>
      <c r="AN423" s="398"/>
      <c r="AO423" s="401"/>
      <c r="AP423" s="398"/>
      <c r="AQ423" s="398"/>
      <c r="AR423" s="398"/>
      <c r="AS423" s="401"/>
      <c r="AT423" s="398"/>
      <c r="AU423" s="398"/>
      <c r="AV423" s="398"/>
      <c r="AW423" s="401"/>
      <c r="AX423" s="398"/>
      <c r="AY423" s="398"/>
      <c r="AZ423" s="398"/>
      <c r="BA423" s="401"/>
      <c r="BB423" s="401"/>
      <c r="BC423" s="1084"/>
      <c r="BD423" s="841"/>
      <c r="BE423" s="991"/>
      <c r="BF423" s="991"/>
      <c r="BG423" s="1153"/>
      <c r="BH423" s="991"/>
      <c r="BI423" s="1118"/>
      <c r="BJ423" s="1118"/>
      <c r="BK423" s="1118"/>
      <c r="BL423" s="1118"/>
      <c r="BM423" s="1118"/>
      <c r="BN423" s="1118"/>
      <c r="BO423" s="1118"/>
      <c r="BP423" s="1118"/>
      <c r="BR423" s="1379"/>
      <c r="BS423" s="1379"/>
      <c r="BT423" s="1379"/>
      <c r="BU423" s="1260"/>
    </row>
    <row r="424" spans="1:73" s="305" customFormat="1" ht="12" hidden="1" customHeight="1" outlineLevel="2">
      <c r="A424" s="1156" t="s">
        <v>499</v>
      </c>
      <c r="B424" s="1154"/>
      <c r="C424" s="1154"/>
      <c r="D424" s="1154"/>
      <c r="E424" s="1155"/>
      <c r="F424" s="1154"/>
      <c r="G424" s="1154"/>
      <c r="H424" s="1154"/>
      <c r="I424" s="1155"/>
      <c r="J424" s="1154"/>
      <c r="K424" s="1154"/>
      <c r="L424" s="1154"/>
      <c r="M424" s="1155"/>
      <c r="N424" s="1154"/>
      <c r="O424" s="1154"/>
      <c r="P424" s="1154"/>
      <c r="Q424" s="1155"/>
      <c r="R424" s="1154"/>
      <c r="S424" s="1154"/>
      <c r="T424" s="1154"/>
      <c r="U424" s="1155"/>
      <c r="V424" s="1154"/>
      <c r="W424" s="1154"/>
      <c r="X424" s="1154"/>
      <c r="Y424" s="1155"/>
      <c r="Z424" s="1154"/>
      <c r="AA424" s="1154"/>
      <c r="AB424" s="1154"/>
      <c r="AC424" s="1155"/>
      <c r="AD424" s="1154"/>
      <c r="AE424" s="1154"/>
      <c r="AF424" s="1154"/>
      <c r="AG424" s="1155"/>
      <c r="AH424" s="1157"/>
      <c r="AI424" s="1157"/>
      <c r="AJ424" s="1157"/>
      <c r="AK424" s="1158"/>
      <c r="AL424" s="1157"/>
      <c r="AM424" s="1157"/>
      <c r="AN424" s="1157"/>
      <c r="AO424" s="1158"/>
      <c r="AP424" s="1157"/>
      <c r="AQ424" s="1157"/>
      <c r="AR424" s="1157"/>
      <c r="AS424" s="1158"/>
      <c r="AT424" s="1157"/>
      <c r="AU424" s="1157"/>
      <c r="AV424" s="1157"/>
      <c r="AW424" s="1158"/>
      <c r="AX424" s="1157"/>
      <c r="AY424" s="1157"/>
      <c r="AZ424" s="1157"/>
      <c r="BA424" s="1158"/>
      <c r="BB424" s="401"/>
      <c r="BC424" s="1161"/>
      <c r="BD424" s="1162"/>
      <c r="BE424" s="1163"/>
      <c r="BF424" s="1163"/>
      <c r="BG424" s="1164"/>
      <c r="BH424" s="1163"/>
      <c r="BI424" s="1165"/>
      <c r="BJ424" s="1165"/>
      <c r="BK424" s="1165"/>
      <c r="BL424" s="1165"/>
      <c r="BM424" s="1165"/>
      <c r="BN424" s="1165"/>
      <c r="BO424" s="1165"/>
      <c r="BP424" s="1165"/>
      <c r="BR424" s="1379"/>
      <c r="BS424" s="1379"/>
      <c r="BT424" s="1379"/>
      <c r="BU424" s="1260"/>
    </row>
    <row r="425" spans="1:73" s="305" customFormat="1" ht="12" hidden="1" customHeight="1" outlineLevel="2">
      <c r="A425" s="1547" t="s">
        <v>500</v>
      </c>
      <c r="B425" s="1110"/>
      <c r="C425" s="1110"/>
      <c r="D425" s="1110"/>
      <c r="E425" s="1111"/>
      <c r="F425" s="1110"/>
      <c r="G425" s="1110"/>
      <c r="H425" s="1110"/>
      <c r="I425" s="1111"/>
      <c r="J425" s="1110"/>
      <c r="K425" s="1110"/>
      <c r="L425" s="1110"/>
      <c r="M425" s="1111"/>
      <c r="N425" s="1572">
        <f t="shared" ref="N425:AN425" si="2443">+N431+N437</f>
        <v>537</v>
      </c>
      <c r="O425" s="1572">
        <f t="shared" si="2443"/>
        <v>439</v>
      </c>
      <c r="P425" s="1572">
        <f t="shared" si="2443"/>
        <v>448</v>
      </c>
      <c r="Q425" s="1573">
        <f t="shared" si="2443"/>
        <v>446</v>
      </c>
      <c r="R425" s="1572">
        <f t="shared" si="2443"/>
        <v>545</v>
      </c>
      <c r="S425" s="1572">
        <f t="shared" si="2443"/>
        <v>443</v>
      </c>
      <c r="T425" s="1572">
        <f t="shared" si="2443"/>
        <v>422</v>
      </c>
      <c r="U425" s="1573">
        <f t="shared" si="2443"/>
        <v>458</v>
      </c>
      <c r="V425" s="1572">
        <f t="shared" si="2443"/>
        <v>560</v>
      </c>
      <c r="W425" s="1572">
        <f t="shared" si="2443"/>
        <v>434</v>
      </c>
      <c r="X425" s="1572">
        <f t="shared" si="2443"/>
        <v>462</v>
      </c>
      <c r="Y425" s="1573">
        <f t="shared" si="2443"/>
        <v>482</v>
      </c>
      <c r="Z425" s="1572">
        <f t="shared" si="2443"/>
        <v>598</v>
      </c>
      <c r="AA425" s="1572">
        <f t="shared" si="2443"/>
        <v>460</v>
      </c>
      <c r="AB425" s="1572">
        <f t="shared" si="2443"/>
        <v>475</v>
      </c>
      <c r="AC425" s="1573">
        <f t="shared" si="2443"/>
        <v>489</v>
      </c>
      <c r="AD425" s="1572">
        <f t="shared" si="2443"/>
        <v>639</v>
      </c>
      <c r="AE425" s="1572">
        <f t="shared" si="2443"/>
        <v>506</v>
      </c>
      <c r="AF425" s="1572">
        <f t="shared" si="2443"/>
        <v>553</v>
      </c>
      <c r="AG425" s="1573">
        <f t="shared" si="2443"/>
        <v>581</v>
      </c>
      <c r="AH425" s="1572">
        <f t="shared" si="2443"/>
        <v>726</v>
      </c>
      <c r="AI425" s="1572">
        <f t="shared" si="2443"/>
        <v>557</v>
      </c>
      <c r="AJ425" s="1572">
        <f t="shared" si="2443"/>
        <v>633</v>
      </c>
      <c r="AK425" s="1573">
        <f t="shared" si="2443"/>
        <v>725</v>
      </c>
      <c r="AL425" s="1572">
        <f t="shared" si="2443"/>
        <v>601</v>
      </c>
      <c r="AM425" s="1572">
        <f t="shared" si="2443"/>
        <v>633</v>
      </c>
      <c r="AN425" s="1572">
        <f t="shared" si="2443"/>
        <v>746</v>
      </c>
      <c r="AO425" s="401"/>
      <c r="AP425" s="1572"/>
      <c r="AQ425" s="1572"/>
      <c r="AR425" s="398"/>
      <c r="AS425" s="401"/>
      <c r="AT425" s="398"/>
      <c r="AU425" s="398"/>
      <c r="AV425" s="398"/>
      <c r="AW425" s="401"/>
      <c r="AX425" s="398"/>
      <c r="AY425" s="398"/>
      <c r="AZ425" s="398"/>
      <c r="BA425" s="401"/>
      <c r="BB425" s="401"/>
      <c r="BC425" s="636"/>
      <c r="BD425" s="1564"/>
      <c r="BE425" s="1565"/>
      <c r="BF425" s="1566"/>
      <c r="BG425" s="1565"/>
      <c r="BH425" s="1565"/>
      <c r="BI425" s="1567"/>
      <c r="BJ425" s="1567"/>
      <c r="BK425" s="1567"/>
      <c r="BL425" s="1567"/>
      <c r="BM425" s="1567"/>
      <c r="BN425" s="1567"/>
      <c r="BO425" s="1567"/>
      <c r="BP425" s="1567"/>
      <c r="BR425" s="1379"/>
      <c r="BS425" s="1379"/>
      <c r="BT425" s="1379"/>
      <c r="BU425" s="1568"/>
    </row>
    <row r="426" spans="1:73" s="305" customFormat="1" ht="12" hidden="1" customHeight="1" outlineLevel="2">
      <c r="A426" s="1548" t="s">
        <v>485</v>
      </c>
      <c r="B426" s="836"/>
      <c r="C426" s="836"/>
      <c r="D426" s="836"/>
      <c r="E426" s="1041"/>
      <c r="F426" s="836"/>
      <c r="G426" s="836"/>
      <c r="H426" s="836"/>
      <c r="I426" s="1041"/>
      <c r="J426" s="836"/>
      <c r="K426" s="836"/>
      <c r="L426" s="836"/>
      <c r="M426" s="1041"/>
      <c r="N426" s="836"/>
      <c r="O426" s="1549">
        <f>+O425-N425</f>
        <v>-98</v>
      </c>
      <c r="P426" s="1550">
        <f t="shared" ref="P426" si="2444">+P425-O425</f>
        <v>9</v>
      </c>
      <c r="Q426" s="1551">
        <f t="shared" ref="Q426" si="2445">+Q425-P425</f>
        <v>-2</v>
      </c>
      <c r="R426" s="1550">
        <f t="shared" ref="R426" si="2446">+R425-Q425</f>
        <v>99</v>
      </c>
      <c r="S426" s="1550">
        <f t="shared" ref="S426" si="2447">+S425-R425</f>
        <v>-102</v>
      </c>
      <c r="T426" s="1550">
        <f t="shared" ref="T426" si="2448">+T425-S425</f>
        <v>-21</v>
      </c>
      <c r="U426" s="1551">
        <f t="shared" ref="U426" si="2449">+U425-T425</f>
        <v>36</v>
      </c>
      <c r="V426" s="1550">
        <f t="shared" ref="V426" si="2450">+V425-U425</f>
        <v>102</v>
      </c>
      <c r="W426" s="1550">
        <f t="shared" ref="W426" si="2451">+W425-V425</f>
        <v>-126</v>
      </c>
      <c r="X426" s="1550">
        <f t="shared" ref="X426" si="2452">+X425-W425</f>
        <v>28</v>
      </c>
      <c r="Y426" s="1551">
        <f t="shared" ref="Y426" si="2453">+Y425-X425</f>
        <v>20</v>
      </c>
      <c r="Z426" s="1550">
        <f t="shared" ref="Z426" si="2454">+Z425-Y425</f>
        <v>116</v>
      </c>
      <c r="AA426" s="1550">
        <f t="shared" ref="AA426" si="2455">+AA425-Z425</f>
        <v>-138</v>
      </c>
      <c r="AB426" s="1550">
        <f t="shared" ref="AB426" si="2456">+AB425-AA425</f>
        <v>15</v>
      </c>
      <c r="AC426" s="1551">
        <f t="shared" ref="AC426" si="2457">+AC425-AB425</f>
        <v>14</v>
      </c>
      <c r="AD426" s="1550">
        <f t="shared" ref="AD426" si="2458">+AD425-AC425</f>
        <v>150</v>
      </c>
      <c r="AE426" s="1550">
        <f t="shared" ref="AE426" si="2459">+AE425-AD425</f>
        <v>-133</v>
      </c>
      <c r="AF426" s="1550">
        <f t="shared" ref="AF426" si="2460">+AF425-AE425</f>
        <v>47</v>
      </c>
      <c r="AG426" s="1551">
        <f t="shared" ref="AG426" si="2461">+AG425-AF425</f>
        <v>28</v>
      </c>
      <c r="AH426" s="1550">
        <f t="shared" ref="AH426" si="2462">+AH425-AG425</f>
        <v>145</v>
      </c>
      <c r="AI426" s="1550">
        <f t="shared" ref="AI426" si="2463">+AI425-AH425</f>
        <v>-169</v>
      </c>
      <c r="AJ426" s="1550">
        <f t="shared" ref="AJ426" si="2464">+AJ425-AI425</f>
        <v>76</v>
      </c>
      <c r="AK426" s="1551">
        <f t="shared" ref="AK426" si="2465">+AK425-AJ425</f>
        <v>92</v>
      </c>
      <c r="AL426" s="1550">
        <f t="shared" ref="AL426" si="2466">+AL425-AK425</f>
        <v>-124</v>
      </c>
      <c r="AM426" s="1550">
        <f t="shared" ref="AM426" si="2467">+AM425-AL425</f>
        <v>32</v>
      </c>
      <c r="AN426" s="1550">
        <f t="shared" ref="AN426" si="2468">+AN425-AM425</f>
        <v>113</v>
      </c>
      <c r="AO426" s="401"/>
      <c r="AP426" s="1550"/>
      <c r="AQ426" s="1550"/>
      <c r="AR426" s="398"/>
      <c r="AS426" s="401"/>
      <c r="AT426" s="398"/>
      <c r="AU426" s="398"/>
      <c r="AV426" s="398"/>
      <c r="AW426" s="401"/>
      <c r="AX426" s="398"/>
      <c r="AY426" s="398"/>
      <c r="AZ426" s="398"/>
      <c r="BA426" s="401"/>
      <c r="BB426" s="401"/>
      <c r="BC426" s="636"/>
      <c r="BD426" s="1170"/>
      <c r="BE426" s="991"/>
      <c r="BF426" s="990"/>
      <c r="BG426" s="991"/>
      <c r="BH426" s="991"/>
      <c r="BI426" s="1119"/>
      <c r="BJ426" s="1119"/>
      <c r="BK426" s="1119"/>
      <c r="BL426" s="1119"/>
      <c r="BM426" s="1119"/>
      <c r="BN426" s="1119"/>
      <c r="BO426" s="1119"/>
      <c r="BP426" s="1119"/>
      <c r="BR426" s="1379"/>
      <c r="BS426" s="1379"/>
      <c r="BT426" s="1379"/>
      <c r="BU426" s="1545"/>
    </row>
    <row r="427" spans="1:73" s="305" customFormat="1" ht="12" hidden="1" customHeight="1" outlineLevel="2">
      <c r="A427" s="1548" t="s">
        <v>486</v>
      </c>
      <c r="B427" s="836"/>
      <c r="C427" s="836"/>
      <c r="D427" s="836"/>
      <c r="E427" s="1041"/>
      <c r="F427" s="836"/>
      <c r="G427" s="836"/>
      <c r="H427" s="836"/>
      <c r="I427" s="1041"/>
      <c r="J427" s="836"/>
      <c r="K427" s="836"/>
      <c r="L427" s="836"/>
      <c r="M427" s="1041"/>
      <c r="N427" s="836"/>
      <c r="O427" s="1552">
        <f>+(O425/N425)-1</f>
        <v>-0.18249534450651772</v>
      </c>
      <c r="P427" s="1552">
        <f t="shared" ref="P427" si="2469">+(P425/O425)-1</f>
        <v>2.05011389521641E-2</v>
      </c>
      <c r="Q427" s="1553">
        <f t="shared" ref="Q427" si="2470">+(Q425/P425)-1</f>
        <v>-4.4642857142856984E-3</v>
      </c>
      <c r="R427" s="1552">
        <f t="shared" ref="R427" si="2471">+(R425/Q425)-1</f>
        <v>0.22197309417040367</v>
      </c>
      <c r="S427" s="1552">
        <f t="shared" ref="S427" si="2472">+(S425/R425)-1</f>
        <v>-0.1871559633027523</v>
      </c>
      <c r="T427" s="1552">
        <f t="shared" ref="T427" si="2473">+(T425/S425)-1</f>
        <v>-4.7404063205417568E-2</v>
      </c>
      <c r="U427" s="1553">
        <f t="shared" ref="U427" si="2474">+(U425/T425)-1</f>
        <v>8.5308056872037907E-2</v>
      </c>
      <c r="V427" s="1552">
        <f t="shared" ref="V427" si="2475">+(V425/U425)-1</f>
        <v>0.22270742358078599</v>
      </c>
      <c r="W427" s="1552">
        <f t="shared" ref="W427" si="2476">+(W425/V425)-1</f>
        <v>-0.22499999999999998</v>
      </c>
      <c r="X427" s="1552">
        <f t="shared" ref="X427" si="2477">+(X425/W425)-1</f>
        <v>6.4516129032258007E-2</v>
      </c>
      <c r="Y427" s="1553">
        <f t="shared" ref="Y427" si="2478">+(Y425/X425)-1</f>
        <v>4.3290043290043378E-2</v>
      </c>
      <c r="Z427" s="1552">
        <f t="shared" ref="Z427" si="2479">+(Z425/Y425)-1</f>
        <v>0.24066390041493779</v>
      </c>
      <c r="AA427" s="1552">
        <f t="shared" ref="AA427" si="2480">+(AA425/Z425)-1</f>
        <v>-0.23076923076923073</v>
      </c>
      <c r="AB427" s="1552">
        <f t="shared" ref="AB427" si="2481">+(AB425/AA425)-1</f>
        <v>3.2608695652173836E-2</v>
      </c>
      <c r="AC427" s="1553">
        <f t="shared" ref="AC427" si="2482">+(AC425/AB425)-1</f>
        <v>2.9473684210526319E-2</v>
      </c>
      <c r="AD427" s="1552">
        <f t="shared" ref="AD427" si="2483">+(AD425/AC425)-1</f>
        <v>0.30674846625766872</v>
      </c>
      <c r="AE427" s="1552">
        <f t="shared" ref="AE427" si="2484">+(AE425/AD425)-1</f>
        <v>-0.20813771517996871</v>
      </c>
      <c r="AF427" s="1552">
        <f t="shared" ref="AF427" si="2485">+(AF425/AE425)-1</f>
        <v>9.2885375494071054E-2</v>
      </c>
      <c r="AG427" s="1553">
        <f t="shared" ref="AG427" si="2486">+(AG425/AF425)-1</f>
        <v>5.0632911392405111E-2</v>
      </c>
      <c r="AH427" s="1552">
        <f t="shared" ref="AH427" si="2487">+(AH425/AG425)-1</f>
        <v>0.24956970740103279</v>
      </c>
      <c r="AI427" s="1552">
        <f t="shared" ref="AI427" si="2488">+(AI425/AH425)-1</f>
        <v>-0.23278236914600547</v>
      </c>
      <c r="AJ427" s="1552">
        <f t="shared" ref="AJ427" si="2489">+(AJ425/AI425)-1</f>
        <v>0.13644524236983835</v>
      </c>
      <c r="AK427" s="1553">
        <f t="shared" ref="AK427" si="2490">+(AK425/AJ425)-1</f>
        <v>0.14533965244865721</v>
      </c>
      <c r="AL427" s="1552">
        <f t="shared" ref="AL427" si="2491">+(AL425/AK425)-1</f>
        <v>-0.17103448275862065</v>
      </c>
      <c r="AM427" s="1552">
        <f t="shared" ref="AM427" si="2492">+(AM425/AL425)-1</f>
        <v>5.3244592346089803E-2</v>
      </c>
      <c r="AN427" s="1552">
        <f t="shared" ref="AN427" si="2493">+(AN425/AM425)-1</f>
        <v>0.17851500789889418</v>
      </c>
      <c r="AO427" s="401"/>
      <c r="AP427" s="1552"/>
      <c r="AQ427" s="1552"/>
      <c r="AR427" s="398"/>
      <c r="AS427" s="401"/>
      <c r="AT427" s="398"/>
      <c r="AU427" s="398"/>
      <c r="AV427" s="398"/>
      <c r="AW427" s="401"/>
      <c r="AX427" s="398"/>
      <c r="AY427" s="398"/>
      <c r="AZ427" s="398"/>
      <c r="BA427" s="401"/>
      <c r="BB427" s="401"/>
      <c r="BC427" s="636"/>
      <c r="BD427" s="1170"/>
      <c r="BE427" s="991"/>
      <c r="BF427" s="990"/>
      <c r="BG427" s="991"/>
      <c r="BH427" s="991"/>
      <c r="BI427" s="1119"/>
      <c r="BJ427" s="1119"/>
      <c r="BK427" s="1119"/>
      <c r="BL427" s="1119"/>
      <c r="BM427" s="1119"/>
      <c r="BN427" s="1119"/>
      <c r="BO427" s="1119"/>
      <c r="BP427" s="1119"/>
      <c r="BR427" s="1379"/>
      <c r="BS427" s="1379"/>
      <c r="BT427" s="1379"/>
      <c r="BU427" s="1545"/>
    </row>
    <row r="428" spans="1:73" s="305" customFormat="1" ht="12" hidden="1" customHeight="1" outlineLevel="2">
      <c r="A428" s="1548" t="s">
        <v>487</v>
      </c>
      <c r="B428" s="836"/>
      <c r="C428" s="836"/>
      <c r="D428" s="836"/>
      <c r="E428" s="1041"/>
      <c r="F428" s="836"/>
      <c r="G428" s="836"/>
      <c r="H428" s="836"/>
      <c r="I428" s="1041"/>
      <c r="J428" s="836"/>
      <c r="K428" s="836"/>
      <c r="L428" s="836"/>
      <c r="M428" s="1041"/>
      <c r="N428" s="836"/>
      <c r="O428" s="836"/>
      <c r="P428" s="836"/>
      <c r="Q428" s="1041"/>
      <c r="R428" s="1549">
        <f>+R425-N425</f>
        <v>8</v>
      </c>
      <c r="S428" s="1550">
        <f t="shared" ref="S428" si="2494">+S425-O425</f>
        <v>4</v>
      </c>
      <c r="T428" s="1550">
        <f t="shared" ref="T428" si="2495">+T425-P425</f>
        <v>-26</v>
      </c>
      <c r="U428" s="1551">
        <f t="shared" ref="U428" si="2496">+U425-Q425</f>
        <v>12</v>
      </c>
      <c r="V428" s="1550">
        <f t="shared" ref="V428" si="2497">+V425-R425</f>
        <v>15</v>
      </c>
      <c r="W428" s="1550">
        <f t="shared" ref="W428" si="2498">+W425-S425</f>
        <v>-9</v>
      </c>
      <c r="X428" s="1550">
        <f t="shared" ref="X428" si="2499">+X425-T425</f>
        <v>40</v>
      </c>
      <c r="Y428" s="1551">
        <f t="shared" ref="Y428" si="2500">+Y425-U425</f>
        <v>24</v>
      </c>
      <c r="Z428" s="1550">
        <f t="shared" ref="Z428" si="2501">+Z425-V425</f>
        <v>38</v>
      </c>
      <c r="AA428" s="1550">
        <f t="shared" ref="AA428" si="2502">+AA425-W425</f>
        <v>26</v>
      </c>
      <c r="AB428" s="1550">
        <f t="shared" ref="AB428" si="2503">+AB425-X425</f>
        <v>13</v>
      </c>
      <c r="AC428" s="1551">
        <f t="shared" ref="AC428" si="2504">+AC425-Y425</f>
        <v>7</v>
      </c>
      <c r="AD428" s="1550">
        <f t="shared" ref="AD428" si="2505">+AD425-Z425</f>
        <v>41</v>
      </c>
      <c r="AE428" s="1550">
        <f t="shared" ref="AE428" si="2506">+AE425-AA425</f>
        <v>46</v>
      </c>
      <c r="AF428" s="1550">
        <f t="shared" ref="AF428" si="2507">+AF425-AB425</f>
        <v>78</v>
      </c>
      <c r="AG428" s="1551">
        <f t="shared" ref="AG428" si="2508">+AG425-AC425</f>
        <v>92</v>
      </c>
      <c r="AH428" s="1550">
        <f t="shared" ref="AH428" si="2509">+AH425-AD425</f>
        <v>87</v>
      </c>
      <c r="AI428" s="1550">
        <f t="shared" ref="AI428" si="2510">+AI425-AE425</f>
        <v>51</v>
      </c>
      <c r="AJ428" s="1550">
        <f t="shared" ref="AJ428" si="2511">+AJ425-AF425</f>
        <v>80</v>
      </c>
      <c r="AK428" s="1551">
        <f t="shared" ref="AK428" si="2512">+AK425-AG425</f>
        <v>144</v>
      </c>
      <c r="AL428" s="1550">
        <f t="shared" ref="AL428" si="2513">+AL425-AH425</f>
        <v>-125</v>
      </c>
      <c r="AM428" s="1550">
        <f t="shared" ref="AM428" si="2514">+AM425-AI425</f>
        <v>76</v>
      </c>
      <c r="AN428" s="1550">
        <f t="shared" ref="AN428" si="2515">+AN425-AJ425</f>
        <v>113</v>
      </c>
      <c r="AO428" s="401"/>
      <c r="AP428" s="1550"/>
      <c r="AQ428" s="1550"/>
      <c r="AR428" s="398"/>
      <c r="AS428" s="401"/>
      <c r="AT428" s="398"/>
      <c r="AU428" s="398"/>
      <c r="AV428" s="398"/>
      <c r="AW428" s="401"/>
      <c r="AX428" s="398"/>
      <c r="AY428" s="398"/>
      <c r="AZ428" s="398"/>
      <c r="BA428" s="401"/>
      <c r="BB428" s="401"/>
      <c r="BC428" s="636"/>
      <c r="BD428" s="1170"/>
      <c r="BE428" s="991"/>
      <c r="BF428" s="990"/>
      <c r="BG428" s="991"/>
      <c r="BH428" s="991"/>
      <c r="BI428" s="1119"/>
      <c r="BJ428" s="1119"/>
      <c r="BK428" s="1119"/>
      <c r="BL428" s="1119"/>
      <c r="BM428" s="1119"/>
      <c r="BN428" s="1119"/>
      <c r="BO428" s="1119"/>
      <c r="BP428" s="1119"/>
      <c r="BR428" s="1379"/>
      <c r="BS428" s="1379"/>
      <c r="BT428" s="1379"/>
      <c r="BU428" s="1545"/>
    </row>
    <row r="429" spans="1:73" s="305" customFormat="1" hidden="1" outlineLevel="2">
      <c r="A429" s="1548" t="s">
        <v>488</v>
      </c>
      <c r="B429" s="836"/>
      <c r="C429" s="836"/>
      <c r="D429" s="836"/>
      <c r="E429" s="836"/>
      <c r="F429" s="836"/>
      <c r="G429" s="836"/>
      <c r="H429" s="836"/>
      <c r="I429" s="836"/>
      <c r="J429" s="836"/>
      <c r="K429" s="836"/>
      <c r="L429" s="836"/>
      <c r="M429" s="836"/>
      <c r="N429" s="836"/>
      <c r="O429" s="836"/>
      <c r="P429" s="836"/>
      <c r="Q429" s="1041"/>
      <c r="R429" s="836">
        <f>+(R425/N425)-1</f>
        <v>1.4897579143389184E-2</v>
      </c>
      <c r="S429" s="1294">
        <f t="shared" ref="S429" si="2516">+(S425/O425)-1</f>
        <v>9.1116173120728838E-3</v>
      </c>
      <c r="T429" s="1294">
        <f t="shared" ref="T429" si="2517">+(T425/P425)-1</f>
        <v>-5.8035714285714302E-2</v>
      </c>
      <c r="U429" s="1557">
        <f t="shared" ref="U429" si="2518">+(U425/Q425)-1</f>
        <v>2.6905829596412634E-2</v>
      </c>
      <c r="V429" s="1294">
        <f t="shared" ref="V429" si="2519">+(V425/R425)-1</f>
        <v>2.7522935779816571E-2</v>
      </c>
      <c r="W429" s="1294">
        <f t="shared" ref="W429" si="2520">+(W425/S425)-1</f>
        <v>-2.0316027088036148E-2</v>
      </c>
      <c r="X429" s="1294">
        <f t="shared" ref="X429" si="2521">+(X425/T425)-1</f>
        <v>9.4786729857819996E-2</v>
      </c>
      <c r="Y429" s="1557">
        <f t="shared" ref="Y429" si="2522">+(Y425/U425)-1</f>
        <v>5.240174672489073E-2</v>
      </c>
      <c r="Z429" s="1294">
        <f t="shared" ref="Z429" si="2523">+(Z425/V425)-1</f>
        <v>6.7857142857142838E-2</v>
      </c>
      <c r="AA429" s="1294">
        <f t="shared" ref="AA429" si="2524">+(AA425/W425)-1</f>
        <v>5.9907834101382562E-2</v>
      </c>
      <c r="AB429" s="1294">
        <f t="shared" ref="AB429" si="2525">+(AB425/X425)-1</f>
        <v>2.813852813852824E-2</v>
      </c>
      <c r="AC429" s="1557">
        <f t="shared" ref="AC429" si="2526">+(AC425/Y425)-1</f>
        <v>1.4522821576763434E-2</v>
      </c>
      <c r="AD429" s="1294">
        <f t="shared" ref="AD429" si="2527">+(AD425/Z425)-1</f>
        <v>6.8561872909699062E-2</v>
      </c>
      <c r="AE429" s="1294">
        <f t="shared" ref="AE429" si="2528">+(AE425/AA425)-1</f>
        <v>0.10000000000000009</v>
      </c>
      <c r="AF429" s="1294">
        <f t="shared" ref="AF429" si="2529">+(AF425/AB425)-1</f>
        <v>0.16421052631578958</v>
      </c>
      <c r="AG429" s="1557">
        <f t="shared" ref="AG429" si="2530">+(AG425/AC425)-1</f>
        <v>0.18813905930470343</v>
      </c>
      <c r="AH429" s="1294">
        <f t="shared" ref="AH429" si="2531">+(AH425/AD425)-1</f>
        <v>0.136150234741784</v>
      </c>
      <c r="AI429" s="1294">
        <f t="shared" ref="AI429" si="2532">+(AI425/AE425)-1</f>
        <v>0.10079051383399218</v>
      </c>
      <c r="AJ429" s="1294">
        <f t="shared" ref="AJ429" si="2533">+(AJ425/AF425)-1</f>
        <v>0.1446654611211573</v>
      </c>
      <c r="AK429" s="1557">
        <f t="shared" ref="AK429" si="2534">+(AK425/AG425)-1</f>
        <v>0.24784853700516352</v>
      </c>
      <c r="AL429" s="1294">
        <f t="shared" ref="AL429" si="2535">+(AL425/AH425)-1</f>
        <v>-0.17217630853994492</v>
      </c>
      <c r="AM429" s="1294">
        <f t="shared" ref="AM429" si="2536">+(AM425/AI425)-1</f>
        <v>0.13644524236983835</v>
      </c>
      <c r="AN429" s="1294">
        <f t="shared" ref="AN429" si="2537">+(AN425/AJ425)-1</f>
        <v>0.17851500789889418</v>
      </c>
      <c r="AO429" s="401"/>
      <c r="AP429" s="1294"/>
      <c r="AQ429" s="1294"/>
      <c r="AR429" s="398"/>
      <c r="AS429" s="401"/>
      <c r="AT429" s="398"/>
      <c r="AU429" s="398"/>
      <c r="AV429" s="398"/>
      <c r="AW429" s="401"/>
      <c r="AX429" s="398"/>
      <c r="AY429" s="398"/>
      <c r="AZ429" s="398"/>
      <c r="BA429" s="401"/>
      <c r="BB429" s="398"/>
      <c r="BC429" s="636"/>
      <c r="BD429" s="1170"/>
      <c r="BE429" s="991"/>
      <c r="BF429" s="990"/>
      <c r="BG429" s="991"/>
      <c r="BH429" s="991"/>
      <c r="BI429" s="1119"/>
      <c r="BJ429" s="1119"/>
      <c r="BK429" s="1119"/>
      <c r="BL429" s="1119"/>
      <c r="BM429" s="1119"/>
      <c r="BN429" s="1119"/>
      <c r="BO429" s="1119"/>
      <c r="BP429" s="1119"/>
      <c r="BR429" s="1379"/>
      <c r="BS429" s="1379"/>
      <c r="BT429" s="1379"/>
      <c r="BU429" s="1545"/>
    </row>
    <row r="430" spans="1:73" s="305" customFormat="1" hidden="1" outlineLevel="2">
      <c r="A430" s="1548"/>
      <c r="B430" s="836"/>
      <c r="C430" s="836"/>
      <c r="D430" s="836"/>
      <c r="E430" s="836"/>
      <c r="F430" s="836"/>
      <c r="G430" s="836"/>
      <c r="H430" s="836"/>
      <c r="I430" s="836"/>
      <c r="J430" s="836"/>
      <c r="K430" s="836"/>
      <c r="L430" s="836"/>
      <c r="M430" s="836"/>
      <c r="N430" s="836"/>
      <c r="O430" s="836"/>
      <c r="P430" s="836"/>
      <c r="Q430" s="1041"/>
      <c r="R430" s="836"/>
      <c r="S430" s="1294"/>
      <c r="T430" s="1294"/>
      <c r="U430" s="1557"/>
      <c r="V430" s="1294"/>
      <c r="W430" s="1294"/>
      <c r="X430" s="1294"/>
      <c r="Y430" s="1557"/>
      <c r="Z430" s="1294"/>
      <c r="AA430" s="1294"/>
      <c r="AB430" s="1294"/>
      <c r="AC430" s="1557"/>
      <c r="AD430" s="1294"/>
      <c r="AE430" s="1294"/>
      <c r="AF430" s="1294"/>
      <c r="AG430" s="1557"/>
      <c r="AH430" s="1294"/>
      <c r="AI430" s="1294"/>
      <c r="AJ430" s="1294"/>
      <c r="AK430" s="1557"/>
      <c r="AL430" s="1294"/>
      <c r="AM430" s="1294"/>
      <c r="AN430" s="398"/>
      <c r="AO430" s="401"/>
      <c r="AP430" s="1294"/>
      <c r="AQ430" s="1294"/>
      <c r="AR430" s="398"/>
      <c r="AS430" s="401"/>
      <c r="AT430" s="398"/>
      <c r="AU430" s="398"/>
      <c r="AV430" s="398"/>
      <c r="AW430" s="401"/>
      <c r="AX430" s="398"/>
      <c r="AY430" s="398"/>
      <c r="AZ430" s="398"/>
      <c r="BA430" s="401"/>
      <c r="BB430" s="398"/>
      <c r="BC430" s="636"/>
      <c r="BD430" s="1170"/>
      <c r="BE430" s="991"/>
      <c r="BF430" s="990"/>
      <c r="BG430" s="991"/>
      <c r="BH430" s="991"/>
      <c r="BI430" s="1119"/>
      <c r="BJ430" s="1119"/>
      <c r="BK430" s="1119"/>
      <c r="BL430" s="1119"/>
      <c r="BM430" s="1119"/>
      <c r="BN430" s="1119"/>
      <c r="BO430" s="1119"/>
      <c r="BP430" s="1119"/>
      <c r="BR430" s="1379"/>
      <c r="BS430" s="1379"/>
      <c r="BT430" s="1379"/>
      <c r="BU430" s="1545"/>
    </row>
    <row r="431" spans="1:73" s="305" customFormat="1" ht="12" hidden="1" customHeight="1" outlineLevel="2">
      <c r="A431" s="1547" t="s">
        <v>64</v>
      </c>
      <c r="B431" s="1110"/>
      <c r="C431" s="1110"/>
      <c r="D431" s="1110"/>
      <c r="E431" s="1111"/>
      <c r="F431" s="1110"/>
      <c r="G431" s="1110"/>
      <c r="H431" s="1110"/>
      <c r="I431" s="1111"/>
      <c r="J431" s="1110"/>
      <c r="K431" s="1110"/>
      <c r="L431" s="1110"/>
      <c r="M431" s="1111"/>
      <c r="N431" s="1572">
        <f t="shared" ref="N431:AN431" si="2538">+N142</f>
        <v>228</v>
      </c>
      <c r="O431" s="1572">
        <f t="shared" si="2538"/>
        <v>154</v>
      </c>
      <c r="P431" s="1572">
        <f t="shared" si="2538"/>
        <v>181</v>
      </c>
      <c r="Q431" s="1573">
        <f t="shared" si="2538"/>
        <v>169</v>
      </c>
      <c r="R431" s="1572">
        <f t="shared" si="2538"/>
        <v>239</v>
      </c>
      <c r="S431" s="1572">
        <f t="shared" si="2538"/>
        <v>165</v>
      </c>
      <c r="T431" s="1572">
        <f t="shared" si="2538"/>
        <v>173</v>
      </c>
      <c r="U431" s="1573">
        <f t="shared" si="2538"/>
        <v>178</v>
      </c>
      <c r="V431" s="1572">
        <f t="shared" si="2538"/>
        <v>241</v>
      </c>
      <c r="W431" s="1572">
        <f t="shared" si="2538"/>
        <v>160</v>
      </c>
      <c r="X431" s="1572">
        <f t="shared" si="2538"/>
        <v>193</v>
      </c>
      <c r="Y431" s="1573">
        <f t="shared" si="2538"/>
        <v>195</v>
      </c>
      <c r="Z431" s="1572">
        <f t="shared" si="2538"/>
        <v>267</v>
      </c>
      <c r="AA431" s="1572">
        <f t="shared" si="2538"/>
        <v>169</v>
      </c>
      <c r="AB431" s="1572">
        <f t="shared" si="2538"/>
        <v>201</v>
      </c>
      <c r="AC431" s="1573">
        <f t="shared" si="2538"/>
        <v>214</v>
      </c>
      <c r="AD431" s="1572">
        <f t="shared" si="2538"/>
        <v>375</v>
      </c>
      <c r="AE431" s="1572">
        <f t="shared" si="2538"/>
        <v>228</v>
      </c>
      <c r="AF431" s="1572">
        <f t="shared" si="2538"/>
        <v>292</v>
      </c>
      <c r="AG431" s="1573">
        <f t="shared" si="2538"/>
        <v>316</v>
      </c>
      <c r="AH431" s="1572">
        <f t="shared" si="2538"/>
        <v>467</v>
      </c>
      <c r="AI431" s="1572">
        <f t="shared" si="2538"/>
        <v>291</v>
      </c>
      <c r="AJ431" s="1572">
        <f t="shared" si="2538"/>
        <v>363</v>
      </c>
      <c r="AK431" s="1573">
        <f t="shared" si="2538"/>
        <v>454</v>
      </c>
      <c r="AL431" s="1572">
        <f t="shared" si="2538"/>
        <v>329</v>
      </c>
      <c r="AM431" s="1572">
        <f t="shared" si="2538"/>
        <v>355</v>
      </c>
      <c r="AN431" s="1572">
        <f t="shared" si="2538"/>
        <v>476</v>
      </c>
      <c r="AO431" s="401"/>
      <c r="AP431" s="1572"/>
      <c r="AQ431" s="1572"/>
      <c r="AR431" s="398"/>
      <c r="AS431" s="401"/>
      <c r="AT431" s="398"/>
      <c r="AU431" s="398"/>
      <c r="AV431" s="398"/>
      <c r="AW431" s="401"/>
      <c r="AX431" s="398"/>
      <c r="AY431" s="398"/>
      <c r="AZ431" s="398"/>
      <c r="BA431" s="401"/>
      <c r="BB431" s="401"/>
      <c r="BC431" s="636"/>
      <c r="BD431" s="1170"/>
      <c r="BE431" s="991"/>
      <c r="BF431" s="990"/>
      <c r="BG431" s="991"/>
      <c r="BH431" s="991"/>
      <c r="BI431" s="1119"/>
      <c r="BJ431" s="1119"/>
      <c r="BK431" s="1119"/>
      <c r="BL431" s="1119"/>
      <c r="BM431" s="1119"/>
      <c r="BN431" s="1119"/>
      <c r="BO431" s="1119"/>
      <c r="BP431" s="1119"/>
      <c r="BR431" s="1379"/>
      <c r="BS431" s="1379"/>
      <c r="BT431" s="1379"/>
      <c r="BU431" s="1568"/>
    </row>
    <row r="432" spans="1:73" s="305" customFormat="1" ht="12" hidden="1" customHeight="1" outlineLevel="2">
      <c r="A432" s="1548" t="s">
        <v>485</v>
      </c>
      <c r="B432" s="836"/>
      <c r="C432" s="836"/>
      <c r="D432" s="836"/>
      <c r="E432" s="1041"/>
      <c r="F432" s="836"/>
      <c r="G432" s="836"/>
      <c r="H432" s="836"/>
      <c r="I432" s="1041"/>
      <c r="J432" s="836"/>
      <c r="K432" s="836"/>
      <c r="L432" s="836"/>
      <c r="M432" s="1041"/>
      <c r="N432" s="836"/>
      <c r="O432" s="1549">
        <f>+O431-N431</f>
        <v>-74</v>
      </c>
      <c r="P432" s="1550">
        <f t="shared" ref="P432" si="2539">+P431-O431</f>
        <v>27</v>
      </c>
      <c r="Q432" s="1551">
        <f t="shared" ref="Q432" si="2540">+Q431-P431</f>
        <v>-12</v>
      </c>
      <c r="R432" s="1550">
        <f t="shared" ref="R432" si="2541">+R431-Q431</f>
        <v>70</v>
      </c>
      <c r="S432" s="1550">
        <f t="shared" ref="S432" si="2542">+S431-R431</f>
        <v>-74</v>
      </c>
      <c r="T432" s="1550">
        <f t="shared" ref="T432" si="2543">+T431-S431</f>
        <v>8</v>
      </c>
      <c r="U432" s="1551">
        <f t="shared" ref="U432" si="2544">+U431-T431</f>
        <v>5</v>
      </c>
      <c r="V432" s="1550">
        <f t="shared" ref="V432" si="2545">+V431-U431</f>
        <v>63</v>
      </c>
      <c r="W432" s="1550">
        <f t="shared" ref="W432" si="2546">+W431-V431</f>
        <v>-81</v>
      </c>
      <c r="X432" s="1550">
        <f t="shared" ref="X432" si="2547">+X431-W431</f>
        <v>33</v>
      </c>
      <c r="Y432" s="1551">
        <f t="shared" ref="Y432" si="2548">+Y431-X431</f>
        <v>2</v>
      </c>
      <c r="Z432" s="1550">
        <f t="shared" ref="Z432" si="2549">+Z431-Y431</f>
        <v>72</v>
      </c>
      <c r="AA432" s="1550">
        <f t="shared" ref="AA432" si="2550">+AA431-Z431</f>
        <v>-98</v>
      </c>
      <c r="AB432" s="1550">
        <f t="shared" ref="AB432" si="2551">+AB431-AA431</f>
        <v>32</v>
      </c>
      <c r="AC432" s="1551">
        <f t="shared" ref="AC432" si="2552">+AC431-AB431</f>
        <v>13</v>
      </c>
      <c r="AD432" s="1550">
        <f t="shared" ref="AD432" si="2553">+AD431-AC431</f>
        <v>161</v>
      </c>
      <c r="AE432" s="1550">
        <f t="shared" ref="AE432" si="2554">+AE431-AD431</f>
        <v>-147</v>
      </c>
      <c r="AF432" s="1550">
        <f t="shared" ref="AF432" si="2555">+AF431-AE431</f>
        <v>64</v>
      </c>
      <c r="AG432" s="1551">
        <f t="shared" ref="AG432" si="2556">+AG431-AF431</f>
        <v>24</v>
      </c>
      <c r="AH432" s="1550">
        <f t="shared" ref="AH432" si="2557">+AH431-AG431</f>
        <v>151</v>
      </c>
      <c r="AI432" s="1550">
        <f t="shared" ref="AI432" si="2558">+AI431-AH431</f>
        <v>-176</v>
      </c>
      <c r="AJ432" s="1550">
        <f t="shared" ref="AJ432" si="2559">+AJ431-AI431</f>
        <v>72</v>
      </c>
      <c r="AK432" s="1551">
        <f t="shared" ref="AK432" si="2560">+AK431-AJ431</f>
        <v>91</v>
      </c>
      <c r="AL432" s="1550">
        <f t="shared" ref="AL432" si="2561">+AL431-AK431</f>
        <v>-125</v>
      </c>
      <c r="AM432" s="1550">
        <f t="shared" ref="AM432:AN432" si="2562">+AM431-AL431</f>
        <v>26</v>
      </c>
      <c r="AN432" s="1550">
        <f t="shared" si="2562"/>
        <v>121</v>
      </c>
      <c r="AO432" s="401"/>
      <c r="AP432" s="1550"/>
      <c r="AQ432" s="1550"/>
      <c r="AR432" s="398"/>
      <c r="AS432" s="401"/>
      <c r="AT432" s="398"/>
      <c r="AU432" s="398"/>
      <c r="AV432" s="398"/>
      <c r="AW432" s="401"/>
      <c r="AX432" s="398"/>
      <c r="AY432" s="398"/>
      <c r="AZ432" s="398"/>
      <c r="BA432" s="401"/>
      <c r="BB432" s="401"/>
      <c r="BC432" s="636"/>
      <c r="BD432" s="1170"/>
      <c r="BE432" s="991"/>
      <c r="BF432" s="990"/>
      <c r="BG432" s="991"/>
      <c r="BH432" s="991"/>
      <c r="BI432" s="1119"/>
      <c r="BJ432" s="1119"/>
      <c r="BK432" s="1119"/>
      <c r="BL432" s="1119"/>
      <c r="BM432" s="1119"/>
      <c r="BN432" s="1119"/>
      <c r="BO432" s="1119"/>
      <c r="BP432" s="1119"/>
      <c r="BR432" s="1379"/>
      <c r="BS432" s="1379"/>
      <c r="BT432" s="1379"/>
      <c r="BU432" s="1545"/>
    </row>
    <row r="433" spans="1:73" s="305" customFormat="1" ht="12" hidden="1" customHeight="1" outlineLevel="2">
      <c r="A433" s="1548" t="s">
        <v>486</v>
      </c>
      <c r="B433" s="836"/>
      <c r="C433" s="836"/>
      <c r="D433" s="836"/>
      <c r="E433" s="1041"/>
      <c r="F433" s="836"/>
      <c r="G433" s="836"/>
      <c r="H433" s="836"/>
      <c r="I433" s="1041"/>
      <c r="J433" s="836"/>
      <c r="K433" s="836"/>
      <c r="L433" s="836"/>
      <c r="M433" s="1041"/>
      <c r="N433" s="836"/>
      <c r="O433" s="1552">
        <f>+(O431/N431)-1</f>
        <v>-0.32456140350877194</v>
      </c>
      <c r="P433" s="1552">
        <f t="shared" ref="P433" si="2563">+(P431/O431)-1</f>
        <v>0.17532467532467533</v>
      </c>
      <c r="Q433" s="1553">
        <f t="shared" ref="Q433" si="2564">+(Q431/P431)-1</f>
        <v>-6.6298342541436517E-2</v>
      </c>
      <c r="R433" s="1552">
        <f t="shared" ref="R433" si="2565">+(R431/Q431)-1</f>
        <v>0.41420118343195256</v>
      </c>
      <c r="S433" s="1552">
        <f t="shared" ref="S433" si="2566">+(S431/R431)-1</f>
        <v>-0.30962343096234313</v>
      </c>
      <c r="T433" s="1552">
        <f t="shared" ref="T433" si="2567">+(T431/S431)-1</f>
        <v>4.8484848484848575E-2</v>
      </c>
      <c r="U433" s="1553">
        <f t="shared" ref="U433" si="2568">+(U431/T431)-1</f>
        <v>2.8901734104046284E-2</v>
      </c>
      <c r="V433" s="1552">
        <f t="shared" ref="V433" si="2569">+(V431/U431)-1</f>
        <v>0.35393258426966301</v>
      </c>
      <c r="W433" s="1552">
        <f t="shared" ref="W433" si="2570">+(W431/V431)-1</f>
        <v>-0.33609958506224069</v>
      </c>
      <c r="X433" s="1552">
        <f t="shared" ref="X433" si="2571">+(X431/W431)-1</f>
        <v>0.20625000000000004</v>
      </c>
      <c r="Y433" s="1553">
        <f t="shared" ref="Y433" si="2572">+(Y431/X431)-1</f>
        <v>1.0362694300518172E-2</v>
      </c>
      <c r="Z433" s="1552">
        <f t="shared" ref="Z433" si="2573">+(Z431/Y431)-1</f>
        <v>0.36923076923076925</v>
      </c>
      <c r="AA433" s="1552">
        <f t="shared" ref="AA433" si="2574">+(AA431/Z431)-1</f>
        <v>-0.36704119850187267</v>
      </c>
      <c r="AB433" s="1552">
        <f t="shared" ref="AB433" si="2575">+(AB431/AA431)-1</f>
        <v>0.18934911242603558</v>
      </c>
      <c r="AC433" s="1553">
        <f t="shared" ref="AC433" si="2576">+(AC431/AB431)-1</f>
        <v>6.4676616915422924E-2</v>
      </c>
      <c r="AD433" s="1552">
        <f t="shared" ref="AD433" si="2577">+(AD431/AC431)-1</f>
        <v>0.75233644859813076</v>
      </c>
      <c r="AE433" s="1552">
        <f t="shared" ref="AE433" si="2578">+(AE431/AD431)-1</f>
        <v>-0.39200000000000002</v>
      </c>
      <c r="AF433" s="1552">
        <f t="shared" ref="AF433" si="2579">+(AF431/AE431)-1</f>
        <v>0.2807017543859649</v>
      </c>
      <c r="AG433" s="1553">
        <f t="shared" ref="AG433" si="2580">+(AG431/AF431)-1</f>
        <v>8.2191780821917915E-2</v>
      </c>
      <c r="AH433" s="1552">
        <f t="shared" ref="AH433" si="2581">+(AH431/AG431)-1</f>
        <v>0.47784810126582289</v>
      </c>
      <c r="AI433" s="1552">
        <f t="shared" ref="AI433" si="2582">+(AI431/AH431)-1</f>
        <v>-0.3768736616702355</v>
      </c>
      <c r="AJ433" s="1552">
        <f t="shared" ref="AJ433" si="2583">+(AJ431/AI431)-1</f>
        <v>0.24742268041237114</v>
      </c>
      <c r="AK433" s="1553">
        <f t="shared" ref="AK433" si="2584">+(AK431/AJ431)-1</f>
        <v>0.25068870523415976</v>
      </c>
      <c r="AL433" s="1552">
        <f t="shared" ref="AL433" si="2585">+(AL431/AK431)-1</f>
        <v>-0.27533039647577096</v>
      </c>
      <c r="AM433" s="1552">
        <f t="shared" ref="AM433:AN433" si="2586">+(AM431/AL431)-1</f>
        <v>7.9027355623100259E-2</v>
      </c>
      <c r="AN433" s="1552">
        <f t="shared" si="2586"/>
        <v>0.3408450704225352</v>
      </c>
      <c r="AO433" s="401"/>
      <c r="AP433" s="1552"/>
      <c r="AQ433" s="1552"/>
      <c r="AR433" s="398"/>
      <c r="AS433" s="401"/>
      <c r="AT433" s="398"/>
      <c r="AU433" s="398"/>
      <c r="AV433" s="398"/>
      <c r="AW433" s="401"/>
      <c r="AX433" s="398"/>
      <c r="AY433" s="398"/>
      <c r="AZ433" s="398"/>
      <c r="BA433" s="401"/>
      <c r="BB433" s="401"/>
      <c r="BC433" s="636"/>
      <c r="BD433" s="1170"/>
      <c r="BE433" s="991"/>
      <c r="BF433" s="990"/>
      <c r="BG433" s="991"/>
      <c r="BH433" s="991"/>
      <c r="BI433" s="1119"/>
      <c r="BJ433" s="1119"/>
      <c r="BK433" s="1119"/>
      <c r="BL433" s="1119"/>
      <c r="BM433" s="1119"/>
      <c r="BN433" s="1119"/>
      <c r="BO433" s="1119"/>
      <c r="BP433" s="1119"/>
      <c r="BR433" s="1379"/>
      <c r="BS433" s="1379"/>
      <c r="BT433" s="1379"/>
      <c r="BU433" s="1545"/>
    </row>
    <row r="434" spans="1:73" s="305" customFormat="1" ht="12" hidden="1" customHeight="1" outlineLevel="2">
      <c r="A434" s="1548" t="s">
        <v>487</v>
      </c>
      <c r="B434" s="836"/>
      <c r="C434" s="836"/>
      <c r="D434" s="836"/>
      <c r="E434" s="1041"/>
      <c r="F434" s="836"/>
      <c r="G434" s="836"/>
      <c r="H434" s="836"/>
      <c r="I434" s="1041"/>
      <c r="J434" s="836"/>
      <c r="K434" s="836"/>
      <c r="L434" s="836"/>
      <c r="M434" s="1041"/>
      <c r="N434" s="836"/>
      <c r="O434" s="836"/>
      <c r="P434" s="836"/>
      <c r="Q434" s="1041"/>
      <c r="R434" s="1549">
        <f>+R431-N431</f>
        <v>11</v>
      </c>
      <c r="S434" s="1550">
        <f t="shared" ref="S434" si="2587">+S431-O431</f>
        <v>11</v>
      </c>
      <c r="T434" s="1550">
        <f t="shared" ref="T434" si="2588">+T431-P431</f>
        <v>-8</v>
      </c>
      <c r="U434" s="1551">
        <f t="shared" ref="U434" si="2589">+U431-Q431</f>
        <v>9</v>
      </c>
      <c r="V434" s="1550">
        <f t="shared" ref="V434" si="2590">+V431-R431</f>
        <v>2</v>
      </c>
      <c r="W434" s="1550">
        <f t="shared" ref="W434" si="2591">+W431-S431</f>
        <v>-5</v>
      </c>
      <c r="X434" s="1550">
        <f t="shared" ref="X434" si="2592">+X431-T431</f>
        <v>20</v>
      </c>
      <c r="Y434" s="1551">
        <f t="shared" ref="Y434" si="2593">+Y431-U431</f>
        <v>17</v>
      </c>
      <c r="Z434" s="1550">
        <f t="shared" ref="Z434" si="2594">+Z431-V431</f>
        <v>26</v>
      </c>
      <c r="AA434" s="1550">
        <f t="shared" ref="AA434" si="2595">+AA431-W431</f>
        <v>9</v>
      </c>
      <c r="AB434" s="1550">
        <f t="shared" ref="AB434" si="2596">+AB431-X431</f>
        <v>8</v>
      </c>
      <c r="AC434" s="1551">
        <f t="shared" ref="AC434" si="2597">+AC431-Y431</f>
        <v>19</v>
      </c>
      <c r="AD434" s="1550">
        <f t="shared" ref="AD434" si="2598">+AD431-Z431</f>
        <v>108</v>
      </c>
      <c r="AE434" s="1550">
        <f t="shared" ref="AE434" si="2599">+AE431-AA431</f>
        <v>59</v>
      </c>
      <c r="AF434" s="1550">
        <f t="shared" ref="AF434" si="2600">+AF431-AB431</f>
        <v>91</v>
      </c>
      <c r="AG434" s="1551">
        <f t="shared" ref="AG434" si="2601">+AG431-AC431</f>
        <v>102</v>
      </c>
      <c r="AH434" s="1550">
        <f t="shared" ref="AH434" si="2602">+AH431-AD431</f>
        <v>92</v>
      </c>
      <c r="AI434" s="1550">
        <f t="shared" ref="AI434" si="2603">+AI431-AE431</f>
        <v>63</v>
      </c>
      <c r="AJ434" s="1550">
        <f t="shared" ref="AJ434" si="2604">+AJ431-AF431</f>
        <v>71</v>
      </c>
      <c r="AK434" s="1551">
        <f t="shared" ref="AK434" si="2605">+AK431-AG431</f>
        <v>138</v>
      </c>
      <c r="AL434" s="1550">
        <f t="shared" ref="AL434" si="2606">+AL431-AH431</f>
        <v>-138</v>
      </c>
      <c r="AM434" s="1550">
        <f t="shared" ref="AM434:AN434" si="2607">+AM431-AI431</f>
        <v>64</v>
      </c>
      <c r="AN434" s="1550">
        <f t="shared" si="2607"/>
        <v>113</v>
      </c>
      <c r="AO434" s="401"/>
      <c r="AP434" s="1550"/>
      <c r="AQ434" s="1550"/>
      <c r="AR434" s="398"/>
      <c r="AS434" s="401"/>
      <c r="AT434" s="398"/>
      <c r="AU434" s="398"/>
      <c r="AV434" s="398"/>
      <c r="AW434" s="401"/>
      <c r="AX434" s="398"/>
      <c r="AY434" s="398"/>
      <c r="AZ434" s="398"/>
      <c r="BA434" s="401"/>
      <c r="BB434" s="401"/>
      <c r="BC434" s="636"/>
      <c r="BD434" s="1170"/>
      <c r="BE434" s="991"/>
      <c r="BF434" s="990"/>
      <c r="BG434" s="991"/>
      <c r="BH434" s="991"/>
      <c r="BI434" s="1119"/>
      <c r="BJ434" s="1119"/>
      <c r="BK434" s="1119"/>
      <c r="BL434" s="1119"/>
      <c r="BM434" s="1119"/>
      <c r="BN434" s="1119"/>
      <c r="BO434" s="1119"/>
      <c r="BP434" s="1119"/>
      <c r="BR434" s="1379"/>
      <c r="BS434" s="1379"/>
      <c r="BT434" s="1379"/>
      <c r="BU434" s="1545"/>
    </row>
    <row r="435" spans="1:73" s="305" customFormat="1" hidden="1" outlineLevel="2">
      <c r="A435" s="1548" t="s">
        <v>488</v>
      </c>
      <c r="B435" s="836"/>
      <c r="C435" s="836"/>
      <c r="D435" s="836"/>
      <c r="E435" s="836"/>
      <c r="F435" s="836"/>
      <c r="G435" s="836"/>
      <c r="H435" s="836"/>
      <c r="I435" s="836"/>
      <c r="J435" s="836"/>
      <c r="K435" s="836"/>
      <c r="L435" s="836"/>
      <c r="M435" s="836"/>
      <c r="N435" s="836"/>
      <c r="O435" s="836"/>
      <c r="P435" s="836"/>
      <c r="Q435" s="1041"/>
      <c r="R435" s="836">
        <f>+(R431/N431)-1</f>
        <v>4.8245614035087758E-2</v>
      </c>
      <c r="S435" s="1294">
        <f t="shared" ref="S435" si="2608">+(S431/O431)-1</f>
        <v>7.1428571428571397E-2</v>
      </c>
      <c r="T435" s="1294">
        <f t="shared" ref="T435" si="2609">+(T431/P431)-1</f>
        <v>-4.4198895027624308E-2</v>
      </c>
      <c r="U435" s="1557">
        <f t="shared" ref="U435" si="2610">+(U431/Q431)-1</f>
        <v>5.3254437869822535E-2</v>
      </c>
      <c r="V435" s="1294">
        <f t="shared" ref="V435" si="2611">+(V431/R431)-1</f>
        <v>8.3682008368199945E-3</v>
      </c>
      <c r="W435" s="1294">
        <f t="shared" ref="W435" si="2612">+(W431/S431)-1</f>
        <v>-3.0303030303030276E-2</v>
      </c>
      <c r="X435" s="1294">
        <f t="shared" ref="X435" si="2613">+(X431/T431)-1</f>
        <v>0.11560693641618491</v>
      </c>
      <c r="Y435" s="1557">
        <f t="shared" ref="Y435" si="2614">+(Y431/U431)-1</f>
        <v>9.550561797752799E-2</v>
      </c>
      <c r="Z435" s="1294">
        <f t="shared" ref="Z435" si="2615">+(Z431/V431)-1</f>
        <v>0.10788381742738595</v>
      </c>
      <c r="AA435" s="1294">
        <f t="shared" ref="AA435" si="2616">+(AA431/W431)-1</f>
        <v>5.6249999999999911E-2</v>
      </c>
      <c r="AB435" s="1294">
        <f t="shared" ref="AB435" si="2617">+(AB431/X431)-1</f>
        <v>4.1450777202072464E-2</v>
      </c>
      <c r="AC435" s="1557">
        <f t="shared" ref="AC435" si="2618">+(AC431/Y431)-1</f>
        <v>9.7435897435897534E-2</v>
      </c>
      <c r="AD435" s="1294">
        <f t="shared" ref="AD435" si="2619">+(AD431/Z431)-1</f>
        <v>0.40449438202247201</v>
      </c>
      <c r="AE435" s="1294">
        <f t="shared" ref="AE435" si="2620">+(AE431/AA431)-1</f>
        <v>0.34911242603550297</v>
      </c>
      <c r="AF435" s="1294">
        <f t="shared" ref="AF435" si="2621">+(AF431/AB431)-1</f>
        <v>0.45273631840796025</v>
      </c>
      <c r="AG435" s="1557">
        <f t="shared" ref="AG435" si="2622">+(AG431/AC431)-1</f>
        <v>0.47663551401869153</v>
      </c>
      <c r="AH435" s="1294">
        <f t="shared" ref="AH435" si="2623">+(AH431/AD431)-1</f>
        <v>0.2453333333333334</v>
      </c>
      <c r="AI435" s="1294">
        <f t="shared" ref="AI435" si="2624">+(AI431/AE431)-1</f>
        <v>0.27631578947368429</v>
      </c>
      <c r="AJ435" s="1294">
        <f t="shared" ref="AJ435" si="2625">+(AJ431/AF431)-1</f>
        <v>0.24315068493150682</v>
      </c>
      <c r="AK435" s="1557">
        <f t="shared" ref="AK435" si="2626">+(AK431/AG431)-1</f>
        <v>0.43670886075949378</v>
      </c>
      <c r="AL435" s="1294">
        <f t="shared" ref="AL435" si="2627">+(AL431/AH431)-1</f>
        <v>-0.2955032119914347</v>
      </c>
      <c r="AM435" s="1294">
        <f t="shared" ref="AM435:AN435" si="2628">+(AM431/AI431)-1</f>
        <v>0.21993127147766334</v>
      </c>
      <c r="AN435" s="1294">
        <f t="shared" si="2628"/>
        <v>0.31129476584022031</v>
      </c>
      <c r="AO435" s="401"/>
      <c r="AP435" s="1294"/>
      <c r="AQ435" s="1294"/>
      <c r="AR435" s="398"/>
      <c r="AS435" s="401"/>
      <c r="AT435" s="398"/>
      <c r="AU435" s="398"/>
      <c r="AV435" s="398"/>
      <c r="AW435" s="401"/>
      <c r="AX435" s="398"/>
      <c r="AY435" s="398"/>
      <c r="AZ435" s="398"/>
      <c r="BA435" s="401"/>
      <c r="BB435" s="401"/>
      <c r="BC435" s="636"/>
      <c r="BD435" s="1170"/>
      <c r="BE435" s="991"/>
      <c r="BF435" s="990"/>
      <c r="BG435" s="991"/>
      <c r="BH435" s="991"/>
      <c r="BI435" s="1119"/>
      <c r="BJ435" s="1119"/>
      <c r="BK435" s="1119"/>
      <c r="BL435" s="1119"/>
      <c r="BM435" s="1119"/>
      <c r="BN435" s="1119"/>
      <c r="BO435" s="1119"/>
      <c r="BP435" s="1119"/>
      <c r="BR435" s="1379"/>
      <c r="BS435" s="1379"/>
      <c r="BT435" s="1379"/>
      <c r="BU435" s="1545"/>
    </row>
    <row r="436" spans="1:73" s="305" customFormat="1" ht="12" hidden="1" customHeight="1" outlineLevel="2">
      <c r="A436" s="1544"/>
      <c r="B436" s="836"/>
      <c r="C436" s="836"/>
      <c r="D436" s="836"/>
      <c r="E436" s="1041"/>
      <c r="F436" s="836"/>
      <c r="G436" s="836"/>
      <c r="H436" s="836"/>
      <c r="I436" s="1041"/>
      <c r="J436" s="836"/>
      <c r="K436" s="836"/>
      <c r="L436" s="836"/>
      <c r="M436" s="1041"/>
      <c r="N436" s="836"/>
      <c r="O436" s="836"/>
      <c r="P436" s="836"/>
      <c r="Q436" s="1041"/>
      <c r="R436" s="836"/>
      <c r="S436" s="836"/>
      <c r="T436" s="836"/>
      <c r="U436" s="1041"/>
      <c r="V436" s="836"/>
      <c r="W436" s="836"/>
      <c r="X436" s="836"/>
      <c r="Y436" s="1041"/>
      <c r="Z436" s="836"/>
      <c r="AA436" s="836"/>
      <c r="AB436" s="836"/>
      <c r="AC436" s="1041"/>
      <c r="AD436" s="836"/>
      <c r="AE436" s="836"/>
      <c r="AF436" s="836"/>
      <c r="AG436" s="1041"/>
      <c r="AH436" s="398"/>
      <c r="AI436" s="398"/>
      <c r="AJ436" s="398"/>
      <c r="AK436" s="401"/>
      <c r="AL436" s="398"/>
      <c r="AM436" s="398"/>
      <c r="AN436" s="398"/>
      <c r="AO436" s="401"/>
      <c r="AP436" s="398"/>
      <c r="AQ436" s="398"/>
      <c r="AR436" s="398"/>
      <c r="AS436" s="401"/>
      <c r="AT436" s="398"/>
      <c r="AU436" s="398"/>
      <c r="AV436" s="398"/>
      <c r="AW436" s="401"/>
      <c r="AX436" s="398"/>
      <c r="AY436" s="398"/>
      <c r="AZ436" s="398"/>
      <c r="BA436" s="401"/>
      <c r="BB436" s="401"/>
      <c r="BC436" s="636"/>
      <c r="BD436" s="1170"/>
      <c r="BE436" s="991"/>
      <c r="BF436" s="990"/>
      <c r="BG436" s="991"/>
      <c r="BH436" s="991"/>
      <c r="BI436" s="1119"/>
      <c r="BJ436" s="1119"/>
      <c r="BK436" s="1119"/>
      <c r="BL436" s="1119"/>
      <c r="BM436" s="1119"/>
      <c r="BN436" s="1119"/>
      <c r="BO436" s="1119"/>
      <c r="BP436" s="1119"/>
      <c r="BR436" s="1379"/>
      <c r="BS436" s="1379"/>
      <c r="BT436" s="1379"/>
      <c r="BU436" s="1545"/>
    </row>
    <row r="437" spans="1:73" s="305" customFormat="1" ht="12" hidden="1" customHeight="1" outlineLevel="2">
      <c r="A437" s="1547" t="s">
        <v>501</v>
      </c>
      <c r="B437" s="1110"/>
      <c r="C437" s="1110"/>
      <c r="D437" s="1110"/>
      <c r="E437" s="1111"/>
      <c r="F437" s="1110"/>
      <c r="G437" s="1110"/>
      <c r="H437" s="1110"/>
      <c r="I437" s="1111"/>
      <c r="J437" s="1110"/>
      <c r="K437" s="1110"/>
      <c r="L437" s="1110"/>
      <c r="M437" s="1111"/>
      <c r="N437" s="1572">
        <f t="shared" ref="N437:AN437" si="2629">+N148</f>
        <v>309</v>
      </c>
      <c r="O437" s="1572">
        <f t="shared" si="2629"/>
        <v>285</v>
      </c>
      <c r="P437" s="1572">
        <f t="shared" si="2629"/>
        <v>267</v>
      </c>
      <c r="Q437" s="1573">
        <f t="shared" si="2629"/>
        <v>277</v>
      </c>
      <c r="R437" s="1572">
        <f t="shared" si="2629"/>
        <v>306</v>
      </c>
      <c r="S437" s="1572">
        <f t="shared" si="2629"/>
        <v>278</v>
      </c>
      <c r="T437" s="1572">
        <f t="shared" si="2629"/>
        <v>249</v>
      </c>
      <c r="U437" s="1573">
        <f t="shared" si="2629"/>
        <v>280</v>
      </c>
      <c r="V437" s="1572">
        <f t="shared" si="2629"/>
        <v>319</v>
      </c>
      <c r="W437" s="1572">
        <f t="shared" si="2629"/>
        <v>274</v>
      </c>
      <c r="X437" s="1572">
        <f t="shared" si="2629"/>
        <v>269</v>
      </c>
      <c r="Y437" s="1573">
        <f t="shared" si="2629"/>
        <v>287</v>
      </c>
      <c r="Z437" s="1572">
        <f t="shared" si="2629"/>
        <v>331</v>
      </c>
      <c r="AA437" s="1572">
        <f t="shared" si="2629"/>
        <v>291</v>
      </c>
      <c r="AB437" s="1572">
        <f t="shared" si="2629"/>
        <v>274</v>
      </c>
      <c r="AC437" s="1573">
        <f t="shared" si="2629"/>
        <v>275</v>
      </c>
      <c r="AD437" s="1572">
        <f t="shared" si="2629"/>
        <v>264</v>
      </c>
      <c r="AE437" s="1572">
        <f t="shared" si="2629"/>
        <v>278</v>
      </c>
      <c r="AF437" s="1572">
        <f t="shared" si="2629"/>
        <v>261</v>
      </c>
      <c r="AG437" s="1573">
        <f t="shared" si="2629"/>
        <v>265</v>
      </c>
      <c r="AH437" s="1572">
        <f t="shared" si="2629"/>
        <v>259</v>
      </c>
      <c r="AI437" s="1572">
        <f t="shared" si="2629"/>
        <v>266</v>
      </c>
      <c r="AJ437" s="1572">
        <f t="shared" si="2629"/>
        <v>270</v>
      </c>
      <c r="AK437" s="1573">
        <f t="shared" si="2629"/>
        <v>271</v>
      </c>
      <c r="AL437" s="1572">
        <f t="shared" si="2629"/>
        <v>272</v>
      </c>
      <c r="AM437" s="1572">
        <f t="shared" si="2629"/>
        <v>278</v>
      </c>
      <c r="AN437" s="1572">
        <f t="shared" si="2629"/>
        <v>270</v>
      </c>
      <c r="AO437" s="401"/>
      <c r="AP437" s="1572"/>
      <c r="AQ437" s="1572"/>
      <c r="AR437" s="398"/>
      <c r="AS437" s="401"/>
      <c r="AT437" s="398"/>
      <c r="AU437" s="398"/>
      <c r="AV437" s="398"/>
      <c r="AW437" s="401"/>
      <c r="AX437" s="398"/>
      <c r="AY437" s="398"/>
      <c r="AZ437" s="398"/>
      <c r="BA437" s="401"/>
      <c r="BB437" s="401"/>
      <c r="BC437" s="636"/>
      <c r="BD437" s="1170"/>
      <c r="BE437" s="991"/>
      <c r="BF437" s="990"/>
      <c r="BG437" s="991"/>
      <c r="BH437" s="991"/>
      <c r="BI437" s="1119"/>
      <c r="BJ437" s="1119"/>
      <c r="BK437" s="1119"/>
      <c r="BL437" s="1119"/>
      <c r="BM437" s="1119"/>
      <c r="BN437" s="1119"/>
      <c r="BO437" s="1119"/>
      <c r="BP437" s="1119"/>
      <c r="BR437" s="1379"/>
      <c r="BS437" s="1379"/>
      <c r="BT437" s="1379"/>
      <c r="BU437" s="1568"/>
    </row>
    <row r="438" spans="1:73" s="305" customFormat="1" ht="12" hidden="1" customHeight="1" outlineLevel="2">
      <c r="A438" s="1548" t="s">
        <v>485</v>
      </c>
      <c r="B438" s="836"/>
      <c r="C438" s="836"/>
      <c r="D438" s="836"/>
      <c r="E438" s="1041"/>
      <c r="F438" s="836"/>
      <c r="G438" s="836"/>
      <c r="H438" s="836"/>
      <c r="I438" s="1041"/>
      <c r="J438" s="836"/>
      <c r="K438" s="836"/>
      <c r="L438" s="836"/>
      <c r="M438" s="1041"/>
      <c r="N438" s="836"/>
      <c r="O438" s="1549">
        <f>+O437-N437</f>
        <v>-24</v>
      </c>
      <c r="P438" s="1550">
        <f t="shared" ref="P438" si="2630">+P437-O437</f>
        <v>-18</v>
      </c>
      <c r="Q438" s="1551">
        <f t="shared" ref="Q438" si="2631">+Q437-P437</f>
        <v>10</v>
      </c>
      <c r="R438" s="1550">
        <f t="shared" ref="R438" si="2632">+R437-Q437</f>
        <v>29</v>
      </c>
      <c r="S438" s="1550">
        <f t="shared" ref="S438" si="2633">+S437-R437</f>
        <v>-28</v>
      </c>
      <c r="T438" s="1550">
        <f t="shared" ref="T438" si="2634">+T437-S437</f>
        <v>-29</v>
      </c>
      <c r="U438" s="1551">
        <f t="shared" ref="U438" si="2635">+U437-T437</f>
        <v>31</v>
      </c>
      <c r="V438" s="1550">
        <f t="shared" ref="V438" si="2636">+V437-U437</f>
        <v>39</v>
      </c>
      <c r="W438" s="1550">
        <f t="shared" ref="W438" si="2637">+W437-V437</f>
        <v>-45</v>
      </c>
      <c r="X438" s="1550">
        <f t="shared" ref="X438" si="2638">+X437-W437</f>
        <v>-5</v>
      </c>
      <c r="Y438" s="1551">
        <f t="shared" ref="Y438" si="2639">+Y437-X437</f>
        <v>18</v>
      </c>
      <c r="Z438" s="1550">
        <f t="shared" ref="Z438" si="2640">+Z437-Y437</f>
        <v>44</v>
      </c>
      <c r="AA438" s="1550">
        <f t="shared" ref="AA438" si="2641">+AA437-Z437</f>
        <v>-40</v>
      </c>
      <c r="AB438" s="1550">
        <f t="shared" ref="AB438" si="2642">+AB437-AA437</f>
        <v>-17</v>
      </c>
      <c r="AC438" s="1551">
        <f t="shared" ref="AC438" si="2643">+AC437-AB437</f>
        <v>1</v>
      </c>
      <c r="AD438" s="1550">
        <f t="shared" ref="AD438" si="2644">+AD437-AC437</f>
        <v>-11</v>
      </c>
      <c r="AE438" s="1550">
        <f t="shared" ref="AE438" si="2645">+AE437-AD437</f>
        <v>14</v>
      </c>
      <c r="AF438" s="1550">
        <f t="shared" ref="AF438" si="2646">+AF437-AE437</f>
        <v>-17</v>
      </c>
      <c r="AG438" s="1551">
        <f t="shared" ref="AG438" si="2647">+AG437-AF437</f>
        <v>4</v>
      </c>
      <c r="AH438" s="1550">
        <f t="shared" ref="AH438" si="2648">+AH437-AG437</f>
        <v>-6</v>
      </c>
      <c r="AI438" s="1550">
        <f t="shared" ref="AI438" si="2649">+AI437-AH437</f>
        <v>7</v>
      </c>
      <c r="AJ438" s="1550">
        <f t="shared" ref="AJ438" si="2650">+AJ437-AI437</f>
        <v>4</v>
      </c>
      <c r="AK438" s="1551">
        <f t="shared" ref="AK438" si="2651">+AK437-AJ437</f>
        <v>1</v>
      </c>
      <c r="AL438" s="1550">
        <f t="shared" ref="AL438" si="2652">+AL437-AK437</f>
        <v>1</v>
      </c>
      <c r="AM438" s="1550">
        <f t="shared" ref="AM438:AN438" si="2653">+AM437-AL437</f>
        <v>6</v>
      </c>
      <c r="AN438" s="1550">
        <f t="shared" si="2653"/>
        <v>-8</v>
      </c>
      <c r="AO438" s="401"/>
      <c r="AP438" s="1550"/>
      <c r="AQ438" s="1550"/>
      <c r="AR438" s="398"/>
      <c r="AS438" s="401"/>
      <c r="AT438" s="398"/>
      <c r="AU438" s="398"/>
      <c r="AV438" s="398"/>
      <c r="AW438" s="401"/>
      <c r="AX438" s="398"/>
      <c r="AY438" s="398"/>
      <c r="AZ438" s="398"/>
      <c r="BA438" s="401"/>
      <c r="BB438" s="401"/>
      <c r="BC438" s="636"/>
      <c r="BD438" s="1170"/>
      <c r="BE438" s="991"/>
      <c r="BF438" s="990"/>
      <c r="BG438" s="991"/>
      <c r="BH438" s="991"/>
      <c r="BI438" s="1119"/>
      <c r="BJ438" s="1119"/>
      <c r="BK438" s="1119"/>
      <c r="BL438" s="1119"/>
      <c r="BM438" s="1119"/>
      <c r="BN438" s="1119"/>
      <c r="BO438" s="1119"/>
      <c r="BP438" s="1119"/>
      <c r="BR438" s="1379"/>
      <c r="BS438" s="1379"/>
      <c r="BT438" s="1379"/>
      <c r="BU438" s="1545"/>
    </row>
    <row r="439" spans="1:73" s="305" customFormat="1" ht="12" hidden="1" customHeight="1" outlineLevel="2">
      <c r="A439" s="1548" t="s">
        <v>486</v>
      </c>
      <c r="B439" s="836"/>
      <c r="C439" s="836"/>
      <c r="D439" s="836"/>
      <c r="E439" s="1041"/>
      <c r="F439" s="836"/>
      <c r="G439" s="836"/>
      <c r="H439" s="836"/>
      <c r="I439" s="1041"/>
      <c r="J439" s="836"/>
      <c r="K439" s="836"/>
      <c r="L439" s="836"/>
      <c r="M439" s="1041"/>
      <c r="N439" s="836"/>
      <c r="O439" s="1552">
        <f>+(O437/N437)-1</f>
        <v>-7.7669902912621325E-2</v>
      </c>
      <c r="P439" s="1552">
        <f t="shared" ref="P439" si="2654">+(P437/O437)-1</f>
        <v>-6.315789473684208E-2</v>
      </c>
      <c r="Q439" s="1553">
        <f t="shared" ref="Q439" si="2655">+(Q437/P437)-1</f>
        <v>3.7453183520599342E-2</v>
      </c>
      <c r="R439" s="1552">
        <f t="shared" ref="R439" si="2656">+(R437/Q437)-1</f>
        <v>0.10469314079422376</v>
      </c>
      <c r="S439" s="1552">
        <f t="shared" ref="S439" si="2657">+(S437/R437)-1</f>
        <v>-9.1503267973856217E-2</v>
      </c>
      <c r="T439" s="1552">
        <f t="shared" ref="T439" si="2658">+(T437/S437)-1</f>
        <v>-0.10431654676258995</v>
      </c>
      <c r="U439" s="1553">
        <f t="shared" ref="U439" si="2659">+(U437/T437)-1</f>
        <v>0.12449799196787148</v>
      </c>
      <c r="V439" s="1552">
        <f t="shared" ref="V439" si="2660">+(V437/U437)-1</f>
        <v>0.13928571428571423</v>
      </c>
      <c r="W439" s="1552">
        <f t="shared" ref="W439" si="2661">+(W437/V437)-1</f>
        <v>-0.14106583072100309</v>
      </c>
      <c r="X439" s="1552">
        <f t="shared" ref="X439" si="2662">+(X437/W437)-1</f>
        <v>-1.8248175182481785E-2</v>
      </c>
      <c r="Y439" s="1553">
        <f t="shared" ref="Y439" si="2663">+(Y437/X437)-1</f>
        <v>6.6914498141263934E-2</v>
      </c>
      <c r="Z439" s="1552">
        <f t="shared" ref="Z439" si="2664">+(Z437/Y437)-1</f>
        <v>0.1533101045296168</v>
      </c>
      <c r="AA439" s="1552">
        <f t="shared" ref="AA439" si="2665">+(AA437/Z437)-1</f>
        <v>-0.12084592145015105</v>
      </c>
      <c r="AB439" s="1552">
        <f t="shared" ref="AB439" si="2666">+(AB437/AA437)-1</f>
        <v>-5.841924398625431E-2</v>
      </c>
      <c r="AC439" s="1553">
        <f t="shared" ref="AC439" si="2667">+(AC437/AB437)-1</f>
        <v>3.6496350364962904E-3</v>
      </c>
      <c r="AD439" s="1552">
        <f t="shared" ref="AD439" si="2668">+(AD437/AC437)-1</f>
        <v>-4.0000000000000036E-2</v>
      </c>
      <c r="AE439" s="1552">
        <f t="shared" ref="AE439" si="2669">+(AE437/AD437)-1</f>
        <v>5.3030303030302983E-2</v>
      </c>
      <c r="AF439" s="1552">
        <f t="shared" ref="AF439" si="2670">+(AF437/AE437)-1</f>
        <v>-6.11510791366906E-2</v>
      </c>
      <c r="AG439" s="1553">
        <f t="shared" ref="AG439" si="2671">+(AG437/AF437)-1</f>
        <v>1.5325670498084198E-2</v>
      </c>
      <c r="AH439" s="1552">
        <f t="shared" ref="AH439" si="2672">+(AH437/AG437)-1</f>
        <v>-2.2641509433962259E-2</v>
      </c>
      <c r="AI439" s="1552">
        <f t="shared" ref="AI439" si="2673">+(AI437/AH437)-1</f>
        <v>2.7027027027026973E-2</v>
      </c>
      <c r="AJ439" s="1552">
        <f t="shared" ref="AJ439" si="2674">+(AJ437/AI437)-1</f>
        <v>1.5037593984962516E-2</v>
      </c>
      <c r="AK439" s="1553">
        <f t="shared" ref="AK439" si="2675">+(AK437/AJ437)-1</f>
        <v>3.7037037037037646E-3</v>
      </c>
      <c r="AL439" s="1552">
        <f t="shared" ref="AL439" si="2676">+(AL437/AK437)-1</f>
        <v>3.6900369003689537E-3</v>
      </c>
      <c r="AM439" s="1552">
        <f t="shared" ref="AM439:AN439" si="2677">+(AM437/AL437)-1</f>
        <v>2.2058823529411686E-2</v>
      </c>
      <c r="AN439" s="1552">
        <f t="shared" si="2677"/>
        <v>-2.877697841726623E-2</v>
      </c>
      <c r="AO439" s="401"/>
      <c r="AP439" s="1552"/>
      <c r="AQ439" s="1552"/>
      <c r="AR439" s="398"/>
      <c r="AS439" s="401"/>
      <c r="AT439" s="398"/>
      <c r="AU439" s="398"/>
      <c r="AV439" s="398"/>
      <c r="AW439" s="401"/>
      <c r="AX439" s="398"/>
      <c r="AY439" s="398"/>
      <c r="AZ439" s="398"/>
      <c r="BA439" s="401"/>
      <c r="BB439" s="401"/>
      <c r="BC439" s="636"/>
      <c r="BD439" s="1170"/>
      <c r="BE439" s="991"/>
      <c r="BF439" s="990"/>
      <c r="BG439" s="991"/>
      <c r="BH439" s="991"/>
      <c r="BI439" s="1119"/>
      <c r="BJ439" s="1119"/>
      <c r="BK439" s="1119"/>
      <c r="BL439" s="1119"/>
      <c r="BM439" s="1119"/>
      <c r="BN439" s="1119"/>
      <c r="BO439" s="1119"/>
      <c r="BP439" s="1119"/>
      <c r="BR439" s="1379"/>
      <c r="BS439" s="1379"/>
      <c r="BT439" s="1379"/>
      <c r="BU439" s="1545"/>
    </row>
    <row r="440" spans="1:73" s="305" customFormat="1" ht="12" hidden="1" customHeight="1" outlineLevel="2">
      <c r="A440" s="1548" t="s">
        <v>487</v>
      </c>
      <c r="B440" s="836"/>
      <c r="C440" s="836"/>
      <c r="D440" s="836"/>
      <c r="E440" s="1041"/>
      <c r="F440" s="836"/>
      <c r="G440" s="836"/>
      <c r="H440" s="836"/>
      <c r="I440" s="1041"/>
      <c r="J440" s="836"/>
      <c r="K440" s="836"/>
      <c r="L440" s="836"/>
      <c r="M440" s="1041"/>
      <c r="N440" s="836"/>
      <c r="O440" s="836"/>
      <c r="P440" s="836"/>
      <c r="Q440" s="1041"/>
      <c r="R440" s="1549">
        <f>+R437-N437</f>
        <v>-3</v>
      </c>
      <c r="S440" s="1550">
        <f t="shared" ref="S440" si="2678">+S437-O437</f>
        <v>-7</v>
      </c>
      <c r="T440" s="1550">
        <f t="shared" ref="T440" si="2679">+T437-P437</f>
        <v>-18</v>
      </c>
      <c r="U440" s="1551">
        <f t="shared" ref="U440" si="2680">+U437-Q437</f>
        <v>3</v>
      </c>
      <c r="V440" s="1550">
        <f t="shared" ref="V440" si="2681">+V437-R437</f>
        <v>13</v>
      </c>
      <c r="W440" s="1550">
        <f t="shared" ref="W440" si="2682">+W437-S437</f>
        <v>-4</v>
      </c>
      <c r="X440" s="1550">
        <f t="shared" ref="X440" si="2683">+X437-T437</f>
        <v>20</v>
      </c>
      <c r="Y440" s="1551">
        <f t="shared" ref="Y440" si="2684">+Y437-U437</f>
        <v>7</v>
      </c>
      <c r="Z440" s="1550">
        <f t="shared" ref="Z440" si="2685">+Z437-V437</f>
        <v>12</v>
      </c>
      <c r="AA440" s="1550">
        <f t="shared" ref="AA440" si="2686">+AA437-W437</f>
        <v>17</v>
      </c>
      <c r="AB440" s="1550">
        <f t="shared" ref="AB440" si="2687">+AB437-X437</f>
        <v>5</v>
      </c>
      <c r="AC440" s="1551">
        <f t="shared" ref="AC440" si="2688">+AC437-Y437</f>
        <v>-12</v>
      </c>
      <c r="AD440" s="1550">
        <f t="shared" ref="AD440" si="2689">+AD437-Z437</f>
        <v>-67</v>
      </c>
      <c r="AE440" s="1550">
        <f t="shared" ref="AE440" si="2690">+AE437-AA437</f>
        <v>-13</v>
      </c>
      <c r="AF440" s="1550">
        <f t="shared" ref="AF440" si="2691">+AF437-AB437</f>
        <v>-13</v>
      </c>
      <c r="AG440" s="1551">
        <f t="shared" ref="AG440" si="2692">+AG437-AC437</f>
        <v>-10</v>
      </c>
      <c r="AH440" s="1550">
        <f t="shared" ref="AH440" si="2693">+AH437-AD437</f>
        <v>-5</v>
      </c>
      <c r="AI440" s="1550">
        <f t="shared" ref="AI440" si="2694">+AI437-AE437</f>
        <v>-12</v>
      </c>
      <c r="AJ440" s="1550">
        <f t="shared" ref="AJ440" si="2695">+AJ437-AF437</f>
        <v>9</v>
      </c>
      <c r="AK440" s="1551">
        <f t="shared" ref="AK440" si="2696">+AK437-AG437</f>
        <v>6</v>
      </c>
      <c r="AL440" s="1550">
        <f t="shared" ref="AL440" si="2697">+AL437-AH437</f>
        <v>13</v>
      </c>
      <c r="AM440" s="1550">
        <f t="shared" ref="AM440:AN440" si="2698">+AM437-AI437</f>
        <v>12</v>
      </c>
      <c r="AN440" s="1550">
        <f t="shared" si="2698"/>
        <v>0</v>
      </c>
      <c r="AO440" s="401"/>
      <c r="AP440" s="1550"/>
      <c r="AQ440" s="1550"/>
      <c r="AR440" s="398"/>
      <c r="AS440" s="401"/>
      <c r="AT440" s="398"/>
      <c r="AU440" s="398"/>
      <c r="AV440" s="398"/>
      <c r="AW440" s="401"/>
      <c r="AX440" s="398"/>
      <c r="AY440" s="398"/>
      <c r="AZ440" s="398"/>
      <c r="BA440" s="401"/>
      <c r="BB440" s="401"/>
      <c r="BC440" s="636"/>
      <c r="BD440" s="1170"/>
      <c r="BE440" s="991"/>
      <c r="BF440" s="990"/>
      <c r="BG440" s="991"/>
      <c r="BH440" s="991"/>
      <c r="BI440" s="1119"/>
      <c r="BJ440" s="1119"/>
      <c r="BK440" s="1119"/>
      <c r="BL440" s="1119"/>
      <c r="BM440" s="1119"/>
      <c r="BN440" s="1119"/>
      <c r="BO440" s="1119"/>
      <c r="BP440" s="1119"/>
      <c r="BR440" s="1379"/>
      <c r="BS440" s="1379"/>
      <c r="BT440" s="1379"/>
      <c r="BU440" s="1545"/>
    </row>
    <row r="441" spans="1:73" s="305" customFormat="1" hidden="1" outlineLevel="2">
      <c r="A441" s="1548" t="s">
        <v>488</v>
      </c>
      <c r="B441" s="836"/>
      <c r="C441" s="836"/>
      <c r="D441" s="836"/>
      <c r="E441" s="836"/>
      <c r="F441" s="836"/>
      <c r="G441" s="836"/>
      <c r="H441" s="836"/>
      <c r="I441" s="836"/>
      <c r="J441" s="836"/>
      <c r="K441" s="836"/>
      <c r="L441" s="836"/>
      <c r="M441" s="836"/>
      <c r="N441" s="836"/>
      <c r="O441" s="836"/>
      <c r="P441" s="836"/>
      <c r="Q441" s="1041"/>
      <c r="R441" s="836">
        <f>+(R437/N437)-1</f>
        <v>-9.7087378640776656E-3</v>
      </c>
      <c r="S441" s="1294">
        <f t="shared" ref="S441" si="2699">+(S437/O437)-1</f>
        <v>-2.4561403508771895E-2</v>
      </c>
      <c r="T441" s="1294">
        <f t="shared" ref="T441" si="2700">+(T437/P437)-1</f>
        <v>-6.7415730337078705E-2</v>
      </c>
      <c r="U441" s="1557">
        <f t="shared" ref="U441" si="2701">+(U437/Q437)-1</f>
        <v>1.0830324909747224E-2</v>
      </c>
      <c r="V441" s="1294">
        <f t="shared" ref="V441" si="2702">+(V437/R437)-1</f>
        <v>4.2483660130719025E-2</v>
      </c>
      <c r="W441" s="1294">
        <f t="shared" ref="W441" si="2703">+(W437/S437)-1</f>
        <v>-1.4388489208633115E-2</v>
      </c>
      <c r="X441" s="1294">
        <f t="shared" ref="X441" si="2704">+(X437/T437)-1</f>
        <v>8.032128514056236E-2</v>
      </c>
      <c r="Y441" s="1557">
        <f t="shared" ref="Y441" si="2705">+(Y437/U437)-1</f>
        <v>2.4999999999999911E-2</v>
      </c>
      <c r="Z441" s="1294">
        <f t="shared" ref="Z441" si="2706">+(Z437/V437)-1</f>
        <v>3.7617554858934144E-2</v>
      </c>
      <c r="AA441" s="1294">
        <f t="shared" ref="AA441" si="2707">+(AA437/W437)-1</f>
        <v>6.2043795620438047E-2</v>
      </c>
      <c r="AB441" s="1294">
        <f t="shared" ref="AB441" si="2708">+(AB437/X437)-1</f>
        <v>1.8587360594795488E-2</v>
      </c>
      <c r="AC441" s="1557">
        <f t="shared" ref="AC441" si="2709">+(AC437/Y437)-1</f>
        <v>-4.181184668989546E-2</v>
      </c>
      <c r="AD441" s="1294">
        <f t="shared" ref="AD441" si="2710">+(AD437/Z437)-1</f>
        <v>-0.202416918429003</v>
      </c>
      <c r="AE441" s="1294">
        <f t="shared" ref="AE441" si="2711">+(AE437/AA437)-1</f>
        <v>-4.4673539518900296E-2</v>
      </c>
      <c r="AF441" s="1294">
        <f t="shared" ref="AF441" si="2712">+(AF437/AB437)-1</f>
        <v>-4.7445255474452552E-2</v>
      </c>
      <c r="AG441" s="1557">
        <f t="shared" ref="AG441" si="2713">+(AG437/AC437)-1</f>
        <v>-3.6363636363636376E-2</v>
      </c>
      <c r="AH441" s="1294">
        <f t="shared" ref="AH441" si="2714">+(AH437/AD437)-1</f>
        <v>-1.8939393939393923E-2</v>
      </c>
      <c r="AI441" s="1294">
        <f t="shared" ref="AI441" si="2715">+(AI437/AE437)-1</f>
        <v>-4.3165467625899234E-2</v>
      </c>
      <c r="AJ441" s="1294">
        <f t="shared" ref="AJ441" si="2716">+(AJ437/AF437)-1</f>
        <v>3.4482758620689724E-2</v>
      </c>
      <c r="AK441" s="1557">
        <f t="shared" ref="AK441" si="2717">+(AK437/AG437)-1</f>
        <v>2.2641509433962259E-2</v>
      </c>
      <c r="AL441" s="1294">
        <f t="shared" ref="AL441" si="2718">+(AL437/AH437)-1</f>
        <v>5.0193050193050093E-2</v>
      </c>
      <c r="AM441" s="1294">
        <f t="shared" ref="AM441:AN441" si="2719">+(AM437/AI437)-1</f>
        <v>4.5112781954887327E-2</v>
      </c>
      <c r="AN441" s="1294">
        <f t="shared" si="2719"/>
        <v>0</v>
      </c>
      <c r="AO441" s="401"/>
      <c r="AP441" s="1294"/>
      <c r="AQ441" s="1294"/>
      <c r="AR441" s="398"/>
      <c r="AS441" s="401"/>
      <c r="AT441" s="398"/>
      <c r="AU441" s="398"/>
      <c r="AV441" s="398"/>
      <c r="AW441" s="401"/>
      <c r="AX441" s="398"/>
      <c r="AY441" s="398"/>
      <c r="AZ441" s="398"/>
      <c r="BA441" s="398"/>
      <c r="BB441" s="398"/>
      <c r="BC441" s="636"/>
      <c r="BD441" s="1170"/>
      <c r="BE441" s="991"/>
      <c r="BF441" s="990"/>
      <c r="BG441" s="991"/>
      <c r="BH441" s="991"/>
      <c r="BI441" s="1119"/>
      <c r="BJ441" s="1119"/>
      <c r="BK441" s="1119"/>
      <c r="BL441" s="1119"/>
      <c r="BM441" s="1119"/>
      <c r="BN441" s="1119"/>
      <c r="BO441" s="1119"/>
      <c r="BP441" s="1119"/>
      <c r="BR441" s="1379"/>
      <c r="BS441" s="1379"/>
      <c r="BT441" s="1379"/>
      <c r="BU441" s="1545"/>
    </row>
    <row r="442" spans="1:73" s="305" customFormat="1" ht="12" hidden="1" customHeight="1" outlineLevel="2">
      <c r="A442" s="1037"/>
      <c r="B442" s="837"/>
      <c r="C442" s="837"/>
      <c r="D442" s="837"/>
      <c r="E442" s="838"/>
      <c r="F442" s="837"/>
      <c r="G442" s="837"/>
      <c r="H442" s="837"/>
      <c r="I442" s="838"/>
      <c r="J442" s="837"/>
      <c r="K442" s="837"/>
      <c r="L442" s="837"/>
      <c r="M442" s="838"/>
      <c r="N442" s="836"/>
      <c r="O442" s="836"/>
      <c r="P442" s="836"/>
      <c r="Q442" s="1041"/>
      <c r="R442" s="836"/>
      <c r="S442" s="836"/>
      <c r="T442" s="836"/>
      <c r="U442" s="1041"/>
      <c r="V442" s="836"/>
      <c r="W442" s="836"/>
      <c r="X442" s="836"/>
      <c r="Y442" s="838"/>
      <c r="Z442" s="836"/>
      <c r="AA442" s="836"/>
      <c r="AB442" s="836"/>
      <c r="AC442" s="1041"/>
      <c r="AD442" s="836"/>
      <c r="AE442" s="836"/>
      <c r="AF442" s="836"/>
      <c r="AG442" s="1041"/>
      <c r="AH442" s="398"/>
      <c r="AI442" s="398"/>
      <c r="AJ442" s="398"/>
      <c r="AK442" s="401"/>
      <c r="AL442" s="398"/>
      <c r="AM442" s="398"/>
      <c r="AN442" s="398"/>
      <c r="AO442" s="401"/>
      <c r="AP442" s="398"/>
      <c r="AQ442" s="398"/>
      <c r="AR442" s="398"/>
      <c r="AS442" s="401"/>
      <c r="AT442" s="398"/>
      <c r="AU442" s="398"/>
      <c r="AV442" s="398"/>
      <c r="AW442" s="401"/>
      <c r="AX442" s="398"/>
      <c r="AY442" s="398"/>
      <c r="AZ442" s="398"/>
      <c r="BA442" s="401"/>
      <c r="BB442" s="401"/>
      <c r="BC442" s="1115">
        <v>0.877</v>
      </c>
      <c r="BD442" s="1112">
        <v>1.226</v>
      </c>
      <c r="BE442" s="1116">
        <v>1.881</v>
      </c>
      <c r="BF442" s="1115">
        <v>2.6120000000000001</v>
      </c>
      <c r="BG442" s="1112">
        <v>3.3</v>
      </c>
      <c r="BH442" s="1116"/>
      <c r="BI442" s="1171"/>
      <c r="BJ442" s="1171"/>
      <c r="BK442" s="1171"/>
      <c r="BL442" s="1171"/>
      <c r="BM442" s="1171"/>
      <c r="BN442" s="1171"/>
      <c r="BO442" s="1171"/>
      <c r="BP442" s="1171"/>
      <c r="BR442" s="1379"/>
      <c r="BS442" s="1379"/>
      <c r="BT442" s="1379"/>
      <c r="BU442" s="1260"/>
    </row>
    <row r="443" spans="1:73" s="1035" customFormat="1" ht="12" hidden="1" customHeight="1" outlineLevel="2">
      <c r="A443" s="1034"/>
      <c r="B443" s="837"/>
      <c r="C443" s="837"/>
      <c r="D443" s="837"/>
      <c r="E443" s="838"/>
      <c r="F443" s="837"/>
      <c r="G443" s="837"/>
      <c r="H443" s="837"/>
      <c r="I443" s="838"/>
      <c r="J443" s="837"/>
      <c r="K443" s="837"/>
      <c r="L443" s="837"/>
      <c r="M443" s="838"/>
      <c r="N443" s="836"/>
      <c r="O443" s="836"/>
      <c r="P443" s="836"/>
      <c r="Q443" s="1041"/>
      <c r="R443" s="836"/>
      <c r="S443" s="836"/>
      <c r="T443" s="836"/>
      <c r="U443" s="1041"/>
      <c r="V443" s="836"/>
      <c r="W443" s="836"/>
      <c r="X443" s="836"/>
      <c r="Y443" s="838"/>
      <c r="Z443" s="836"/>
      <c r="AA443" s="836"/>
      <c r="AB443" s="836"/>
      <c r="AC443" s="1041"/>
      <c r="AD443" s="836"/>
      <c r="AE443" s="836"/>
      <c r="AF443" s="836"/>
      <c r="AG443" s="1041"/>
      <c r="AH443" s="1175"/>
      <c r="AI443" s="1175"/>
      <c r="AJ443" s="1175"/>
      <c r="AK443" s="1176"/>
      <c r="AL443" s="1175"/>
      <c r="AM443" s="1175"/>
      <c r="AN443" s="1175"/>
      <c r="AO443" s="1176"/>
      <c r="AP443" s="1175"/>
      <c r="AQ443" s="1175"/>
      <c r="AR443" s="1175"/>
      <c r="AS443" s="1176"/>
      <c r="AT443" s="1175"/>
      <c r="AU443" s="1175"/>
      <c r="AV443" s="1175"/>
      <c r="AW443" s="1176"/>
      <c r="AX443" s="1175"/>
      <c r="AY443" s="1175"/>
      <c r="AZ443" s="1175"/>
      <c r="BA443" s="1176"/>
      <c r="BB443" s="1176"/>
      <c r="BC443" s="1177">
        <f>+BC442/BC415</f>
        <v>1</v>
      </c>
      <c r="BD443" s="1177">
        <f>+BD442/BD415</f>
        <v>1</v>
      </c>
      <c r="BE443" s="1177">
        <f>+BE442/BE415</f>
        <v>1</v>
      </c>
      <c r="BF443" s="1177">
        <f>+BF442/BF415</f>
        <v>1</v>
      </c>
      <c r="BG443" s="1177">
        <f>+BG442/BG415</f>
        <v>1</v>
      </c>
      <c r="BH443" s="991"/>
      <c r="BI443" s="1171"/>
      <c r="BJ443" s="1171"/>
      <c r="BK443" s="1171"/>
      <c r="BL443" s="1171"/>
      <c r="BM443" s="1171"/>
      <c r="BN443" s="1171"/>
      <c r="BO443" s="1171"/>
      <c r="BP443" s="1171"/>
      <c r="BR443" s="1441"/>
      <c r="BS443" s="1441"/>
      <c r="BT443" s="1441"/>
      <c r="BU443" s="1260"/>
    </row>
    <row r="444" spans="1:73" s="305" customFormat="1" ht="12" hidden="1" customHeight="1" outlineLevel="2">
      <c r="A444" s="1002" t="s">
        <v>76</v>
      </c>
      <c r="B444" s="1142">
        <v>1.159</v>
      </c>
      <c r="C444" s="1142">
        <v>1.2569999999999999</v>
      </c>
      <c r="D444" s="1142">
        <v>1.397</v>
      </c>
      <c r="E444" s="1143">
        <v>1.5129999999999999</v>
      </c>
      <c r="F444" s="1151">
        <v>1.6379999999999999</v>
      </c>
      <c r="G444" s="1151">
        <v>1.871</v>
      </c>
      <c r="H444" s="1151">
        <v>2.2200000000000002</v>
      </c>
      <c r="I444" s="1152">
        <v>2.383</v>
      </c>
      <c r="J444" s="1151">
        <v>2.552</v>
      </c>
      <c r="K444" s="1151">
        <v>2.827</v>
      </c>
      <c r="L444" s="1151">
        <v>3.2229999999999999</v>
      </c>
      <c r="M444" s="1152">
        <v>1</v>
      </c>
      <c r="N444" s="1151"/>
      <c r="O444" s="1151"/>
      <c r="P444" s="1151"/>
      <c r="Q444" s="1543">
        <v>1.2</v>
      </c>
      <c r="R444" s="1151"/>
      <c r="S444" s="1151"/>
      <c r="T444" s="1151"/>
      <c r="U444" s="1543">
        <v>1.05</v>
      </c>
      <c r="V444" s="1151"/>
      <c r="W444" s="1151"/>
      <c r="X444" s="1151"/>
      <c r="Y444" s="1543">
        <v>1</v>
      </c>
      <c r="Z444" s="1151"/>
      <c r="AA444" s="1151"/>
      <c r="AB444" s="1151"/>
      <c r="AC444" s="1543">
        <v>0.9</v>
      </c>
      <c r="AD444" s="1151"/>
      <c r="AE444" s="1151"/>
      <c r="AF444" s="1151"/>
      <c r="AG444" s="1543">
        <v>0.9</v>
      </c>
      <c r="AH444" s="1151"/>
      <c r="AI444" s="1151"/>
      <c r="AJ444" s="1151"/>
      <c r="AK444" s="1543">
        <f>+AG444*(1+AK445)</f>
        <v>0.99900000000000011</v>
      </c>
      <c r="AL444" s="1576"/>
      <c r="AM444" s="1576"/>
      <c r="AN444" s="1576">
        <v>1</v>
      </c>
      <c r="AO444" s="1152">
        <v>0.9</v>
      </c>
      <c r="AP444" s="1576"/>
      <c r="AQ444" s="1151"/>
      <c r="AR444" s="1151"/>
      <c r="AS444" s="1152"/>
      <c r="AT444" s="1151"/>
      <c r="AU444" s="1151"/>
      <c r="AV444" s="1151"/>
      <c r="AW444" s="1152"/>
      <c r="AX444" s="1151"/>
      <c r="AY444" s="1151"/>
      <c r="AZ444" s="1151"/>
      <c r="BA444" s="1152"/>
      <c r="BB444" s="401"/>
      <c r="BC444" s="1116">
        <v>1.075</v>
      </c>
      <c r="BD444" s="1116">
        <v>1.5129999999999999</v>
      </c>
      <c r="BE444" s="1116">
        <v>2.383</v>
      </c>
      <c r="BF444" s="1115">
        <v>3.4119999999999999</v>
      </c>
      <c r="BG444" s="1558">
        <v>4.5359999999999996</v>
      </c>
      <c r="BH444" s="1116">
        <v>5.0830000000000002</v>
      </c>
      <c r="BI444" s="1160">
        <f>+Y444</f>
        <v>1</v>
      </c>
      <c r="BJ444" s="1160">
        <f>+AC444</f>
        <v>0.9</v>
      </c>
      <c r="BK444" s="1160">
        <f>+AG444</f>
        <v>0.9</v>
      </c>
      <c r="BL444" s="1160">
        <f>+AK444</f>
        <v>0.99900000000000011</v>
      </c>
      <c r="BM444" s="1160">
        <f>+AO444</f>
        <v>0.9</v>
      </c>
      <c r="BN444" s="1160">
        <f>+AS444</f>
        <v>0</v>
      </c>
      <c r="BO444" s="1160">
        <f>+AW444</f>
        <v>0</v>
      </c>
      <c r="BP444" s="1160">
        <f>+BA444</f>
        <v>0</v>
      </c>
      <c r="BR444" s="1379"/>
      <c r="BS444" s="1379"/>
      <c r="BT444" s="1379"/>
      <c r="BU444" s="1260"/>
    </row>
    <row r="445" spans="1:73" s="305" customFormat="1" ht="12" hidden="1" customHeight="1" outlineLevel="2">
      <c r="A445" s="1037" t="s">
        <v>181</v>
      </c>
      <c r="B445" s="837"/>
      <c r="C445" s="837"/>
      <c r="D445" s="837"/>
      <c r="E445" s="838"/>
      <c r="F445" s="1044">
        <f t="shared" ref="F445" si="2720">IF(ISERROR(F444/B444-1),"NA",F444/B444-1)</f>
        <v>0.41328731665228635</v>
      </c>
      <c r="G445" s="837">
        <f t="shared" ref="G445" si="2721">IF(ISERROR(G444/C444-1),"NA",G444/C444-1)</f>
        <v>0.48846459824980126</v>
      </c>
      <c r="H445" s="837">
        <f t="shared" ref="H445" si="2722">IF(ISERROR(H444/D444-1),"NA",H444/D444-1)</f>
        <v>0.58911954187544757</v>
      </c>
      <c r="I445" s="838">
        <f t="shared" ref="I445" si="2723">IF(ISERROR(I444/E444-1),"NA",I444/E444-1)</f>
        <v>0.575016523463318</v>
      </c>
      <c r="J445" s="1044">
        <f t="shared" ref="J445" si="2724">IF(ISERROR(J444/F444-1),"NA",J444/F444-1)</f>
        <v>0.55799755799755801</v>
      </c>
      <c r="K445" s="837">
        <f t="shared" ref="K445" si="2725">IF(ISERROR(K444/G444-1),"NA",K444/G444-1)</f>
        <v>0.51095670764297174</v>
      </c>
      <c r="L445" s="837">
        <f t="shared" ref="L445" si="2726">IF(ISERROR(L444/H444-1),"NA",L444/H444-1)</f>
        <v>0.45180180180180152</v>
      </c>
      <c r="M445" s="838">
        <f t="shared" ref="M445" si="2727">IF(ISERROR(M444/I444-1),"NA",M444/I444-1)</f>
        <v>-0.58036088963491395</v>
      </c>
      <c r="N445" s="1044"/>
      <c r="O445" s="837"/>
      <c r="P445" s="837"/>
      <c r="Q445" s="838">
        <f>+Q444/M444-1</f>
        <v>0.19999999999999996</v>
      </c>
      <c r="R445" s="837"/>
      <c r="S445" s="837"/>
      <c r="T445" s="837"/>
      <c r="U445" s="838">
        <f>+U444/Q444-1</f>
        <v>-0.12499999999999989</v>
      </c>
      <c r="V445" s="837"/>
      <c r="W445" s="837"/>
      <c r="X445" s="837"/>
      <c r="Y445" s="838">
        <f>+Y444/U444-1</f>
        <v>-4.7619047619047672E-2</v>
      </c>
      <c r="Z445" s="836"/>
      <c r="AA445" s="837"/>
      <c r="AB445" s="837"/>
      <c r="AC445" s="838">
        <f>+AC444/Y444-1</f>
        <v>-9.9999999999999978E-2</v>
      </c>
      <c r="AD445" s="837"/>
      <c r="AE445" s="837"/>
      <c r="AF445" s="837"/>
      <c r="AG445" s="838">
        <f>+AG444/AC444-1</f>
        <v>0</v>
      </c>
      <c r="AH445" s="837"/>
      <c r="AI445" s="837"/>
      <c r="AJ445" s="837"/>
      <c r="AK445" s="838">
        <v>0.11</v>
      </c>
      <c r="AL445" s="1577"/>
      <c r="AM445" s="1577"/>
      <c r="AN445" s="1577"/>
      <c r="AO445" s="1580"/>
      <c r="AP445" s="1577"/>
      <c r="AQ445" s="837"/>
      <c r="AR445" s="837"/>
      <c r="AS445" s="838"/>
      <c r="AT445" s="837"/>
      <c r="AU445" s="837"/>
      <c r="AV445" s="837"/>
      <c r="AW445" s="838"/>
      <c r="AX445" s="837"/>
      <c r="AY445" s="837"/>
      <c r="AZ445" s="837"/>
      <c r="BA445" s="838"/>
      <c r="BB445" s="401"/>
      <c r="BC445" s="985" t="str">
        <f t="shared" ref="BC445" si="2728">IF(ISERROR(BC444/BB444-1),"NA",BC444/BB444-1)</f>
        <v>NA</v>
      </c>
      <c r="BD445" s="985">
        <f t="shared" ref="BD445" si="2729">IF(ISERROR(BD444/BC444-1),"NA",BD444/BC444-1)</f>
        <v>0.40744186046511621</v>
      </c>
      <c r="BE445" s="985">
        <f t="shared" ref="BE445" si="2730">IF(ISERROR(BE444/BD444-1),"NA",BE444/BD444-1)</f>
        <v>0.575016523463318</v>
      </c>
      <c r="BF445" s="985">
        <f t="shared" ref="BF445" si="2731">IF(ISERROR(BF444/BE444-1),"NA",BF444/BE444-1)</f>
        <v>0.43180864456567347</v>
      </c>
      <c r="BG445" s="1187">
        <f t="shared" ref="BG445" si="2732">IF(ISERROR(BG444/BF444-1),"NA",BG444/BF444-1)</f>
        <v>0.32942555685814767</v>
      </c>
      <c r="BH445" s="1187">
        <f t="shared" ref="BH445" si="2733">IF(ISERROR(BH444/BG444-1),"NA",BH444/BG444-1)</f>
        <v>0.1205908289241624</v>
      </c>
      <c r="BI445" s="1187">
        <f t="shared" ref="BI445" si="2734">IF(ISERROR(BI444/BH444-1),"NA",BI444/BH444-1)</f>
        <v>-0.80326578792051939</v>
      </c>
      <c r="BJ445" s="1187">
        <f t="shared" ref="BJ445" si="2735">IF(ISERROR(BJ444/BI444-1),"NA",BJ444/BI444-1)</f>
        <v>-9.9999999999999978E-2</v>
      </c>
      <c r="BK445" s="1187">
        <f t="shared" ref="BK445" si="2736">IF(ISERROR(BK444/BJ444-1),"NA",BK444/BJ444-1)</f>
        <v>0</v>
      </c>
      <c r="BL445" s="1187">
        <f t="shared" ref="BL445" si="2737">IF(ISERROR(BL444/BK444-1),"NA",BL444/BK444-1)</f>
        <v>0.1100000000000001</v>
      </c>
      <c r="BM445" s="1187">
        <f t="shared" ref="BM445" si="2738">IF(ISERROR(BM444/BL444-1),"NA",BM444/BL444-1)</f>
        <v>-9.9099099099099197E-2</v>
      </c>
      <c r="BN445" s="1187">
        <f t="shared" ref="BN445" si="2739">IF(ISERROR(BN444/BM444-1),"NA",BN444/BM444-1)</f>
        <v>-1</v>
      </c>
      <c r="BO445" s="1187" t="str">
        <f t="shared" ref="BO445" si="2740">IF(ISERROR(BO444/BN444-1),"NA",BO444/BN444-1)</f>
        <v>NA</v>
      </c>
      <c r="BP445" s="1187" t="str">
        <f t="shared" ref="BP445" si="2741">IF(ISERROR(BP444/BO444-1),"NA",BP444/BO444-1)</f>
        <v>NA</v>
      </c>
      <c r="BR445" s="1379"/>
      <c r="BS445" s="1379"/>
      <c r="BT445" s="1379"/>
      <c r="BU445" s="1260"/>
    </row>
    <row r="446" spans="1:73" s="570" customFormat="1" ht="12" hidden="1" customHeight="1" outlineLevel="2">
      <c r="A446" s="1049" t="s">
        <v>385</v>
      </c>
      <c r="B446" s="1144"/>
      <c r="C446" s="1147">
        <f t="shared" ref="C446:M446" si="2742">+C444-B444</f>
        <v>9.7999999999999865E-2</v>
      </c>
      <c r="D446" s="1147">
        <f t="shared" si="2742"/>
        <v>0.14000000000000012</v>
      </c>
      <c r="E446" s="1148">
        <f t="shared" si="2742"/>
        <v>0.11599999999999988</v>
      </c>
      <c r="F446" s="1147">
        <f t="shared" si="2742"/>
        <v>0.125</v>
      </c>
      <c r="G446" s="1147">
        <f t="shared" si="2742"/>
        <v>0.2330000000000001</v>
      </c>
      <c r="H446" s="1147">
        <f t="shared" si="2742"/>
        <v>0.3490000000000002</v>
      </c>
      <c r="I446" s="1148">
        <f t="shared" si="2742"/>
        <v>0.16299999999999981</v>
      </c>
      <c r="J446" s="1147">
        <f t="shared" si="2742"/>
        <v>0.16900000000000004</v>
      </c>
      <c r="K446" s="1147">
        <f t="shared" si="2742"/>
        <v>0.27499999999999991</v>
      </c>
      <c r="L446" s="1147">
        <f t="shared" si="2742"/>
        <v>0.39599999999999991</v>
      </c>
      <c r="M446" s="1148">
        <f t="shared" si="2742"/>
        <v>-2.2229999999999999</v>
      </c>
      <c r="N446" s="1147"/>
      <c r="O446" s="1147"/>
      <c r="P446" s="1147"/>
      <c r="Q446" s="1148"/>
      <c r="R446" s="1147"/>
      <c r="S446" s="1147"/>
      <c r="T446" s="1147"/>
      <c r="U446" s="1561">
        <f>+U444-Q444</f>
        <v>-0.14999999999999991</v>
      </c>
      <c r="V446" s="1147"/>
      <c r="W446" s="1207"/>
      <c r="X446" s="1147"/>
      <c r="Y446" s="1561">
        <f>+Y444-U444</f>
        <v>-5.0000000000000044E-2</v>
      </c>
      <c r="Z446" s="1149"/>
      <c r="AA446" s="1149"/>
      <c r="AB446" s="1149"/>
      <c r="AC446" s="1561">
        <f>+AC444-Y444</f>
        <v>-9.9999999999999978E-2</v>
      </c>
      <c r="AD446" s="1149"/>
      <c r="AE446" s="1149"/>
      <c r="AF446" s="1149"/>
      <c r="AG446" s="1561">
        <f>+AG444-AC444</f>
        <v>0</v>
      </c>
      <c r="AH446" s="1149"/>
      <c r="AI446" s="1149"/>
      <c r="AJ446" s="1149"/>
      <c r="AK446" s="1561">
        <f>+AK444-AG444</f>
        <v>9.9000000000000088E-2</v>
      </c>
      <c r="AL446" s="1576"/>
      <c r="AM446" s="1576"/>
      <c r="AN446" s="1576"/>
      <c r="AO446" s="1150"/>
      <c r="AP446" s="1576"/>
      <c r="AQ446" s="1149"/>
      <c r="AR446" s="1149"/>
      <c r="AS446" s="1150"/>
      <c r="AT446" s="1149"/>
      <c r="AU446" s="1149"/>
      <c r="AV446" s="1149"/>
      <c r="AW446" s="1150"/>
      <c r="AX446" s="1149"/>
      <c r="AY446" s="1149"/>
      <c r="AZ446" s="1149"/>
      <c r="BA446" s="1150"/>
      <c r="BB446" s="1145"/>
      <c r="BC446" s="1146"/>
      <c r="BD446" s="1170"/>
      <c r="BE446" s="991"/>
      <c r="BF446" s="991"/>
      <c r="BG446" s="1153"/>
      <c r="BH446" s="991"/>
      <c r="BI446" s="1171"/>
      <c r="BJ446" s="1171"/>
      <c r="BK446" s="1171"/>
      <c r="BL446" s="1171"/>
      <c r="BM446" s="1171"/>
      <c r="BN446" s="1171"/>
      <c r="BO446" s="1171"/>
      <c r="BP446" s="1171"/>
      <c r="BR446" s="1440"/>
      <c r="BS446" s="1440"/>
      <c r="BT446" s="1440"/>
      <c r="BU446" s="1260"/>
    </row>
    <row r="447" spans="1:73" s="305" customFormat="1" ht="12" hidden="1" customHeight="1" outlineLevel="2">
      <c r="A447" s="1034" t="s">
        <v>291</v>
      </c>
      <c r="B447" s="837"/>
      <c r="C447" s="837"/>
      <c r="D447" s="837"/>
      <c r="E447" s="838"/>
      <c r="F447" s="836">
        <f t="shared" ref="F447" si="2743">IF(ISERROR(F444/E444-1),"NA",F444/E444-1)</f>
        <v>8.2617316589557177E-2</v>
      </c>
      <c r="G447" s="836">
        <f t="shared" ref="G447" si="2744">IF(ISERROR(G444/F444-1),"NA",G444/F444-1)</f>
        <v>0.14224664224664241</v>
      </c>
      <c r="H447" s="837">
        <f t="shared" ref="H447" si="2745">IF(ISERROR(H444/G444-1),"NA",H444/G444-1)</f>
        <v>0.18653126670229825</v>
      </c>
      <c r="I447" s="838">
        <f t="shared" ref="I447" si="2746">IF(ISERROR(I444/H444-1),"NA",I444/H444-1)</f>
        <v>7.3423423423423229E-2</v>
      </c>
      <c r="J447" s="836">
        <f t="shared" ref="J447" si="2747">IF(ISERROR(J444/I444-1),"NA",J444/I444-1)</f>
        <v>7.0919009651699616E-2</v>
      </c>
      <c r="K447" s="836">
        <f t="shared" ref="K447" si="2748">IF(ISERROR(K444/J444-1),"NA",K444/J444-1)</f>
        <v>0.10775862068965503</v>
      </c>
      <c r="L447" s="837">
        <f t="shared" ref="L447" si="2749">IF(ISERROR(L444/K444-1),"NA",L444/K444-1)</f>
        <v>0.1400778210116731</v>
      </c>
      <c r="M447" s="838">
        <f t="shared" ref="M447" si="2750">IF(ISERROR(M444/L444-1),"NA",M444/L444-1)</f>
        <v>-0.68973006515668622</v>
      </c>
      <c r="N447" s="836"/>
      <c r="O447" s="836"/>
      <c r="P447" s="837"/>
      <c r="Q447" s="838"/>
      <c r="R447" s="836"/>
      <c r="S447" s="836"/>
      <c r="T447" s="837"/>
      <c r="U447" s="838"/>
      <c r="V447" s="836"/>
      <c r="W447" s="836"/>
      <c r="X447" s="837"/>
      <c r="Y447" s="838"/>
      <c r="Z447" s="836"/>
      <c r="AA447" s="836"/>
      <c r="AB447" s="837"/>
      <c r="AC447" s="838"/>
      <c r="AD447" s="836"/>
      <c r="AE447" s="836"/>
      <c r="AF447" s="837"/>
      <c r="AG447" s="838"/>
      <c r="AH447" s="836"/>
      <c r="AI447" s="836"/>
      <c r="AJ447" s="837"/>
      <c r="AK447" s="838"/>
      <c r="AL447" s="836"/>
      <c r="AM447" s="836"/>
      <c r="AN447" s="837"/>
      <c r="AO447" s="838"/>
      <c r="AP447" s="836"/>
      <c r="AQ447" s="836"/>
      <c r="AR447" s="837"/>
      <c r="AS447" s="838"/>
      <c r="AT447" s="836"/>
      <c r="AU447" s="836"/>
      <c r="AV447" s="837"/>
      <c r="AW447" s="838"/>
      <c r="AX447" s="836"/>
      <c r="AY447" s="836"/>
      <c r="AZ447" s="837"/>
      <c r="BA447" s="838"/>
      <c r="BB447" s="401"/>
      <c r="BC447" s="1047" t="s">
        <v>366</v>
      </c>
      <c r="BD447" s="1047" t="s">
        <v>366</v>
      </c>
      <c r="BE447" s="1047" t="s">
        <v>366</v>
      </c>
      <c r="BF447" s="1047" t="s">
        <v>366</v>
      </c>
      <c r="BG447" s="1188" t="s">
        <v>366</v>
      </c>
      <c r="BH447" s="1188" t="s">
        <v>366</v>
      </c>
      <c r="BI447" s="1188" t="s">
        <v>366</v>
      </c>
      <c r="BJ447" s="1188" t="s">
        <v>366</v>
      </c>
      <c r="BK447" s="1188" t="s">
        <v>366</v>
      </c>
      <c r="BL447" s="1188" t="s">
        <v>366</v>
      </c>
      <c r="BM447" s="1188" t="s">
        <v>366</v>
      </c>
      <c r="BN447" s="1188" t="s">
        <v>366</v>
      </c>
      <c r="BO447" s="1188" t="s">
        <v>366</v>
      </c>
      <c r="BP447" s="1188" t="s">
        <v>366</v>
      </c>
      <c r="BR447" s="1379"/>
      <c r="BS447" s="1379"/>
      <c r="BT447" s="1379"/>
      <c r="BU447" s="1260"/>
    </row>
    <row r="448" spans="1:73" s="570" customFormat="1" ht="12" hidden="1" customHeight="1" outlineLevel="2">
      <c r="A448" s="1049" t="s">
        <v>491</v>
      </c>
      <c r="B448" s="1144"/>
      <c r="C448" s="1147"/>
      <c r="D448" s="1147"/>
      <c r="E448" s="1523"/>
      <c r="F448" s="1147"/>
      <c r="G448" s="1147"/>
      <c r="H448" s="1147"/>
      <c r="I448" s="1523"/>
      <c r="J448" s="1147"/>
      <c r="K448" s="1147"/>
      <c r="L448" s="1147"/>
      <c r="M448" s="1523"/>
      <c r="N448" s="1147"/>
      <c r="O448" s="1147"/>
      <c r="P448" s="1147"/>
      <c r="Q448" s="1562">
        <f>+SUM(N431:Q431)/Q444</f>
        <v>610</v>
      </c>
      <c r="R448" s="1147"/>
      <c r="S448" s="1147"/>
      <c r="T448" s="1147"/>
      <c r="U448" s="1562">
        <f>+SUM(R431:U431)/U444</f>
        <v>719.04761904761904</v>
      </c>
      <c r="V448" s="1147"/>
      <c r="W448" s="1207"/>
      <c r="X448" s="1147"/>
      <c r="Y448" s="1562">
        <f>+SUM(V431:Y431)/Y444</f>
        <v>789</v>
      </c>
      <c r="Z448" s="1149"/>
      <c r="AA448" s="1149"/>
      <c r="AB448" s="1149"/>
      <c r="AC448" s="1562">
        <f>+SUM(Z431:AC431)/AC444</f>
        <v>945.55555555555554</v>
      </c>
      <c r="AD448" s="1149"/>
      <c r="AE448" s="1149"/>
      <c r="AF448" s="1149"/>
      <c r="AG448" s="1562">
        <f>+SUM(AD431:AG431)/AG444</f>
        <v>1345.5555555555554</v>
      </c>
      <c r="AH448" s="1579"/>
      <c r="AI448" s="1149"/>
      <c r="AJ448" s="1149"/>
      <c r="AK448" s="1562">
        <f>+SUM(AH431:AK431)/AK444</f>
        <v>1576.5765765765764</v>
      </c>
      <c r="AL448" s="1578"/>
      <c r="AM448" s="1578"/>
      <c r="AN448" s="1578"/>
      <c r="AO448" s="1150"/>
      <c r="AP448" s="1578"/>
      <c r="AQ448" s="1149"/>
      <c r="AR448" s="1149"/>
      <c r="AS448" s="1150"/>
      <c r="AT448" s="1149"/>
      <c r="AU448" s="1149"/>
      <c r="AV448" s="1149"/>
      <c r="AW448" s="1150"/>
      <c r="AX448" s="1149"/>
      <c r="AY448" s="1149"/>
      <c r="AZ448" s="1149"/>
      <c r="BA448" s="1150"/>
      <c r="BB448" s="1524"/>
      <c r="BC448" s="1146"/>
      <c r="BD448" s="1170"/>
      <c r="BE448" s="991"/>
      <c r="BF448" s="991"/>
      <c r="BG448" s="1153"/>
      <c r="BH448" s="991"/>
      <c r="BI448" s="1171"/>
      <c r="BJ448" s="1171"/>
      <c r="BK448" s="1171"/>
      <c r="BL448" s="1171"/>
      <c r="BM448" s="1171"/>
      <c r="BN448" s="1171"/>
      <c r="BO448" s="1171"/>
      <c r="BP448" s="1171"/>
      <c r="BR448" s="1440"/>
      <c r="BS448" s="1440"/>
      <c r="BT448" s="1440"/>
      <c r="BU448" s="1260"/>
    </row>
    <row r="449" spans="1:73" s="305" customFormat="1" ht="12" hidden="1" customHeight="1" outlineLevel="2">
      <c r="A449" s="1037" t="s">
        <v>181</v>
      </c>
      <c r="B449" s="837"/>
      <c r="C449" s="837"/>
      <c r="D449" s="837"/>
      <c r="E449" s="838"/>
      <c r="F449" s="1044" t="str">
        <f t="shared" ref="F449" si="2751">IF(ISERROR(F448/B448-1),"NA",F448/B448-1)</f>
        <v>NA</v>
      </c>
      <c r="G449" s="837" t="str">
        <f t="shared" ref="G449" si="2752">IF(ISERROR(G448/C448-1),"NA",G448/C448-1)</f>
        <v>NA</v>
      </c>
      <c r="H449" s="837" t="str">
        <f t="shared" ref="H449" si="2753">IF(ISERROR(H448/D448-1),"NA",H448/D448-1)</f>
        <v>NA</v>
      </c>
      <c r="I449" s="838" t="str">
        <f t="shared" ref="I449" si="2754">IF(ISERROR(I448/E448-1),"NA",I448/E448-1)</f>
        <v>NA</v>
      </c>
      <c r="J449" s="1044" t="str">
        <f t="shared" ref="J449" si="2755">IF(ISERROR(J448/F448-1),"NA",J448/F448-1)</f>
        <v>NA</v>
      </c>
      <c r="K449" s="837" t="str">
        <f t="shared" ref="K449" si="2756">IF(ISERROR(K448/G448-1),"NA",K448/G448-1)</f>
        <v>NA</v>
      </c>
      <c r="L449" s="837" t="str">
        <f t="shared" ref="L449" si="2757">IF(ISERROR(L448/H448-1),"NA",L448/H448-1)</f>
        <v>NA</v>
      </c>
      <c r="M449" s="838" t="str">
        <f t="shared" ref="M449" si="2758">IF(ISERROR(M448/I448-1),"NA",M448/I448-1)</f>
        <v>NA</v>
      </c>
      <c r="N449" s="1044"/>
      <c r="O449" s="837"/>
      <c r="P449" s="837"/>
      <c r="Q449" s="838"/>
      <c r="R449" s="837"/>
      <c r="S449" s="837"/>
      <c r="T449" s="837"/>
      <c r="U449" s="838"/>
      <c r="V449" s="837"/>
      <c r="W449" s="837"/>
      <c r="X449" s="837"/>
      <c r="Y449" s="838"/>
      <c r="Z449" s="836"/>
      <c r="AA449" s="837"/>
      <c r="AB449" s="837"/>
      <c r="AC449" s="838"/>
      <c r="AD449" s="837"/>
      <c r="AE449" s="837"/>
      <c r="AF449" s="837"/>
      <c r="AG449" s="838"/>
      <c r="AH449" s="837"/>
      <c r="AI449" s="837"/>
      <c r="AJ449" s="837"/>
      <c r="AK449" s="838"/>
      <c r="AL449" s="1577"/>
      <c r="AM449" s="1577"/>
      <c r="AN449" s="1577"/>
      <c r="AO449" s="1580"/>
      <c r="AP449" s="1577"/>
      <c r="AQ449" s="837"/>
      <c r="AR449" s="837"/>
      <c r="AS449" s="838"/>
      <c r="AT449" s="837"/>
      <c r="AU449" s="837"/>
      <c r="AV449" s="837"/>
      <c r="AW449" s="838"/>
      <c r="AX449" s="837"/>
      <c r="AY449" s="837"/>
      <c r="AZ449" s="837"/>
      <c r="BA449" s="838"/>
      <c r="BB449" s="401"/>
      <c r="BC449" s="985" t="str">
        <f t="shared" ref="BC449" si="2759">IF(ISERROR(BC448/BB448-1),"NA",BC448/BB448-1)</f>
        <v>NA</v>
      </c>
      <c r="BD449" s="985" t="str">
        <f t="shared" ref="BD449" si="2760">IF(ISERROR(BD448/BC448-1),"NA",BD448/BC448-1)</f>
        <v>NA</v>
      </c>
      <c r="BE449" s="985" t="str">
        <f t="shared" ref="BE449" si="2761">IF(ISERROR(BE448/BD448-1),"NA",BE448/BD448-1)</f>
        <v>NA</v>
      </c>
      <c r="BF449" s="985" t="str">
        <f t="shared" ref="BF449" si="2762">IF(ISERROR(BF448/BE448-1),"NA",BF448/BE448-1)</f>
        <v>NA</v>
      </c>
      <c r="BG449" s="1187" t="str">
        <f t="shared" ref="BG449" si="2763">IF(ISERROR(BG448/BF448-1),"NA",BG448/BF448-1)</f>
        <v>NA</v>
      </c>
      <c r="BH449" s="1187" t="str">
        <f t="shared" ref="BH449" si="2764">IF(ISERROR(BH448/BG448-1),"NA",BH448/BG448-1)</f>
        <v>NA</v>
      </c>
      <c r="BI449" s="1187" t="str">
        <f t="shared" ref="BI449" si="2765">IF(ISERROR(BI448/BH448-1),"NA",BI448/BH448-1)</f>
        <v>NA</v>
      </c>
      <c r="BJ449" s="1187" t="str">
        <f t="shared" ref="BJ449" si="2766">IF(ISERROR(BJ448/BI448-1),"NA",BJ448/BI448-1)</f>
        <v>NA</v>
      </c>
      <c r="BK449" s="1187" t="str">
        <f t="shared" ref="BK449" si="2767">IF(ISERROR(BK448/BJ448-1),"NA",BK448/BJ448-1)</f>
        <v>NA</v>
      </c>
      <c r="BL449" s="1187" t="str">
        <f t="shared" ref="BL449" si="2768">IF(ISERROR(BL448/BK448-1),"NA",BL448/BK448-1)</f>
        <v>NA</v>
      </c>
      <c r="BM449" s="1187" t="str">
        <f t="shared" ref="BM449" si="2769">IF(ISERROR(BM448/BL448-1),"NA",BM448/BL448-1)</f>
        <v>NA</v>
      </c>
      <c r="BN449" s="1187" t="str">
        <f t="shared" ref="BN449" si="2770">IF(ISERROR(BN448/BM448-1),"NA",BN448/BM448-1)</f>
        <v>NA</v>
      </c>
      <c r="BO449" s="1187" t="str">
        <f t="shared" ref="BO449" si="2771">IF(ISERROR(BO448/BN448-1),"NA",BO448/BN448-1)</f>
        <v>NA</v>
      </c>
      <c r="BP449" s="1187" t="str">
        <f t="shared" ref="BP449" si="2772">IF(ISERROR(BP448/BO448-1),"NA",BP448/BO448-1)</f>
        <v>NA</v>
      </c>
      <c r="BR449" s="1379"/>
      <c r="BS449" s="1379"/>
      <c r="BT449" s="1379"/>
      <c r="BU449" s="1260"/>
    </row>
    <row r="450" spans="1:73" s="570" customFormat="1" ht="12" hidden="1" customHeight="1" outlineLevel="2">
      <c r="A450" s="1049" t="s">
        <v>493</v>
      </c>
      <c r="B450" s="1144"/>
      <c r="C450" s="1147"/>
      <c r="D450" s="1147"/>
      <c r="E450" s="1523"/>
      <c r="F450" s="1147"/>
      <c r="G450" s="1147"/>
      <c r="H450" s="1147"/>
      <c r="I450" s="1523"/>
      <c r="J450" s="1147"/>
      <c r="K450" s="1147"/>
      <c r="L450" s="1147"/>
      <c r="M450" s="1523"/>
      <c r="N450" s="1147"/>
      <c r="O450" s="1147"/>
      <c r="P450" s="1147"/>
      <c r="Q450" s="1562">
        <f>+SUM(N437:Q437)/Q444</f>
        <v>948.33333333333337</v>
      </c>
      <c r="R450" s="1147"/>
      <c r="S450" s="1147"/>
      <c r="T450" s="1147"/>
      <c r="U450" s="1562">
        <f>+SUM(R437:U437)/U444</f>
        <v>1060</v>
      </c>
      <c r="V450" s="1147"/>
      <c r="W450" s="1207"/>
      <c r="X450" s="1147"/>
      <c r="Y450" s="1562">
        <f>+SUM(V437:Y437)/Y444</f>
        <v>1149</v>
      </c>
      <c r="Z450" s="1149"/>
      <c r="AA450" s="1149"/>
      <c r="AB450" s="1149"/>
      <c r="AC450" s="1562">
        <f>+SUM(Z437:AC437)/AC444</f>
        <v>1301.1111111111111</v>
      </c>
      <c r="AD450" s="1149"/>
      <c r="AE450" s="1149"/>
      <c r="AF450" s="1149"/>
      <c r="AG450" s="1562">
        <f>+SUM(AD437:AG437)/AG444</f>
        <v>1186.6666666666667</v>
      </c>
      <c r="AH450" s="1149"/>
      <c r="AI450" s="1149"/>
      <c r="AJ450" s="1149"/>
      <c r="AK450" s="1562">
        <f>+SUM(AH437:AK437)/AK444</f>
        <v>1067.067067067067</v>
      </c>
      <c r="AL450" s="1578"/>
      <c r="AM450" s="1578"/>
      <c r="AN450" s="1578"/>
      <c r="AO450" s="1150"/>
      <c r="AP450" s="1578"/>
      <c r="AQ450" s="1149"/>
      <c r="AR450" s="1149"/>
      <c r="AS450" s="1150"/>
      <c r="AT450" s="1149"/>
      <c r="AU450" s="1149"/>
      <c r="AV450" s="1149"/>
      <c r="AW450" s="1150"/>
      <c r="AX450" s="1149"/>
      <c r="AY450" s="1149"/>
      <c r="AZ450" s="1149"/>
      <c r="BA450" s="1150"/>
      <c r="BB450" s="1524"/>
      <c r="BC450" s="1146"/>
      <c r="BD450" s="1170"/>
      <c r="BE450" s="991"/>
      <c r="BF450" s="991"/>
      <c r="BG450" s="1153"/>
      <c r="BH450" s="991"/>
      <c r="BI450" s="1171"/>
      <c r="BJ450" s="1171"/>
      <c r="BK450" s="1171"/>
      <c r="BL450" s="1171"/>
      <c r="BM450" s="1171"/>
      <c r="BN450" s="1171"/>
      <c r="BO450" s="1171"/>
      <c r="BP450" s="1171"/>
      <c r="BR450" s="1440"/>
      <c r="BS450" s="1440"/>
      <c r="BT450" s="1440"/>
      <c r="BU450" s="1260"/>
    </row>
    <row r="451" spans="1:73" s="305" customFormat="1" ht="12" hidden="1" customHeight="1" outlineLevel="2">
      <c r="A451" s="1037" t="s">
        <v>181</v>
      </c>
      <c r="B451" s="837"/>
      <c r="C451" s="837"/>
      <c r="D451" s="837"/>
      <c r="E451" s="838"/>
      <c r="F451" s="1044" t="str">
        <f t="shared" ref="F451" si="2773">IF(ISERROR(F450/B450-1),"NA",F450/B450-1)</f>
        <v>NA</v>
      </c>
      <c r="G451" s="837" t="str">
        <f t="shared" ref="G451" si="2774">IF(ISERROR(G450/C450-1),"NA",G450/C450-1)</f>
        <v>NA</v>
      </c>
      <c r="H451" s="837" t="str">
        <f t="shared" ref="H451" si="2775">IF(ISERROR(H450/D450-1),"NA",H450/D450-1)</f>
        <v>NA</v>
      </c>
      <c r="I451" s="838" t="str">
        <f t="shared" ref="I451" si="2776">IF(ISERROR(I450/E450-1),"NA",I450/E450-1)</f>
        <v>NA</v>
      </c>
      <c r="J451" s="1044" t="str">
        <f t="shared" ref="J451" si="2777">IF(ISERROR(J450/F450-1),"NA",J450/F450-1)</f>
        <v>NA</v>
      </c>
      <c r="K451" s="837" t="str">
        <f t="shared" ref="K451" si="2778">IF(ISERROR(K450/G450-1),"NA",K450/G450-1)</f>
        <v>NA</v>
      </c>
      <c r="L451" s="837" t="str">
        <f t="shared" ref="L451" si="2779">IF(ISERROR(L450/H450-1),"NA",L450/H450-1)</f>
        <v>NA</v>
      </c>
      <c r="M451" s="838" t="str">
        <f t="shared" ref="M451" si="2780">IF(ISERROR(M450/I450-1),"NA",M450/I450-1)</f>
        <v>NA</v>
      </c>
      <c r="N451" s="1044"/>
      <c r="O451" s="837"/>
      <c r="P451" s="837"/>
      <c r="Q451" s="838"/>
      <c r="R451" s="837"/>
      <c r="S451" s="837"/>
      <c r="T451" s="837"/>
      <c r="U451" s="838"/>
      <c r="V451" s="837"/>
      <c r="W451" s="837"/>
      <c r="X451" s="837"/>
      <c r="Y451" s="838"/>
      <c r="Z451" s="836"/>
      <c r="AA451" s="837"/>
      <c r="AB451" s="837"/>
      <c r="AC451" s="838"/>
      <c r="AD451" s="837"/>
      <c r="AE451" s="837"/>
      <c r="AF451" s="837"/>
      <c r="AG451" s="838"/>
      <c r="AH451" s="837"/>
      <c r="AI451" s="837"/>
      <c r="AJ451" s="837"/>
      <c r="AK451" s="838"/>
      <c r="AL451" s="1577"/>
      <c r="AM451" s="1577"/>
      <c r="AN451" s="1577"/>
      <c r="AO451" s="1580"/>
      <c r="AP451" s="1577"/>
      <c r="AQ451" s="837"/>
      <c r="AR451" s="837"/>
      <c r="AS451" s="838"/>
      <c r="AT451" s="837"/>
      <c r="AU451" s="837"/>
      <c r="AV451" s="837"/>
      <c r="AW451" s="838"/>
      <c r="AX451" s="837"/>
      <c r="AY451" s="837"/>
      <c r="AZ451" s="837"/>
      <c r="BA451" s="838"/>
      <c r="BB451" s="401"/>
      <c r="BC451" s="985" t="str">
        <f t="shared" ref="BC451" si="2781">IF(ISERROR(BC450/BB450-1),"NA",BC450/BB450-1)</f>
        <v>NA</v>
      </c>
      <c r="BD451" s="985" t="str">
        <f t="shared" ref="BD451" si="2782">IF(ISERROR(BD450/BC450-1),"NA",BD450/BC450-1)</f>
        <v>NA</v>
      </c>
      <c r="BE451" s="985" t="str">
        <f t="shared" ref="BE451" si="2783">IF(ISERROR(BE450/BD450-1),"NA",BE450/BD450-1)</f>
        <v>NA</v>
      </c>
      <c r="BF451" s="985" t="str">
        <f t="shared" ref="BF451" si="2784">IF(ISERROR(BF450/BE450-1),"NA",BF450/BE450-1)</f>
        <v>NA</v>
      </c>
      <c r="BG451" s="1187" t="str">
        <f t="shared" ref="BG451" si="2785">IF(ISERROR(BG450/BF450-1),"NA",BG450/BF450-1)</f>
        <v>NA</v>
      </c>
      <c r="BH451" s="1187" t="str">
        <f t="shared" ref="BH451" si="2786">IF(ISERROR(BH450/BG450-1),"NA",BH450/BG450-1)</f>
        <v>NA</v>
      </c>
      <c r="BI451" s="1187" t="str">
        <f t="shared" ref="BI451" si="2787">IF(ISERROR(BI450/BH450-1),"NA",BI450/BH450-1)</f>
        <v>NA</v>
      </c>
      <c r="BJ451" s="1187" t="str">
        <f t="shared" ref="BJ451" si="2788">IF(ISERROR(BJ450/BI450-1),"NA",BJ450/BI450-1)</f>
        <v>NA</v>
      </c>
      <c r="BK451" s="1187" t="str">
        <f t="shared" ref="BK451" si="2789">IF(ISERROR(BK450/BJ450-1),"NA",BK450/BJ450-1)</f>
        <v>NA</v>
      </c>
      <c r="BL451" s="1187" t="str">
        <f t="shared" ref="BL451" si="2790">IF(ISERROR(BL450/BK450-1),"NA",BL450/BK450-1)</f>
        <v>NA</v>
      </c>
      <c r="BM451" s="1187" t="str">
        <f t="shared" ref="BM451" si="2791">IF(ISERROR(BM450/BL450-1),"NA",BM450/BL450-1)</f>
        <v>NA</v>
      </c>
      <c r="BN451" s="1187" t="str">
        <f t="shared" ref="BN451" si="2792">IF(ISERROR(BN450/BM450-1),"NA",BN450/BM450-1)</f>
        <v>NA</v>
      </c>
      <c r="BO451" s="1187" t="str">
        <f t="shared" ref="BO451" si="2793">IF(ISERROR(BO450/BN450-1),"NA",BO450/BN450-1)</f>
        <v>NA</v>
      </c>
      <c r="BP451" s="1187" t="str">
        <f t="shared" ref="BP451" si="2794">IF(ISERROR(BP450/BO450-1),"NA",BP450/BO450-1)</f>
        <v>NA</v>
      </c>
      <c r="BR451" s="1379"/>
      <c r="BS451" s="1379"/>
      <c r="BT451" s="1379"/>
      <c r="BU451" s="1260"/>
    </row>
    <row r="452" spans="1:73" s="570" customFormat="1" ht="12" hidden="1" customHeight="1" outlineLevel="2">
      <c r="A452" s="1049" t="s">
        <v>492</v>
      </c>
      <c r="B452" s="1144"/>
      <c r="C452" s="1147"/>
      <c r="D452" s="1147"/>
      <c r="E452" s="1523"/>
      <c r="F452" s="1147"/>
      <c r="G452" s="1147"/>
      <c r="H452" s="1147"/>
      <c r="I452" s="1523"/>
      <c r="J452" s="1147"/>
      <c r="K452" s="1147"/>
      <c r="L452" s="1147"/>
      <c r="M452" s="1523"/>
      <c r="N452" s="1147"/>
      <c r="O452" s="1147"/>
      <c r="P452" s="1147"/>
      <c r="Q452" s="1562">
        <f>+SUM(N425:Q425)/Q444</f>
        <v>1558.3333333333335</v>
      </c>
      <c r="R452" s="1147"/>
      <c r="S452" s="1147"/>
      <c r="T452" s="1147"/>
      <c r="U452" s="1562">
        <f>+SUM(R425:U425)/U444</f>
        <v>1779.047619047619</v>
      </c>
      <c r="V452" s="1147"/>
      <c r="W452" s="1207"/>
      <c r="X452" s="1147"/>
      <c r="Y452" s="1562">
        <f>+SUM(V425:Y425)/Y444</f>
        <v>1938</v>
      </c>
      <c r="Z452" s="1149"/>
      <c r="AA452" s="1149"/>
      <c r="AB452" s="1149"/>
      <c r="AC452" s="1562">
        <f>+SUM(Z425:AC425)/AC444</f>
        <v>2246.6666666666665</v>
      </c>
      <c r="AD452" s="1149"/>
      <c r="AE452" s="1149"/>
      <c r="AF452" s="1149"/>
      <c r="AG452" s="1562">
        <f>+SUM(AD425:AG425)/AG444</f>
        <v>2532.2222222222222</v>
      </c>
      <c r="AH452" s="1149"/>
      <c r="AI452" s="1149"/>
      <c r="AJ452" s="1149"/>
      <c r="AK452" s="1562">
        <f>+SUM(AH425:AK425)/AK444</f>
        <v>2643.6436436436434</v>
      </c>
      <c r="AL452" s="1578"/>
      <c r="AM452" s="1578"/>
      <c r="AN452" s="1578"/>
      <c r="AO452" s="1581"/>
      <c r="AP452" s="1578"/>
      <c r="AQ452" s="1149"/>
      <c r="AR452" s="1149"/>
      <c r="AS452" s="1150"/>
      <c r="AT452" s="1149"/>
      <c r="AU452" s="1149"/>
      <c r="AV452" s="1149"/>
      <c r="AW452" s="1150"/>
      <c r="AX452" s="1149"/>
      <c r="AY452" s="1149"/>
      <c r="AZ452" s="1149"/>
      <c r="BA452" s="1150"/>
      <c r="BB452" s="1524"/>
      <c r="BC452" s="1146"/>
      <c r="BD452" s="1170"/>
      <c r="BE452" s="991"/>
      <c r="BF452" s="991"/>
      <c r="BG452" s="1153"/>
      <c r="BH452" s="991"/>
      <c r="BI452" s="1171"/>
      <c r="BJ452" s="1171"/>
      <c r="BK452" s="1171"/>
      <c r="BL452" s="1171"/>
      <c r="BM452" s="1171"/>
      <c r="BN452" s="1171"/>
      <c r="BO452" s="1171"/>
      <c r="BP452" s="1171"/>
      <c r="BR452" s="1440"/>
      <c r="BS452" s="1440"/>
      <c r="BT452" s="1440"/>
      <c r="BU452" s="1260"/>
    </row>
    <row r="453" spans="1:73" s="305" customFormat="1" ht="12" hidden="1" customHeight="1" outlineLevel="2">
      <c r="A453" s="1037" t="s">
        <v>181</v>
      </c>
      <c r="B453" s="837"/>
      <c r="C453" s="837"/>
      <c r="D453" s="837"/>
      <c r="E453" s="838"/>
      <c r="F453" s="1044" t="str">
        <f t="shared" ref="F453" si="2795">IF(ISERROR(F452/B452-1),"NA",F452/B452-1)</f>
        <v>NA</v>
      </c>
      <c r="G453" s="837" t="str">
        <f t="shared" ref="G453" si="2796">IF(ISERROR(G452/C452-1),"NA",G452/C452-1)</f>
        <v>NA</v>
      </c>
      <c r="H453" s="837" t="str">
        <f t="shared" ref="H453" si="2797">IF(ISERROR(H452/D452-1),"NA",H452/D452-1)</f>
        <v>NA</v>
      </c>
      <c r="I453" s="838" t="str">
        <f t="shared" ref="I453" si="2798">IF(ISERROR(I452/E452-1),"NA",I452/E452-1)</f>
        <v>NA</v>
      </c>
      <c r="J453" s="1044" t="str">
        <f t="shared" ref="J453" si="2799">IF(ISERROR(J452/F452-1),"NA",J452/F452-1)</f>
        <v>NA</v>
      </c>
      <c r="K453" s="837" t="str">
        <f t="shared" ref="K453" si="2800">IF(ISERROR(K452/G452-1),"NA",K452/G452-1)</f>
        <v>NA</v>
      </c>
      <c r="L453" s="837" t="str">
        <f t="shared" ref="L453" si="2801">IF(ISERROR(L452/H452-1),"NA",L452/H452-1)</f>
        <v>NA</v>
      </c>
      <c r="M453" s="838" t="str">
        <f t="shared" ref="M453" si="2802">IF(ISERROR(M452/I452-1),"NA",M452/I452-1)</f>
        <v>NA</v>
      </c>
      <c r="N453" s="1044"/>
      <c r="O453" s="837"/>
      <c r="P453" s="837"/>
      <c r="Q453" s="838"/>
      <c r="R453" s="837"/>
      <c r="S453" s="837"/>
      <c r="T453" s="837"/>
      <c r="U453" s="838">
        <f>+U452/Q452-1</f>
        <v>0.14163483575248259</v>
      </c>
      <c r="V453" s="837"/>
      <c r="W453" s="837"/>
      <c r="X453" s="837"/>
      <c r="Y453" s="838">
        <f>+Y452/U452-1</f>
        <v>8.9346895074946531E-2</v>
      </c>
      <c r="Z453" s="836"/>
      <c r="AA453" s="837"/>
      <c r="AB453" s="837"/>
      <c r="AC453" s="838">
        <f>+AC452/Y452-1</f>
        <v>0.15927072583419322</v>
      </c>
      <c r="AD453" s="837"/>
      <c r="AE453" s="837"/>
      <c r="AF453" s="837"/>
      <c r="AG453" s="838">
        <f>+AG452/AC452-1</f>
        <v>0.12710187932739858</v>
      </c>
      <c r="AH453" s="837"/>
      <c r="AI453" s="837"/>
      <c r="AJ453" s="837"/>
      <c r="AK453" s="838">
        <f>+AK452/AG452-1</f>
        <v>4.4001438911487112E-2</v>
      </c>
      <c r="AL453" s="1577"/>
      <c r="AM453" s="1577"/>
      <c r="AN453" s="1577"/>
      <c r="AO453" s="1580"/>
      <c r="AP453" s="1577"/>
      <c r="AQ453" s="837"/>
      <c r="AR453" s="837"/>
      <c r="AS453" s="838"/>
      <c r="AT453" s="837"/>
      <c r="AU453" s="837"/>
      <c r="AV453" s="837"/>
      <c r="AW453" s="838"/>
      <c r="AX453" s="837"/>
      <c r="AY453" s="837"/>
      <c r="AZ453" s="837"/>
      <c r="BA453" s="838"/>
      <c r="BB453" s="401"/>
      <c r="BC453" s="985" t="str">
        <f t="shared" ref="BC453" si="2803">IF(ISERROR(BC452/BB452-1),"NA",BC452/BB452-1)</f>
        <v>NA</v>
      </c>
      <c r="BD453" s="985" t="str">
        <f t="shared" ref="BD453" si="2804">IF(ISERROR(BD452/BC452-1),"NA",BD452/BC452-1)</f>
        <v>NA</v>
      </c>
      <c r="BE453" s="985" t="str">
        <f t="shared" ref="BE453" si="2805">IF(ISERROR(BE452/BD452-1),"NA",BE452/BD452-1)</f>
        <v>NA</v>
      </c>
      <c r="BF453" s="985" t="str">
        <f t="shared" ref="BF453" si="2806">IF(ISERROR(BF452/BE452-1),"NA",BF452/BE452-1)</f>
        <v>NA</v>
      </c>
      <c r="BG453" s="1187" t="str">
        <f t="shared" ref="BG453" si="2807">IF(ISERROR(BG452/BF452-1),"NA",BG452/BF452-1)</f>
        <v>NA</v>
      </c>
      <c r="BH453" s="1187" t="str">
        <f t="shared" ref="BH453" si="2808">IF(ISERROR(BH452/BG452-1),"NA",BH452/BG452-1)</f>
        <v>NA</v>
      </c>
      <c r="BI453" s="1187" t="str">
        <f t="shared" ref="BI453" si="2809">IF(ISERROR(BI452/BH452-1),"NA",BI452/BH452-1)</f>
        <v>NA</v>
      </c>
      <c r="BJ453" s="1187" t="str">
        <f t="shared" ref="BJ453" si="2810">IF(ISERROR(BJ452/BI452-1),"NA",BJ452/BI452-1)</f>
        <v>NA</v>
      </c>
      <c r="BK453" s="1187" t="str">
        <f t="shared" ref="BK453" si="2811">IF(ISERROR(BK452/BJ452-1),"NA",BK452/BJ452-1)</f>
        <v>NA</v>
      </c>
      <c r="BL453" s="1187" t="str">
        <f t="shared" ref="BL453" si="2812">IF(ISERROR(BL452/BK452-1),"NA",BL452/BK452-1)</f>
        <v>NA</v>
      </c>
      <c r="BM453" s="1187" t="str">
        <f t="shared" ref="BM453" si="2813">IF(ISERROR(BM452/BL452-1),"NA",BM452/BL452-1)</f>
        <v>NA</v>
      </c>
      <c r="BN453" s="1187" t="str">
        <f t="shared" ref="BN453" si="2814">IF(ISERROR(BN452/BM452-1),"NA",BN452/BM452-1)</f>
        <v>NA</v>
      </c>
      <c r="BO453" s="1187" t="str">
        <f t="shared" ref="BO453" si="2815">IF(ISERROR(BO452/BN452-1),"NA",BO452/BN452-1)</f>
        <v>NA</v>
      </c>
      <c r="BP453" s="1187" t="str">
        <f t="shared" ref="BP453" si="2816">IF(ISERROR(BP452/BO452-1),"NA",BP452/BO452-1)</f>
        <v>NA</v>
      </c>
      <c r="BR453" s="1379"/>
      <c r="BS453" s="1379"/>
      <c r="BT453" s="1379"/>
      <c r="BU453" s="1260"/>
    </row>
    <row r="454" spans="1:73" s="1038" customFormat="1" ht="12" hidden="1" customHeight="1" outlineLevel="2">
      <c r="A454" s="1049"/>
      <c r="B454" s="837"/>
      <c r="C454" s="837"/>
      <c r="D454" s="837"/>
      <c r="E454" s="838"/>
      <c r="F454" s="837"/>
      <c r="G454" s="837"/>
      <c r="H454" s="837"/>
      <c r="I454" s="838"/>
      <c r="J454" s="837"/>
      <c r="K454" s="837"/>
      <c r="L454" s="837"/>
      <c r="M454" s="838"/>
      <c r="N454" s="836"/>
      <c r="O454" s="836"/>
      <c r="P454" s="836"/>
      <c r="Q454" s="1041"/>
      <c r="R454" s="836"/>
      <c r="S454" s="836"/>
      <c r="T454" s="836"/>
      <c r="U454" s="1041"/>
      <c r="V454" s="836"/>
      <c r="W454" s="836"/>
      <c r="X454" s="836"/>
      <c r="Y454" s="838"/>
      <c r="Z454" s="836"/>
      <c r="AA454" s="836"/>
      <c r="AB454" s="836"/>
      <c r="AC454" s="1041"/>
      <c r="AD454" s="836"/>
      <c r="AE454" s="836"/>
      <c r="AF454" s="836"/>
      <c r="AG454" s="1041"/>
      <c r="AH454" s="1040"/>
      <c r="AI454" s="1040"/>
      <c r="AJ454" s="1040"/>
      <c r="AK454" s="1173"/>
      <c r="AL454" s="1040"/>
      <c r="AM454" s="1040"/>
      <c r="AN454" s="1040"/>
      <c r="AO454" s="1173"/>
      <c r="AP454" s="1040"/>
      <c r="AQ454" s="1040"/>
      <c r="AR454" s="1040"/>
      <c r="AS454" s="1173"/>
      <c r="AT454" s="1040"/>
      <c r="AU454" s="1040"/>
      <c r="AV454" s="1040"/>
      <c r="AW454" s="1173"/>
      <c r="AX454" s="1040"/>
      <c r="AY454" s="1040"/>
      <c r="AZ454" s="1040"/>
      <c r="BA454" s="1173"/>
      <c r="BB454" s="1173"/>
      <c r="BC454" s="1178">
        <v>425</v>
      </c>
      <c r="BD454" s="1174">
        <v>420</v>
      </c>
      <c r="BE454" s="1179">
        <v>434</v>
      </c>
      <c r="BF454" s="1178">
        <v>490</v>
      </c>
      <c r="BG454" s="1174">
        <v>553</v>
      </c>
      <c r="BH454" s="991"/>
      <c r="BI454" s="1171"/>
      <c r="BJ454" s="1171"/>
      <c r="BK454" s="1171"/>
      <c r="BL454" s="1171"/>
      <c r="BM454" s="1171"/>
      <c r="BN454" s="1171"/>
      <c r="BO454" s="1171"/>
      <c r="BP454" s="1171"/>
      <c r="BR454" s="1439"/>
      <c r="BS454" s="1439"/>
      <c r="BT454" s="1439"/>
      <c r="BU454" s="1260"/>
    </row>
    <row r="455" spans="1:73" s="1038" customFormat="1" ht="12" hidden="1" customHeight="1" outlineLevel="2">
      <c r="A455" s="1172"/>
      <c r="B455" s="837"/>
      <c r="C455" s="837"/>
      <c r="D455" s="837"/>
      <c r="E455" s="838"/>
      <c r="F455" s="837"/>
      <c r="G455" s="837"/>
      <c r="H455" s="837"/>
      <c r="I455" s="838"/>
      <c r="J455" s="837"/>
      <c r="K455" s="837"/>
      <c r="L455" s="837"/>
      <c r="M455" s="838"/>
      <c r="N455" s="836"/>
      <c r="O455" s="836"/>
      <c r="P455" s="836"/>
      <c r="Q455" s="1041"/>
      <c r="R455" s="836"/>
      <c r="S455" s="836"/>
      <c r="T455" s="836"/>
      <c r="U455" s="1203"/>
      <c r="V455" s="836"/>
      <c r="W455" s="836"/>
      <c r="X455" s="836"/>
      <c r="Y455" s="838"/>
      <c r="Z455" s="836"/>
      <c r="AA455" s="836"/>
      <c r="AB455" s="836"/>
      <c r="AC455" s="1041"/>
      <c r="AD455" s="836"/>
      <c r="AE455" s="836"/>
      <c r="AF455" s="836"/>
      <c r="AG455" s="1041"/>
      <c r="AH455" s="1040"/>
      <c r="AI455" s="1040"/>
      <c r="AJ455" s="1040"/>
      <c r="AK455" s="1173"/>
      <c r="AL455" s="1040"/>
      <c r="AM455" s="1040"/>
      <c r="AN455" s="1040"/>
      <c r="AO455" s="1173"/>
      <c r="AP455" s="1040"/>
      <c r="AQ455" s="1040"/>
      <c r="AR455" s="1040"/>
      <c r="AS455" s="1173"/>
      <c r="AT455" s="1040"/>
      <c r="AU455" s="1040"/>
      <c r="AV455" s="1040"/>
      <c r="AW455" s="1173"/>
      <c r="AX455" s="1040"/>
      <c r="AY455" s="1040"/>
      <c r="AZ455" s="1040"/>
      <c r="BA455" s="1173"/>
      <c r="BB455" s="1173"/>
      <c r="BC455" s="1086"/>
      <c r="BD455" s="1170"/>
      <c r="BE455" s="991"/>
      <c r="BF455" s="991"/>
      <c r="BG455" s="1153"/>
      <c r="BH455" s="991"/>
      <c r="BI455" s="1171"/>
      <c r="BJ455" s="1171"/>
      <c r="BK455" s="1171"/>
      <c r="BL455" s="1171"/>
      <c r="BM455" s="1171"/>
      <c r="BN455" s="1171"/>
      <c r="BO455" s="1171"/>
      <c r="BP455" s="1171"/>
      <c r="BR455" s="1439"/>
      <c r="BS455" s="1439"/>
      <c r="BT455" s="1439"/>
      <c r="BU455" s="1260"/>
    </row>
    <row r="456" spans="1:73" s="305" customFormat="1" ht="12" hidden="1" customHeight="1" outlineLevel="2">
      <c r="A456" s="1049"/>
      <c r="B456" s="837"/>
      <c r="C456" s="837"/>
      <c r="D456" s="837"/>
      <c r="E456" s="838"/>
      <c r="F456" s="837"/>
      <c r="G456" s="837"/>
      <c r="H456" s="837"/>
      <c r="I456" s="838"/>
      <c r="J456" s="837"/>
      <c r="K456" s="837"/>
      <c r="L456" s="837"/>
      <c r="M456" s="838"/>
      <c r="N456" s="836"/>
      <c r="O456" s="836"/>
      <c r="P456" s="836"/>
      <c r="Q456" s="1041"/>
      <c r="R456" s="836"/>
      <c r="S456" s="836"/>
      <c r="T456" s="836"/>
      <c r="U456" s="1041"/>
      <c r="V456" s="836"/>
      <c r="W456" s="836"/>
      <c r="X456" s="836"/>
      <c r="Y456" s="838"/>
      <c r="Z456" s="836"/>
      <c r="AA456" s="836"/>
      <c r="AB456" s="836"/>
      <c r="AC456" s="1041"/>
      <c r="AD456" s="836"/>
      <c r="AE456" s="836"/>
      <c r="AF456" s="836"/>
      <c r="AG456" s="1041"/>
      <c r="AH456" s="398"/>
      <c r="AI456" s="398"/>
      <c r="AJ456" s="398"/>
      <c r="AK456" s="401"/>
      <c r="AL456" s="398"/>
      <c r="AM456" s="398"/>
      <c r="AN456" s="398"/>
      <c r="AO456" s="401"/>
      <c r="AP456" s="398"/>
      <c r="AQ456" s="398"/>
      <c r="AR456" s="398"/>
      <c r="AS456" s="401"/>
      <c r="AT456" s="398"/>
      <c r="AU456" s="398"/>
      <c r="AV456" s="398"/>
      <c r="AW456" s="401"/>
      <c r="AX456" s="398"/>
      <c r="AY456" s="398"/>
      <c r="AZ456" s="398"/>
      <c r="BA456" s="401"/>
      <c r="BB456" s="401"/>
      <c r="BC456" s="1084"/>
      <c r="BD456" s="841"/>
      <c r="BE456" s="991"/>
      <c r="BF456" s="991"/>
      <c r="BG456" s="1153"/>
      <c r="BH456" s="991"/>
      <c r="BI456" s="1118"/>
      <c r="BJ456" s="1118"/>
      <c r="BK456" s="1118"/>
      <c r="BL456" s="1118"/>
      <c r="BM456" s="1118"/>
      <c r="BN456" s="1118"/>
      <c r="BO456" s="1118"/>
      <c r="BP456" s="1118"/>
      <c r="BR456" s="1379"/>
      <c r="BS456" s="1379"/>
      <c r="BT456" s="1379"/>
      <c r="BU456" s="1260"/>
    </row>
    <row r="457" spans="1:73" s="1594" customFormat="1" ht="12" hidden="1" customHeight="1" outlineLevel="2">
      <c r="A457" s="1584" t="s">
        <v>483</v>
      </c>
      <c r="B457" s="1585"/>
      <c r="C457" s="1585"/>
      <c r="D457" s="1585"/>
      <c r="E457" s="1586"/>
      <c r="F457" s="1585"/>
      <c r="G457" s="1585"/>
      <c r="H457" s="1585"/>
      <c r="I457" s="1586"/>
      <c r="J457" s="1585"/>
      <c r="K457" s="1585"/>
      <c r="L457" s="1585"/>
      <c r="M457" s="1586"/>
      <c r="N457" s="1585"/>
      <c r="O457" s="1585"/>
      <c r="P457" s="1585"/>
      <c r="Q457" s="1586"/>
      <c r="R457" s="1585"/>
      <c r="S457" s="1585"/>
      <c r="T457" s="1585"/>
      <c r="U457" s="1586"/>
      <c r="V457" s="1585"/>
      <c r="W457" s="1585"/>
      <c r="X457" s="1585"/>
      <c r="Y457" s="1586"/>
      <c r="Z457" s="1585"/>
      <c r="AA457" s="1585"/>
      <c r="AB457" s="1585"/>
      <c r="AC457" s="1586"/>
      <c r="AD457" s="1585"/>
      <c r="AE457" s="1585"/>
      <c r="AF457" s="1585"/>
      <c r="AG457" s="1586"/>
      <c r="AH457" s="1587"/>
      <c r="AI457" s="1587"/>
      <c r="AJ457" s="1587"/>
      <c r="AK457" s="1588"/>
      <c r="AL457" s="1587"/>
      <c r="AM457" s="1587"/>
      <c r="AN457" s="1587"/>
      <c r="AO457" s="1588"/>
      <c r="AP457" s="1587"/>
      <c r="AQ457" s="1587"/>
      <c r="AR457" s="1587"/>
      <c r="AS457" s="1588"/>
      <c r="AT457" s="1587"/>
      <c r="AU457" s="1587"/>
      <c r="AV457" s="1587"/>
      <c r="AW457" s="1588"/>
      <c r="AX457" s="1587"/>
      <c r="AY457" s="1587"/>
      <c r="AZ457" s="1587"/>
      <c r="BA457" s="1588"/>
      <c r="BB457" s="1588"/>
      <c r="BC457" s="1589"/>
      <c r="BD457" s="1590"/>
      <c r="BE457" s="1591"/>
      <c r="BF457" s="1591"/>
      <c r="BG457" s="1592"/>
      <c r="BH457" s="1591"/>
      <c r="BI457" s="1593"/>
      <c r="BJ457" s="1593"/>
      <c r="BK457" s="1593"/>
      <c r="BL457" s="1593"/>
      <c r="BM457" s="1593"/>
      <c r="BN457" s="1593"/>
      <c r="BO457" s="1593"/>
      <c r="BP457" s="1593"/>
      <c r="BR457" s="1595"/>
      <c r="BS457" s="1595"/>
      <c r="BT457" s="1595"/>
      <c r="BU457" s="1596"/>
    </row>
    <row r="458" spans="1:73" s="1594" customFormat="1" ht="12" hidden="1" customHeight="1" outlineLevel="2">
      <c r="A458" s="1597" t="s">
        <v>68</v>
      </c>
      <c r="B458" s="1598">
        <v>1.159</v>
      </c>
      <c r="C458" s="1598">
        <v>1.2569999999999999</v>
      </c>
      <c r="D458" s="1598">
        <v>1.397</v>
      </c>
      <c r="E458" s="1599">
        <v>1.5129999999999999</v>
      </c>
      <c r="F458" s="1600">
        <v>1.6379999999999999</v>
      </c>
      <c r="G458" s="1600">
        <v>1.871</v>
      </c>
      <c r="H458" s="1600">
        <v>2.2200000000000002</v>
      </c>
      <c r="I458" s="1601">
        <v>2.383</v>
      </c>
      <c r="J458" s="1600">
        <v>2.552</v>
      </c>
      <c r="K458" s="1600">
        <v>2.827</v>
      </c>
      <c r="L458" s="1600">
        <v>3.2229999999999999</v>
      </c>
      <c r="M458" s="1601">
        <v>3.4119999999999999</v>
      </c>
      <c r="N458" s="1600">
        <v>3.589</v>
      </c>
      <c r="O458" s="1600">
        <v>3.89</v>
      </c>
      <c r="P458" s="1600">
        <v>4.2469999999999999</v>
      </c>
      <c r="Q458" s="1601">
        <v>4.5359999999999996</v>
      </c>
      <c r="R458" s="1600">
        <f>+Q458+R461</f>
        <v>4.7859999999999996</v>
      </c>
      <c r="S458" s="1600">
        <f t="shared" ref="S458:AQ458" si="2817">+R458+S461</f>
        <v>5.0359999999999996</v>
      </c>
      <c r="T458" s="1600">
        <f t="shared" si="2817"/>
        <v>5.1359999999999992</v>
      </c>
      <c r="U458" s="1601">
        <f t="shared" si="2817"/>
        <v>5.1359999999999992</v>
      </c>
      <c r="V458" s="1600">
        <f t="shared" si="2817"/>
        <v>5.3359999999999994</v>
      </c>
      <c r="W458" s="1600">
        <f t="shared" si="2817"/>
        <v>5.5359999999999996</v>
      </c>
      <c r="X458" s="1600">
        <f t="shared" si="2817"/>
        <v>5.8359999999999994</v>
      </c>
      <c r="Y458" s="1601">
        <f>+X458+Y461</f>
        <v>5.8859999999999992</v>
      </c>
      <c r="Z458" s="1600">
        <f t="shared" si="2817"/>
        <v>6.1859999999999991</v>
      </c>
      <c r="AA458" s="1600">
        <f t="shared" si="2817"/>
        <v>6.6859999999999991</v>
      </c>
      <c r="AB458" s="1600">
        <f t="shared" si="2817"/>
        <v>6.6859999999999991</v>
      </c>
      <c r="AC458" s="1601">
        <f t="shared" si="2817"/>
        <v>6.9859999999999989</v>
      </c>
      <c r="AD458" s="1600">
        <f t="shared" si="2817"/>
        <v>7.4859999999999989</v>
      </c>
      <c r="AE458" s="1600">
        <f t="shared" si="2817"/>
        <v>7.6359999999999992</v>
      </c>
      <c r="AF458" s="1600">
        <f t="shared" si="2817"/>
        <v>7.9859999999999989</v>
      </c>
      <c r="AG458" s="1601">
        <f t="shared" si="2817"/>
        <v>8.0859999999999985</v>
      </c>
      <c r="AH458" s="1600">
        <v>8.5</v>
      </c>
      <c r="AI458" s="1600">
        <f t="shared" si="2817"/>
        <v>8.8249999999999993</v>
      </c>
      <c r="AJ458" s="1600">
        <f t="shared" si="2817"/>
        <v>9.1499999999999986</v>
      </c>
      <c r="AK458" s="1601">
        <f t="shared" si="2817"/>
        <v>9.4749999999999979</v>
      </c>
      <c r="AL458" s="1600">
        <f t="shared" si="2817"/>
        <v>9.7249999999999979</v>
      </c>
      <c r="AM458" s="1600">
        <f t="shared" si="2817"/>
        <v>9.9749999999999979</v>
      </c>
      <c r="AN458" s="1600">
        <f t="shared" si="2817"/>
        <v>10.224999999999998</v>
      </c>
      <c r="AO458" s="1601">
        <f t="shared" si="2817"/>
        <v>10.474999999999998</v>
      </c>
      <c r="AP458" s="1600">
        <f t="shared" si="2817"/>
        <v>10.724999999999998</v>
      </c>
      <c r="AQ458" s="1600">
        <f t="shared" si="2817"/>
        <v>10.974999999999998</v>
      </c>
      <c r="AR458" s="1600">
        <f t="shared" ref="AR458" si="2818">+AQ458+AR461</f>
        <v>11.274999999999999</v>
      </c>
      <c r="AS458" s="1601">
        <f t="shared" ref="AS458" si="2819">+AR458+AS461</f>
        <v>11.574999999999999</v>
      </c>
      <c r="AT458" s="1600">
        <f t="shared" ref="AT458" si="2820">+AS458+AT461</f>
        <v>11.875</v>
      </c>
      <c r="AU458" s="1600">
        <f t="shared" ref="AU458" si="2821">+AT458+AU461</f>
        <v>12.175000000000001</v>
      </c>
      <c r="AV458" s="1600">
        <f t="shared" ref="AV458" si="2822">+AU458+AV461</f>
        <v>12.475000000000001</v>
      </c>
      <c r="AW458" s="1601">
        <f t="shared" ref="AW458" si="2823">+AV458+AW461</f>
        <v>12.775000000000002</v>
      </c>
      <c r="AX458" s="1600">
        <f t="shared" ref="AX458" si="2824">+AW458+AX461</f>
        <v>13.075000000000003</v>
      </c>
      <c r="AY458" s="1600">
        <f t="shared" ref="AY458" si="2825">+AX458+AY461</f>
        <v>13.375000000000004</v>
      </c>
      <c r="AZ458" s="1600">
        <f t="shared" ref="AZ458" si="2826">+AY458+AZ461</f>
        <v>13.675000000000004</v>
      </c>
      <c r="BA458" s="1601">
        <f t="shared" ref="BA458" si="2827">+AZ458+BA461</f>
        <v>13.975000000000005</v>
      </c>
      <c r="BB458" s="1588"/>
      <c r="BC458" s="1602">
        <v>1.075</v>
      </c>
      <c r="BD458" s="1603">
        <v>1.5129999999999999</v>
      </c>
      <c r="BE458" s="1604">
        <v>2.383</v>
      </c>
      <c r="BF458" s="1602">
        <v>3.4119999999999999</v>
      </c>
      <c r="BG458" s="1603">
        <v>4.5359999999999996</v>
      </c>
      <c r="BH458" s="1604">
        <v>5.0830000000000002</v>
      </c>
      <c r="BI458" s="1605">
        <f>+Y458</f>
        <v>5.8859999999999992</v>
      </c>
      <c r="BJ458" s="1605">
        <f>+AC458</f>
        <v>6.9859999999999989</v>
      </c>
      <c r="BK458" s="1605">
        <f>+AG458</f>
        <v>8.0859999999999985</v>
      </c>
      <c r="BL458" s="1605">
        <f>+AK458</f>
        <v>9.4749999999999979</v>
      </c>
      <c r="BM458" s="1605">
        <f>+AO458</f>
        <v>10.474999999999998</v>
      </c>
      <c r="BN458" s="1605">
        <f>+AS458</f>
        <v>11.574999999999999</v>
      </c>
      <c r="BO458" s="1605">
        <f>+AW458</f>
        <v>12.775000000000002</v>
      </c>
      <c r="BP458" s="1605">
        <f>+BA458</f>
        <v>13.975000000000005</v>
      </c>
      <c r="BR458" s="1595"/>
      <c r="BS458" s="1595"/>
      <c r="BT458" s="1595"/>
      <c r="BU458" s="1596"/>
    </row>
    <row r="459" spans="1:73" s="1594" customFormat="1" ht="12" hidden="1" customHeight="1" outlineLevel="2">
      <c r="A459" s="1606" t="s">
        <v>181</v>
      </c>
      <c r="B459" s="1585"/>
      <c r="C459" s="1585"/>
      <c r="D459" s="1585"/>
      <c r="E459" s="1586"/>
      <c r="F459" s="1607">
        <f t="shared" ref="F459" si="2828">IF(ISERROR(F458/B458-1),"NA",F458/B458-1)</f>
        <v>0.41328731665228635</v>
      </c>
      <c r="G459" s="1585">
        <f t="shared" ref="G459" si="2829">IF(ISERROR(G458/C458-1),"NA",G458/C458-1)</f>
        <v>0.48846459824980126</v>
      </c>
      <c r="H459" s="1585">
        <f t="shared" ref="H459" si="2830">IF(ISERROR(H458/D458-1),"NA",H458/D458-1)</f>
        <v>0.58911954187544757</v>
      </c>
      <c r="I459" s="1586">
        <f t="shared" ref="I459" si="2831">IF(ISERROR(I458/E458-1),"NA",I458/E458-1)</f>
        <v>0.575016523463318</v>
      </c>
      <c r="J459" s="1607">
        <f t="shared" ref="J459" si="2832">IF(ISERROR(J458/F458-1),"NA",J458/F458-1)</f>
        <v>0.55799755799755801</v>
      </c>
      <c r="K459" s="1585">
        <f t="shared" ref="K459" si="2833">IF(ISERROR(K458/G458-1),"NA",K458/G458-1)</f>
        <v>0.51095670764297174</v>
      </c>
      <c r="L459" s="1585">
        <f t="shared" ref="L459" si="2834">IF(ISERROR(L458/H458-1),"NA",L458/H458-1)</f>
        <v>0.45180180180180152</v>
      </c>
      <c r="M459" s="1586">
        <f t="shared" ref="M459" si="2835">IF(ISERROR(M458/I458-1),"NA",M458/I458-1)</f>
        <v>0.43180864456567347</v>
      </c>
      <c r="N459" s="1607">
        <f t="shared" ref="N459" si="2836">IF(ISERROR(N458/J458-1),"NA",N458/J458-1)</f>
        <v>0.40634796238244508</v>
      </c>
      <c r="O459" s="1585">
        <f t="shared" ref="O459" si="2837">IF(ISERROR(O458/K458-1),"NA",O458/K458-1)</f>
        <v>0.37601697912981957</v>
      </c>
      <c r="P459" s="1585">
        <f t="shared" ref="P459" si="2838">IF(ISERROR(P458/L458-1),"NA",P458/L458-1)</f>
        <v>0.31771641327955313</v>
      </c>
      <c r="Q459" s="1586">
        <f t="shared" ref="Q459" si="2839">IF(ISERROR(Q458/M458-1),"NA",Q458/M458-1)</f>
        <v>0.32942555685814767</v>
      </c>
      <c r="R459" s="1607">
        <f t="shared" ref="R459" si="2840">IF(ISERROR(R458/N458-1),"NA",R458/N458-1)</f>
        <v>0.33351908609640568</v>
      </c>
      <c r="S459" s="1585">
        <f t="shared" ref="S459" si="2841">IF(ISERROR(S458/O458-1),"NA",S458/O458-1)</f>
        <v>0.29460154241645231</v>
      </c>
      <c r="T459" s="1585">
        <f t="shared" ref="T459" si="2842">IF(ISERROR(T458/P458-1),"NA",T458/P458-1)</f>
        <v>0.20932422886743574</v>
      </c>
      <c r="U459" s="1586">
        <f t="shared" ref="U459" si="2843">IF(ISERROR(U458/Q458-1),"NA",U458/Q458-1)</f>
        <v>0.1322751322751321</v>
      </c>
      <c r="V459" s="1607">
        <f t="shared" ref="V459" si="2844">IF(ISERROR(V458/R458-1),"NA",V458/R458-1)</f>
        <v>0.11491851232762218</v>
      </c>
      <c r="W459" s="1585">
        <f t="shared" ref="W459:X459" si="2845">IF(ISERROR(W458/S458-1),"NA",W458/S458-1)</f>
        <v>9.928514694201751E-2</v>
      </c>
      <c r="X459" s="1585">
        <f t="shared" si="2845"/>
        <v>0.13629283489096577</v>
      </c>
      <c r="Y459" s="1586">
        <f t="shared" ref="Y459" si="2846">IF(ISERROR(Y458/U458-1),"NA",Y458/U458-1)</f>
        <v>0.14602803738317749</v>
      </c>
      <c r="Z459" s="1607">
        <f t="shared" ref="Z459" si="2847">IF(ISERROR(Z458/V458-1),"NA",Z458/V458-1)</f>
        <v>0.15929535232383807</v>
      </c>
      <c r="AA459" s="1585">
        <f t="shared" ref="AA459" si="2848">IF(ISERROR(AA458/W458-1),"NA",AA458/W458-1)</f>
        <v>0.20773121387283222</v>
      </c>
      <c r="AB459" s="1585">
        <f t="shared" ref="AB459" si="2849">IF(ISERROR(AB458/X458-1),"NA",AB458/X458-1)</f>
        <v>0.14564770390678539</v>
      </c>
      <c r="AC459" s="1586">
        <f t="shared" ref="AC459" si="2850">IF(ISERROR(AC458/Y458-1),"NA",AC458/Y458-1)</f>
        <v>0.18688413183826014</v>
      </c>
      <c r="AD459" s="1607">
        <f t="shared" ref="AD459" si="2851">IF(ISERROR(AD458/Z458-1),"NA",AD458/Z458-1)</f>
        <v>0.21015195602974468</v>
      </c>
      <c r="AE459" s="1585">
        <f t="shared" ref="AE459" si="2852">IF(ISERROR(AE458/AA458-1),"NA",AE458/AA458-1)</f>
        <v>0.14208794495961707</v>
      </c>
      <c r="AF459" s="1585">
        <f t="shared" ref="AF459" si="2853">IF(ISERROR(AF458/AB458-1),"NA",AF458/AB458-1)</f>
        <v>0.19443613520789715</v>
      </c>
      <c r="AG459" s="1586">
        <f t="shared" ref="AG459" si="2854">IF(ISERROR(AG458/AC458-1),"NA",AG458/AC458-1)</f>
        <v>0.15745777268823358</v>
      </c>
      <c r="AH459" s="1607">
        <f t="shared" ref="AH459" si="2855">IF(ISERROR(AH458/AD458-1),"NA",AH458/AD458-1)</f>
        <v>0.13545284531124779</v>
      </c>
      <c r="AI459" s="1585">
        <f t="shared" ref="AI459" si="2856">IF(ISERROR(AI458/AE458-1),"NA",AI458/AE458-1)</f>
        <v>0.15570979570455745</v>
      </c>
      <c r="AJ459" s="1585">
        <f t="shared" ref="AJ459" si="2857">IF(ISERROR(AJ458/AF458-1),"NA",AJ458/AF458-1)</f>
        <v>0.14575507137490606</v>
      </c>
      <c r="AK459" s="1586">
        <f t="shared" ref="AK459" si="2858">IF(ISERROR(AK458/AG458-1),"NA",AK458/AG458-1)</f>
        <v>0.17177838238931487</v>
      </c>
      <c r="AL459" s="1607">
        <f t="shared" ref="AL459" si="2859">IF(ISERROR(AL458/AH458-1),"NA",AL458/AH458-1)</f>
        <v>0.14411764705882324</v>
      </c>
      <c r="AM459" s="1585">
        <f t="shared" ref="AM459" si="2860">IF(ISERROR(AM458/AI458-1),"NA",AM458/AI458-1)</f>
        <v>0.13031161473087804</v>
      </c>
      <c r="AN459" s="1585">
        <f t="shared" ref="AN459" si="2861">IF(ISERROR(AN458/AJ458-1),"NA",AN458/AJ458-1)</f>
        <v>0.11748633879781423</v>
      </c>
      <c r="AO459" s="1586">
        <f t="shared" ref="AO459:AQ459" si="2862">IF(ISERROR(AO458/AK458-1),"NA",AO458/AK458-1)</f>
        <v>0.10554089709762526</v>
      </c>
      <c r="AP459" s="1607">
        <f t="shared" si="2862"/>
        <v>0.10282776349614409</v>
      </c>
      <c r="AQ459" s="1585">
        <f t="shared" si="2862"/>
        <v>0.10025062656641603</v>
      </c>
      <c r="AR459" s="1585">
        <f t="shared" ref="AR459" si="2863">IF(ISERROR(AR458/AN458-1),"NA",AR458/AN458-1)</f>
        <v>0.10268948655256738</v>
      </c>
      <c r="AS459" s="1586">
        <f t="shared" ref="AS459" si="2864">IF(ISERROR(AS458/AO458-1),"NA",AS458/AO458-1)</f>
        <v>0.10501193317422453</v>
      </c>
      <c r="AT459" s="1585">
        <f t="shared" ref="AT459" si="2865">IF(ISERROR(AT458/AP458-1),"NA",AT458/AP458-1)</f>
        <v>0.10722610722610737</v>
      </c>
      <c r="AU459" s="1585">
        <f t="shared" ref="AU459" si="2866">IF(ISERROR(AU458/AQ458-1),"NA",AU458/AQ458-1)</f>
        <v>0.10933940774487505</v>
      </c>
      <c r="AV459" s="1585">
        <f t="shared" ref="AV459" si="2867">IF(ISERROR(AV458/AR458-1),"NA",AV458/AR458-1)</f>
        <v>0.10643015521064325</v>
      </c>
      <c r="AW459" s="1586">
        <f t="shared" ref="AW459" si="2868">IF(ISERROR(AW458/AS458-1),"NA",AW458/AS458-1)</f>
        <v>0.10367170626349909</v>
      </c>
      <c r="AX459" s="1585">
        <f t="shared" ref="AX459" si="2869">IF(ISERROR(AX458/AT458-1),"NA",AX458/AT458-1)</f>
        <v>0.1010526315789475</v>
      </c>
      <c r="AY459" s="1585">
        <f t="shared" ref="AY459" si="2870">IF(ISERROR(AY458/AU458-1),"NA",AY458/AU458-1)</f>
        <v>9.8562628336755775E-2</v>
      </c>
      <c r="AZ459" s="1585">
        <f t="shared" ref="AZ459" si="2871">IF(ISERROR(AZ458/AV458-1),"NA",AZ458/AV458-1)</f>
        <v>9.6192384769539396E-2</v>
      </c>
      <c r="BA459" s="1586">
        <f t="shared" ref="BA459" si="2872">IF(ISERROR(BA458/AW458-1),"NA",BA458/AW458-1)</f>
        <v>9.3933463796477712E-2</v>
      </c>
      <c r="BB459" s="1588"/>
      <c r="BC459" s="1608" t="str">
        <f t="shared" ref="BC459" si="2873">IF(ISERROR(BC458/BB458-1),"NA",BC458/BB458-1)</f>
        <v>NA</v>
      </c>
      <c r="BD459" s="1608">
        <f t="shared" ref="BD459" si="2874">IF(ISERROR(BD458/BC458-1),"NA",BD458/BC458-1)</f>
        <v>0.40744186046511621</v>
      </c>
      <c r="BE459" s="1608">
        <f t="shared" ref="BE459" si="2875">IF(ISERROR(BE458/BD458-1),"NA",BE458/BD458-1)</f>
        <v>0.575016523463318</v>
      </c>
      <c r="BF459" s="1608">
        <f t="shared" ref="BF459" si="2876">IF(ISERROR(BF458/BE458-1),"NA",BF458/BE458-1)</f>
        <v>0.43180864456567347</v>
      </c>
      <c r="BG459" s="1608">
        <f t="shared" ref="BG459" si="2877">IF(ISERROR(BG458/BF458-1),"NA",BG458/BF458-1)</f>
        <v>0.32942555685814767</v>
      </c>
      <c r="BH459" s="1608">
        <f t="shared" ref="BH459" si="2878">IF(ISERROR(BH458/BG458-1),"NA",BH458/BG458-1)</f>
        <v>0.1205908289241624</v>
      </c>
      <c r="BI459" s="1608">
        <f t="shared" ref="BI459" si="2879">IF(ISERROR(BI458/BH458-1),"NA",BI458/BH458-1)</f>
        <v>0.15797757229982268</v>
      </c>
      <c r="BJ459" s="1608">
        <f t="shared" ref="BJ459" si="2880">IF(ISERROR(BJ458/BI458-1),"NA",BJ458/BI458-1)</f>
        <v>0.18688413183826014</v>
      </c>
      <c r="BK459" s="1608">
        <f t="shared" ref="BK459" si="2881">IF(ISERROR(BK458/BJ458-1),"NA",BK458/BJ458-1)</f>
        <v>0.15745777268823358</v>
      </c>
      <c r="BL459" s="1608">
        <f t="shared" ref="BL459" si="2882">IF(ISERROR(BL458/BK458-1),"NA",BL458/BK458-1)</f>
        <v>0.17177838238931487</v>
      </c>
      <c r="BM459" s="1608">
        <f t="shared" ref="BM459:BP459" si="2883">IF(ISERROR(BM458/BL458-1),"NA",BM458/BL458-1)</f>
        <v>0.10554089709762526</v>
      </c>
      <c r="BN459" s="1608">
        <f t="shared" si="2883"/>
        <v>0.10501193317422453</v>
      </c>
      <c r="BO459" s="1608">
        <f t="shared" si="2883"/>
        <v>0.10367170626349909</v>
      </c>
      <c r="BP459" s="1608">
        <f t="shared" si="2883"/>
        <v>9.3933463796477712E-2</v>
      </c>
      <c r="BR459" s="1595"/>
      <c r="BS459" s="1595"/>
      <c r="BT459" s="1595"/>
      <c r="BU459" s="1596"/>
    </row>
    <row r="460" spans="1:73" s="1594" customFormat="1" ht="12" hidden="1" customHeight="1" outlineLevel="2">
      <c r="A460" s="1609" t="s">
        <v>291</v>
      </c>
      <c r="B460" s="1585"/>
      <c r="C460" s="1585"/>
      <c r="D460" s="1585"/>
      <c r="E460" s="1586"/>
      <c r="F460" s="1585">
        <f t="shared" ref="F460" si="2884">IF(ISERROR(F458/E458-1),"NA",F458/E458-1)</f>
        <v>8.2617316589557177E-2</v>
      </c>
      <c r="G460" s="1585">
        <f t="shared" ref="G460" si="2885">IF(ISERROR(G458/F458-1),"NA",G458/F458-1)</f>
        <v>0.14224664224664241</v>
      </c>
      <c r="H460" s="1585">
        <f t="shared" ref="H460" si="2886">IF(ISERROR(H458/G458-1),"NA",H458/G458-1)</f>
        <v>0.18653126670229825</v>
      </c>
      <c r="I460" s="1586">
        <f t="shared" ref="I460" si="2887">IF(ISERROR(I458/H458-1),"NA",I458/H458-1)</f>
        <v>7.3423423423423229E-2</v>
      </c>
      <c r="J460" s="1585">
        <f t="shared" ref="J460" si="2888">IF(ISERROR(J458/I458-1),"NA",J458/I458-1)</f>
        <v>7.0919009651699616E-2</v>
      </c>
      <c r="K460" s="1585">
        <f t="shared" ref="K460" si="2889">IF(ISERROR(K458/J458-1),"NA",K458/J458-1)</f>
        <v>0.10775862068965503</v>
      </c>
      <c r="L460" s="1585">
        <f t="shared" ref="L460" si="2890">IF(ISERROR(L458/K458-1),"NA",L458/K458-1)</f>
        <v>0.1400778210116731</v>
      </c>
      <c r="M460" s="1586">
        <f t="shared" ref="M460" si="2891">IF(ISERROR(M458/L458-1),"NA",M458/L458-1)</f>
        <v>5.864101768538621E-2</v>
      </c>
      <c r="N460" s="1585">
        <f t="shared" ref="N460" si="2892">IF(ISERROR(N458/M458-1),"NA",N458/M458-1)</f>
        <v>5.1875732708089206E-2</v>
      </c>
      <c r="O460" s="1585">
        <f t="shared" ref="O460" si="2893">IF(ISERROR(O458/N458-1),"NA",O458/N458-1)</f>
        <v>8.3867372527166362E-2</v>
      </c>
      <c r="P460" s="1585">
        <f t="shared" ref="P460" si="2894">IF(ISERROR(P458/O458-1),"NA",P458/O458-1)</f>
        <v>9.1773778920308358E-2</v>
      </c>
      <c r="Q460" s="1586">
        <f t="shared" ref="Q460" si="2895">IF(ISERROR(Q458/P458-1),"NA",Q458/P458-1)</f>
        <v>6.8048033906286776E-2</v>
      </c>
      <c r="R460" s="1585">
        <f t="shared" ref="R460" si="2896">IF(ISERROR(R458/Q458-1),"NA",R458/Q458-1)</f>
        <v>5.5114638447971709E-2</v>
      </c>
      <c r="S460" s="1585">
        <f t="shared" ref="S460" si="2897">IF(ISERROR(S458/R458-1),"NA",S458/R458-1)</f>
        <v>5.2235687421646526E-2</v>
      </c>
      <c r="T460" s="1585">
        <f t="shared" ref="T460" si="2898">IF(ISERROR(T458/S458-1),"NA",T458/S458-1)</f>
        <v>1.9857029388403502E-2</v>
      </c>
      <c r="U460" s="1586">
        <f t="shared" ref="U460" si="2899">IF(ISERROR(U458/T458-1),"NA",U458/T458-1)</f>
        <v>0</v>
      </c>
      <c r="V460" s="1585">
        <f t="shared" ref="V460" si="2900">IF(ISERROR(V458/U458-1),"NA",V458/U458-1)</f>
        <v>3.8940809968847301E-2</v>
      </c>
      <c r="W460" s="1585">
        <f t="shared" ref="W460:X460" si="2901">IF(ISERROR(W458/V458-1),"NA",W458/V458-1)</f>
        <v>3.7481259370314879E-2</v>
      </c>
      <c r="X460" s="1585">
        <f t="shared" si="2901"/>
        <v>5.4190751445086782E-2</v>
      </c>
      <c r="Y460" s="1586">
        <f t="shared" ref="Y460" si="2902">IF(ISERROR(Y458/X458-1),"NA",Y458/X458-1)</f>
        <v>8.5675119945167744E-3</v>
      </c>
      <c r="Z460" s="1585">
        <f t="shared" ref="Z460" si="2903">IF(ISERROR(Z458/Y458-1),"NA",Z458/Y458-1)</f>
        <v>5.0968399592252744E-2</v>
      </c>
      <c r="AA460" s="1585">
        <f t="shared" ref="AA460" si="2904">IF(ISERROR(AA458/Z458-1),"NA",AA458/Z458-1)</f>
        <v>8.0827675396055731E-2</v>
      </c>
      <c r="AB460" s="1585">
        <f t="shared" ref="AB460" si="2905">IF(ISERROR(AB458/AA458-1),"NA",AB458/AA458-1)</f>
        <v>0</v>
      </c>
      <c r="AC460" s="1586">
        <f t="shared" ref="AC460" si="2906">IF(ISERROR(AC458/AB458-1),"NA",AC458/AB458-1)</f>
        <v>4.4869877355668608E-2</v>
      </c>
      <c r="AD460" s="1585">
        <f t="shared" ref="AD460" si="2907">IF(ISERROR(AD458/AC458-1),"NA",AD458/AC458-1)</f>
        <v>7.1571714858287949E-2</v>
      </c>
      <c r="AE460" s="1585">
        <f t="shared" ref="AE460" si="2908">IF(ISERROR(AE458/AD458-1),"NA",AE458/AD458-1)</f>
        <v>2.0037403152551425E-2</v>
      </c>
      <c r="AF460" s="1585">
        <f t="shared" ref="AF460" si="2909">IF(ISERROR(AF458/AE458-1),"NA",AF458/AE458-1)</f>
        <v>4.5835515976951235E-2</v>
      </c>
      <c r="AG460" s="1586">
        <f t="shared" ref="AG460" si="2910">IF(ISERROR(AG458/AF458-1),"NA",AG458/AF458-1)</f>
        <v>1.2521913348359615E-2</v>
      </c>
      <c r="AH460" s="1585">
        <f t="shared" ref="AH460" si="2911">IF(ISERROR(AH458/AG458-1),"NA",AH458/AG458-1)</f>
        <v>5.1199604254266839E-2</v>
      </c>
      <c r="AI460" s="1585">
        <f t="shared" ref="AI460" si="2912">IF(ISERROR(AI458/AH458-1),"NA",AI458/AH458-1)</f>
        <v>3.8235294117646923E-2</v>
      </c>
      <c r="AJ460" s="1585">
        <f t="shared" ref="AJ460" si="2913">IF(ISERROR(AJ458/AI458-1),"NA",AJ458/AI458-1)</f>
        <v>3.6827195467421969E-2</v>
      </c>
      <c r="AK460" s="1586">
        <f t="shared" ref="AK460" si="2914">IF(ISERROR(AK458/AJ458-1),"NA",AK458/AJ458-1)</f>
        <v>3.5519125683060038E-2</v>
      </c>
      <c r="AL460" s="1585">
        <f t="shared" ref="AL460" si="2915">IF(ISERROR(AL458/AK458-1),"NA",AL458/AK458-1)</f>
        <v>2.638522427440626E-2</v>
      </c>
      <c r="AM460" s="1585">
        <f t="shared" ref="AM460" si="2916">IF(ISERROR(AM458/AL458-1),"NA",AM458/AL458-1)</f>
        <v>2.5706940874036022E-2</v>
      </c>
      <c r="AN460" s="1585">
        <f t="shared" ref="AN460" si="2917">IF(ISERROR(AN458/AM458-1),"NA",AN458/AM458-1)</f>
        <v>2.506265664160412E-2</v>
      </c>
      <c r="AO460" s="1586">
        <f t="shared" ref="AO460:AQ460" si="2918">IF(ISERROR(AO458/AN458-1),"NA",AO458/AN458-1)</f>
        <v>2.4449877750611249E-2</v>
      </c>
      <c r="AP460" s="1585">
        <f t="shared" si="2918"/>
        <v>2.3866348448687402E-2</v>
      </c>
      <c r="AQ460" s="1585">
        <f t="shared" si="2918"/>
        <v>2.3310023310023409E-2</v>
      </c>
      <c r="AR460" s="1585">
        <f t="shared" ref="AR460" si="2919">IF(ISERROR(AR458/AQ458-1),"NA",AR458/AQ458-1)</f>
        <v>2.7334851936218652E-2</v>
      </c>
      <c r="AS460" s="1586">
        <f t="shared" ref="AS460" si="2920">IF(ISERROR(AS458/AR458-1),"NA",AS458/AR458-1)</f>
        <v>2.6607538802660757E-2</v>
      </c>
      <c r="AT460" s="1585">
        <f t="shared" ref="AT460" si="2921">IF(ISERROR(AT458/AS458-1),"NA",AT458/AS458-1)</f>
        <v>2.5917926565874883E-2</v>
      </c>
      <c r="AU460" s="1585">
        <f t="shared" ref="AU460" si="2922">IF(ISERROR(AU458/AT458-1),"NA",AU458/AT458-1)</f>
        <v>2.5263157894736876E-2</v>
      </c>
      <c r="AV460" s="1585">
        <f t="shared" ref="AV460" si="2923">IF(ISERROR(AV458/AU458-1),"NA",AV458/AU458-1)</f>
        <v>2.4640657084189055E-2</v>
      </c>
      <c r="AW460" s="1586">
        <f t="shared" ref="AW460" si="2924">IF(ISERROR(AW458/AV458-1),"NA",AW458/AV458-1)</f>
        <v>2.4048096192384794E-2</v>
      </c>
      <c r="AX460" s="1585">
        <f t="shared" ref="AX460" si="2925">IF(ISERROR(AX458/AW458-1),"NA",AX458/AW458-1)</f>
        <v>2.3483365949119372E-2</v>
      </c>
      <c r="AY460" s="1585">
        <f t="shared" ref="AY460" si="2926">IF(ISERROR(AY458/AX458-1),"NA",AY458/AX458-1)</f>
        <v>2.2944550669216079E-2</v>
      </c>
      <c r="AZ460" s="1585">
        <f t="shared" ref="AZ460" si="2927">IF(ISERROR(AZ458/AY458-1),"NA",AZ458/AY458-1)</f>
        <v>2.2429906542056122E-2</v>
      </c>
      <c r="BA460" s="1586">
        <f t="shared" ref="BA460" si="2928">IF(ISERROR(BA458/AZ458-1),"NA",BA458/AZ458-1)</f>
        <v>2.1937842778793515E-2</v>
      </c>
      <c r="BB460" s="1588"/>
      <c r="BC460" s="1590" t="s">
        <v>366</v>
      </c>
      <c r="BD460" s="1590" t="s">
        <v>366</v>
      </c>
      <c r="BE460" s="1590" t="s">
        <v>366</v>
      </c>
      <c r="BF460" s="1590" t="s">
        <v>366</v>
      </c>
      <c r="BG460" s="1590" t="s">
        <v>366</v>
      </c>
      <c r="BH460" s="1590" t="s">
        <v>366</v>
      </c>
      <c r="BI460" s="1590" t="s">
        <v>366</v>
      </c>
      <c r="BJ460" s="1590" t="s">
        <v>366</v>
      </c>
      <c r="BK460" s="1590" t="s">
        <v>366</v>
      </c>
      <c r="BL460" s="1590" t="s">
        <v>366</v>
      </c>
      <c r="BM460" s="1590" t="s">
        <v>366</v>
      </c>
      <c r="BN460" s="1590" t="s">
        <v>366</v>
      </c>
      <c r="BO460" s="1590" t="s">
        <v>366</v>
      </c>
      <c r="BP460" s="1590" t="s">
        <v>366</v>
      </c>
      <c r="BR460" s="1595"/>
      <c r="BS460" s="1595"/>
      <c r="BT460" s="1595"/>
      <c r="BU460" s="1596"/>
    </row>
    <row r="461" spans="1:73" s="1618" customFormat="1" ht="12" hidden="1" customHeight="1" outlineLevel="2">
      <c r="A461" s="1610" t="s">
        <v>385</v>
      </c>
      <c r="B461" s="1611"/>
      <c r="C461" s="1612">
        <f>+C458-B458</f>
        <v>9.7999999999999865E-2</v>
      </c>
      <c r="D461" s="1612">
        <f t="shared" ref="D461:Q461" si="2929">+D458-C458</f>
        <v>0.14000000000000012</v>
      </c>
      <c r="E461" s="1613">
        <f t="shared" si="2929"/>
        <v>0.11599999999999988</v>
      </c>
      <c r="F461" s="1612">
        <f t="shared" si="2929"/>
        <v>0.125</v>
      </c>
      <c r="G461" s="1612">
        <f t="shared" si="2929"/>
        <v>0.2330000000000001</v>
      </c>
      <c r="H461" s="1612">
        <f t="shared" si="2929"/>
        <v>0.3490000000000002</v>
      </c>
      <c r="I461" s="1613">
        <f t="shared" si="2929"/>
        <v>0.16299999999999981</v>
      </c>
      <c r="J461" s="1612">
        <f t="shared" si="2929"/>
        <v>0.16900000000000004</v>
      </c>
      <c r="K461" s="1612">
        <f t="shared" si="2929"/>
        <v>0.27499999999999991</v>
      </c>
      <c r="L461" s="1612">
        <f t="shared" si="2929"/>
        <v>0.39599999999999991</v>
      </c>
      <c r="M461" s="1613">
        <f t="shared" si="2929"/>
        <v>0.18900000000000006</v>
      </c>
      <c r="N461" s="1612">
        <f t="shared" si="2929"/>
        <v>0.17700000000000005</v>
      </c>
      <c r="O461" s="1612">
        <f t="shared" si="2929"/>
        <v>0.30100000000000016</v>
      </c>
      <c r="P461" s="1612">
        <f t="shared" si="2929"/>
        <v>0.35699999999999976</v>
      </c>
      <c r="Q461" s="1613">
        <f t="shared" si="2929"/>
        <v>0.2889999999999997</v>
      </c>
      <c r="R461" s="1612">
        <v>0.25</v>
      </c>
      <c r="S461" s="1612">
        <v>0.25</v>
      </c>
      <c r="T461" s="1612">
        <v>0.1</v>
      </c>
      <c r="U461" s="1613">
        <v>0</v>
      </c>
      <c r="V461" s="1612">
        <v>0.2</v>
      </c>
      <c r="W461" s="1612">
        <v>0.2</v>
      </c>
      <c r="X461" s="1612">
        <v>0.3</v>
      </c>
      <c r="Y461" s="1613">
        <v>0.05</v>
      </c>
      <c r="Z461" s="1614">
        <v>0.3</v>
      </c>
      <c r="AA461" s="1614">
        <v>0.5</v>
      </c>
      <c r="AB461" s="1614">
        <v>0</v>
      </c>
      <c r="AC461" s="1615">
        <v>0.3</v>
      </c>
      <c r="AD461" s="1614">
        <v>0.5</v>
      </c>
      <c r="AE461" s="1614">
        <v>0.15</v>
      </c>
      <c r="AF461" s="1614">
        <v>0.35</v>
      </c>
      <c r="AG461" s="1615">
        <v>0.1</v>
      </c>
      <c r="AH461" s="1614">
        <v>0.2</v>
      </c>
      <c r="AI461" s="1614">
        <v>0.32500000000000001</v>
      </c>
      <c r="AJ461" s="1614">
        <v>0.32500000000000001</v>
      </c>
      <c r="AK461" s="1615">
        <v>0.32500000000000001</v>
      </c>
      <c r="AL461" s="1614">
        <v>0.25</v>
      </c>
      <c r="AM461" s="1614">
        <v>0.25</v>
      </c>
      <c r="AN461" s="1614">
        <v>0.25</v>
      </c>
      <c r="AO461" s="1615">
        <v>0.25</v>
      </c>
      <c r="AP461" s="1614">
        <v>0.25</v>
      </c>
      <c r="AQ461" s="1614">
        <v>0.25</v>
      </c>
      <c r="AR461" s="1614">
        <v>0.3</v>
      </c>
      <c r="AS461" s="1615">
        <v>0.3</v>
      </c>
      <c r="AT461" s="1614">
        <v>0.3</v>
      </c>
      <c r="AU461" s="1614">
        <v>0.3</v>
      </c>
      <c r="AV461" s="1614">
        <v>0.3</v>
      </c>
      <c r="AW461" s="1615">
        <v>0.3</v>
      </c>
      <c r="AX461" s="1614">
        <v>0.3</v>
      </c>
      <c r="AY461" s="1614">
        <v>0.3</v>
      </c>
      <c r="AZ461" s="1614">
        <v>0.3</v>
      </c>
      <c r="BA461" s="1615">
        <v>0.3</v>
      </c>
      <c r="BB461" s="1616"/>
      <c r="BC461" s="1617"/>
      <c r="BD461" s="1590"/>
      <c r="BE461" s="1591"/>
      <c r="BF461" s="1591"/>
      <c r="BG461" s="1592"/>
      <c r="BH461" s="1591"/>
      <c r="BI461" s="1593"/>
      <c r="BJ461" s="1593"/>
      <c r="BK461" s="1593"/>
      <c r="BL461" s="1593"/>
      <c r="BM461" s="1593"/>
      <c r="BN461" s="1593"/>
      <c r="BO461" s="1593"/>
      <c r="BP461" s="1593"/>
      <c r="BR461" s="1619"/>
      <c r="BS461" s="1619"/>
      <c r="BT461" s="1619"/>
      <c r="BU461" s="1596"/>
    </row>
    <row r="462" spans="1:73" s="1594" customFormat="1" ht="12" hidden="1" customHeight="1" outlineLevel="2">
      <c r="A462" s="1610"/>
      <c r="B462" s="1585"/>
      <c r="C462" s="1585"/>
      <c r="D462" s="1585"/>
      <c r="E462" s="1586"/>
      <c r="F462" s="1585"/>
      <c r="G462" s="1585"/>
      <c r="H462" s="1585"/>
      <c r="I462" s="1586"/>
      <c r="J462" s="1585"/>
      <c r="K462" s="1585"/>
      <c r="L462" s="1585"/>
      <c r="M462" s="1586"/>
      <c r="N462" s="1585"/>
      <c r="O462" s="1585"/>
      <c r="P462" s="1585"/>
      <c r="Q462" s="1586"/>
      <c r="R462" s="1585"/>
      <c r="S462" s="1585"/>
      <c r="T462" s="1585"/>
      <c r="U462" s="1586"/>
      <c r="V462" s="1585"/>
      <c r="W462" s="1585"/>
      <c r="X462" s="1585"/>
      <c r="Y462" s="1586"/>
      <c r="Z462" s="1585"/>
      <c r="AA462" s="1585"/>
      <c r="AB462" s="1585"/>
      <c r="AC462" s="1586"/>
      <c r="AD462" s="1585"/>
      <c r="AE462" s="1585"/>
      <c r="AF462" s="1585"/>
      <c r="AG462" s="1586"/>
      <c r="AH462" s="1587"/>
      <c r="AI462" s="1587"/>
      <c r="AJ462" s="1587"/>
      <c r="AK462" s="1588"/>
      <c r="AL462" s="1587"/>
      <c r="AM462" s="1587"/>
      <c r="AN462" s="1587"/>
      <c r="AO462" s="1588"/>
      <c r="AP462" s="1587"/>
      <c r="AQ462" s="1587"/>
      <c r="AR462" s="1587"/>
      <c r="AS462" s="1588"/>
      <c r="AT462" s="1587"/>
      <c r="AU462" s="1587"/>
      <c r="AV462" s="1587"/>
      <c r="AW462" s="1588"/>
      <c r="AX462" s="1587"/>
      <c r="AY462" s="1587"/>
      <c r="AZ462" s="1587"/>
      <c r="BA462" s="1588"/>
      <c r="BB462" s="1588"/>
      <c r="BC462" s="1589"/>
      <c r="BD462" s="1590"/>
      <c r="BE462" s="1591"/>
      <c r="BF462" s="1591"/>
      <c r="BG462" s="1592"/>
      <c r="BH462" s="1591"/>
      <c r="BI462" s="1593"/>
      <c r="BJ462" s="1593"/>
      <c r="BK462" s="1593"/>
      <c r="BL462" s="1593"/>
      <c r="BM462" s="1593"/>
      <c r="BN462" s="1593"/>
      <c r="BO462" s="1593"/>
      <c r="BP462" s="1593"/>
      <c r="BR462" s="1595"/>
      <c r="BS462" s="1595"/>
      <c r="BT462" s="1595"/>
      <c r="BU462" s="1596"/>
    </row>
    <row r="463" spans="1:73" s="1594" customFormat="1" ht="12" hidden="1" customHeight="1" outlineLevel="2">
      <c r="A463" s="1620" t="s">
        <v>129</v>
      </c>
      <c r="B463" s="1585"/>
      <c r="C463" s="1585"/>
      <c r="D463" s="1585"/>
      <c r="E463" s="1586"/>
      <c r="F463" s="1585"/>
      <c r="G463" s="1585"/>
      <c r="H463" s="1585"/>
      <c r="I463" s="1586"/>
      <c r="J463" s="1585"/>
      <c r="K463" s="1585"/>
      <c r="L463" s="1585"/>
      <c r="M463" s="1586"/>
      <c r="N463" s="1585"/>
      <c r="O463" s="1585"/>
      <c r="P463" s="1585"/>
      <c r="Q463" s="1586"/>
      <c r="R463" s="1585"/>
      <c r="S463" s="1585"/>
      <c r="T463" s="1585"/>
      <c r="U463" s="1586"/>
      <c r="V463" s="1585"/>
      <c r="W463" s="1585"/>
      <c r="X463" s="1585"/>
      <c r="Y463" s="1586"/>
      <c r="Z463" s="1585"/>
      <c r="AA463" s="1585"/>
      <c r="AB463" s="1585"/>
      <c r="AC463" s="1586"/>
      <c r="AD463" s="1585"/>
      <c r="AE463" s="1585"/>
      <c r="AF463" s="1585"/>
      <c r="AG463" s="1586"/>
      <c r="AH463" s="1587"/>
      <c r="AI463" s="1587"/>
      <c r="AJ463" s="1587"/>
      <c r="AK463" s="1588"/>
      <c r="AL463" s="1587"/>
      <c r="AM463" s="1587"/>
      <c r="AN463" s="1587"/>
      <c r="AO463" s="1588"/>
      <c r="AP463" s="1587"/>
      <c r="AQ463" s="1587"/>
      <c r="AR463" s="1587"/>
      <c r="AS463" s="1588"/>
      <c r="AT463" s="1587"/>
      <c r="AU463" s="1587"/>
      <c r="AV463" s="1587"/>
      <c r="AW463" s="1588"/>
      <c r="AX463" s="1587"/>
      <c r="AY463" s="1587"/>
      <c r="AZ463" s="1587"/>
      <c r="BA463" s="1588"/>
      <c r="BB463" s="1588"/>
      <c r="BC463" s="1602">
        <v>0.877</v>
      </c>
      <c r="BD463" s="1603">
        <v>1.226</v>
      </c>
      <c r="BE463" s="1604">
        <v>1.881</v>
      </c>
      <c r="BF463" s="1602">
        <v>2.6120000000000001</v>
      </c>
      <c r="BG463" s="1603">
        <v>3.3</v>
      </c>
      <c r="BH463" s="1604"/>
      <c r="BI463" s="1621"/>
      <c r="BJ463" s="1621"/>
      <c r="BK463" s="1621"/>
      <c r="BL463" s="1621"/>
      <c r="BM463" s="1621"/>
      <c r="BN463" s="1621"/>
      <c r="BO463" s="1621"/>
      <c r="BP463" s="1621"/>
      <c r="BR463" s="1595"/>
      <c r="BS463" s="1595"/>
      <c r="BT463" s="1595"/>
      <c r="BU463" s="1596"/>
    </row>
    <row r="464" spans="1:73" s="1626" customFormat="1" ht="12" hidden="1" customHeight="1" outlineLevel="2">
      <c r="A464" s="1622" t="s">
        <v>389</v>
      </c>
      <c r="B464" s="1585"/>
      <c r="C464" s="1585"/>
      <c r="D464" s="1585"/>
      <c r="E464" s="1586"/>
      <c r="F464" s="1585"/>
      <c r="G464" s="1585"/>
      <c r="H464" s="1585"/>
      <c r="I464" s="1586"/>
      <c r="J464" s="1585"/>
      <c r="K464" s="1585"/>
      <c r="L464" s="1585"/>
      <c r="M464" s="1586"/>
      <c r="N464" s="1585"/>
      <c r="O464" s="1585"/>
      <c r="P464" s="1585"/>
      <c r="Q464" s="1586"/>
      <c r="R464" s="1585"/>
      <c r="S464" s="1585"/>
      <c r="T464" s="1585"/>
      <c r="U464" s="1586"/>
      <c r="V464" s="1585"/>
      <c r="W464" s="1585"/>
      <c r="X464" s="1585"/>
      <c r="Y464" s="1586"/>
      <c r="Z464" s="1585"/>
      <c r="AA464" s="1585"/>
      <c r="AB464" s="1585"/>
      <c r="AC464" s="1586"/>
      <c r="AD464" s="1585"/>
      <c r="AE464" s="1585"/>
      <c r="AF464" s="1585"/>
      <c r="AG464" s="1586"/>
      <c r="AH464" s="1623"/>
      <c r="AI464" s="1623"/>
      <c r="AJ464" s="1623"/>
      <c r="AK464" s="1624"/>
      <c r="AL464" s="1623"/>
      <c r="AM464" s="1623"/>
      <c r="AN464" s="1623"/>
      <c r="AO464" s="1624"/>
      <c r="AP464" s="1623"/>
      <c r="AQ464" s="1623"/>
      <c r="AR464" s="1623"/>
      <c r="AS464" s="1624"/>
      <c r="AT464" s="1623"/>
      <c r="AU464" s="1623"/>
      <c r="AV464" s="1623"/>
      <c r="AW464" s="1624"/>
      <c r="AX464" s="1623"/>
      <c r="AY464" s="1623"/>
      <c r="AZ464" s="1623"/>
      <c r="BA464" s="1624"/>
      <c r="BB464" s="1624"/>
      <c r="BC464" s="1625">
        <f>+BC463/BC458</f>
        <v>0.81581395348837216</v>
      </c>
      <c r="BD464" s="1625">
        <f>+BD463/BD458</f>
        <v>0.81031064111037676</v>
      </c>
      <c r="BE464" s="1625">
        <f>+BE463/BE458</f>
        <v>0.78934116659672682</v>
      </c>
      <c r="BF464" s="1625">
        <f>+BF463/BF458</f>
        <v>0.76553341148886289</v>
      </c>
      <c r="BG464" s="1625">
        <f>+BG463/BG458</f>
        <v>0.72751322751322756</v>
      </c>
      <c r="BH464" s="1591"/>
      <c r="BI464" s="1621"/>
      <c r="BJ464" s="1621"/>
      <c r="BK464" s="1621"/>
      <c r="BL464" s="1621"/>
      <c r="BM464" s="1621"/>
      <c r="BN464" s="1621"/>
      <c r="BO464" s="1621"/>
      <c r="BP464" s="1621"/>
      <c r="BR464" s="1627"/>
      <c r="BS464" s="1627"/>
      <c r="BT464" s="1627"/>
      <c r="BU464" s="1596"/>
    </row>
    <row r="465" spans="1:73" s="1634" customFormat="1" ht="12" hidden="1" customHeight="1" outlineLevel="2">
      <c r="A465" s="1628" t="s">
        <v>391</v>
      </c>
      <c r="B465" s="1585"/>
      <c r="C465" s="1585"/>
      <c r="D465" s="1585"/>
      <c r="E465" s="1586"/>
      <c r="F465" s="1585"/>
      <c r="G465" s="1585"/>
      <c r="H465" s="1585"/>
      <c r="I465" s="1586"/>
      <c r="J465" s="1585"/>
      <c r="K465" s="1585"/>
      <c r="L465" s="1585"/>
      <c r="M465" s="1586"/>
      <c r="N465" s="1585"/>
      <c r="O465" s="1585"/>
      <c r="P465" s="1585"/>
      <c r="Q465" s="1586"/>
      <c r="R465" s="1585"/>
      <c r="S465" s="1585"/>
      <c r="T465" s="1585"/>
      <c r="U465" s="1586"/>
      <c r="V465" s="1585"/>
      <c r="W465" s="1585"/>
      <c r="X465" s="1585"/>
      <c r="Y465" s="1586"/>
      <c r="Z465" s="1585"/>
      <c r="AA465" s="1585"/>
      <c r="AB465" s="1585"/>
      <c r="AC465" s="1586"/>
      <c r="AD465" s="1585"/>
      <c r="AE465" s="1585"/>
      <c r="AF465" s="1585"/>
      <c r="AG465" s="1586"/>
      <c r="AH465" s="1629"/>
      <c r="AI465" s="1629"/>
      <c r="AJ465" s="1629"/>
      <c r="AK465" s="1630"/>
      <c r="AL465" s="1629"/>
      <c r="AM465" s="1629"/>
      <c r="AN465" s="1629"/>
      <c r="AO465" s="1630"/>
      <c r="AP465" s="1629"/>
      <c r="AQ465" s="1629"/>
      <c r="AR465" s="1629"/>
      <c r="AS465" s="1630"/>
      <c r="AT465" s="1629"/>
      <c r="AU465" s="1629"/>
      <c r="AV465" s="1629"/>
      <c r="AW465" s="1630"/>
      <c r="AX465" s="1629"/>
      <c r="AY465" s="1629"/>
      <c r="AZ465" s="1629"/>
      <c r="BA465" s="1630"/>
      <c r="BB465" s="1630"/>
      <c r="BC465" s="1631">
        <v>425</v>
      </c>
      <c r="BD465" s="1632">
        <v>420</v>
      </c>
      <c r="BE465" s="1633">
        <v>434</v>
      </c>
      <c r="BF465" s="1631">
        <v>490</v>
      </c>
      <c r="BG465" s="1632">
        <v>553</v>
      </c>
      <c r="BH465" s="1591"/>
      <c r="BI465" s="1621"/>
      <c r="BJ465" s="1621"/>
      <c r="BK465" s="1621"/>
      <c r="BL465" s="1621"/>
      <c r="BM465" s="1621"/>
      <c r="BN465" s="1621"/>
      <c r="BO465" s="1621"/>
      <c r="BP465" s="1621"/>
      <c r="BR465" s="1635"/>
      <c r="BS465" s="1635"/>
      <c r="BT465" s="1635"/>
      <c r="BU465" s="1596"/>
    </row>
    <row r="466" spans="1:73" s="1594" customFormat="1" ht="12" hidden="1" customHeight="1" outlineLevel="2">
      <c r="A466" s="1620" t="s">
        <v>130</v>
      </c>
      <c r="B466" s="1585"/>
      <c r="C466" s="1585"/>
      <c r="D466" s="1585"/>
      <c r="E466" s="1586"/>
      <c r="F466" s="1585"/>
      <c r="G466" s="1585"/>
      <c r="H466" s="1585"/>
      <c r="I466" s="1586"/>
      <c r="J466" s="1585"/>
      <c r="K466" s="1585"/>
      <c r="L466" s="1585"/>
      <c r="M466" s="1586"/>
      <c r="N466" s="1585"/>
      <c r="O466" s="1585"/>
      <c r="P466" s="1585"/>
      <c r="Q466" s="1586"/>
      <c r="R466" s="1585"/>
      <c r="S466" s="1585"/>
      <c r="T466" s="1585"/>
      <c r="U466" s="1586"/>
      <c r="V466" s="1585"/>
      <c r="W466" s="1585"/>
      <c r="X466" s="1585"/>
      <c r="Y466" s="1586"/>
      <c r="Z466" s="1585"/>
      <c r="AA466" s="1585"/>
      <c r="AB466" s="1585"/>
      <c r="AC466" s="1586"/>
      <c r="AD466" s="1585"/>
      <c r="AE466" s="1585"/>
      <c r="AF466" s="1585"/>
      <c r="AG466" s="1586"/>
      <c r="AH466" s="1587"/>
      <c r="AI466" s="1587"/>
      <c r="AJ466" s="1587"/>
      <c r="AK466" s="1588"/>
      <c r="AL466" s="1587"/>
      <c r="AM466" s="1587"/>
      <c r="AN466" s="1587"/>
      <c r="AO466" s="1588"/>
      <c r="AP466" s="1587"/>
      <c r="AQ466" s="1587"/>
      <c r="AR466" s="1587"/>
      <c r="AS466" s="1588"/>
      <c r="AT466" s="1587"/>
      <c r="AU466" s="1587"/>
      <c r="AV466" s="1587"/>
      <c r="AW466" s="1588"/>
      <c r="AX466" s="1587"/>
      <c r="AY466" s="1587"/>
      <c r="AZ466" s="1587"/>
      <c r="BA466" s="1588"/>
      <c r="BB466" s="1588"/>
      <c r="BC466" s="1602">
        <v>0.19800000000000001</v>
      </c>
      <c r="BD466" s="1603">
        <v>0.28699999999999998</v>
      </c>
      <c r="BE466" s="1604">
        <v>0.503</v>
      </c>
      <c r="BF466" s="1602">
        <v>0.8</v>
      </c>
      <c r="BG466" s="1603">
        <v>1.286</v>
      </c>
      <c r="BH466" s="1591"/>
      <c r="BI466" s="1621"/>
      <c r="BJ466" s="1621"/>
      <c r="BK466" s="1621"/>
      <c r="BL466" s="1621"/>
      <c r="BM466" s="1621"/>
      <c r="BN466" s="1621"/>
      <c r="BO466" s="1621"/>
      <c r="BP466" s="1621"/>
      <c r="BR466" s="1595"/>
      <c r="BS466" s="1595"/>
      <c r="BT466" s="1595"/>
      <c r="BU466" s="1596"/>
    </row>
    <row r="467" spans="1:73" s="1594" customFormat="1" ht="12" hidden="1" customHeight="1" outlineLevel="2">
      <c r="A467" s="1622" t="s">
        <v>389</v>
      </c>
      <c r="B467" s="1585"/>
      <c r="C467" s="1585"/>
      <c r="D467" s="1585"/>
      <c r="E467" s="1586"/>
      <c r="F467" s="1585"/>
      <c r="G467" s="1585"/>
      <c r="H467" s="1585"/>
      <c r="I467" s="1586"/>
      <c r="J467" s="1585"/>
      <c r="K467" s="1585"/>
      <c r="L467" s="1585"/>
      <c r="M467" s="1586"/>
      <c r="N467" s="1585"/>
      <c r="O467" s="1585"/>
      <c r="P467" s="1585"/>
      <c r="Q467" s="1586"/>
      <c r="R467" s="1585"/>
      <c r="S467" s="1585"/>
      <c r="T467" s="1585"/>
      <c r="U467" s="1586"/>
      <c r="V467" s="1585"/>
      <c r="W467" s="1585"/>
      <c r="X467" s="1585"/>
      <c r="Y467" s="1586"/>
      <c r="Z467" s="1585"/>
      <c r="AA467" s="1585"/>
      <c r="AB467" s="1585"/>
      <c r="AC467" s="1586"/>
      <c r="AD467" s="1585"/>
      <c r="AE467" s="1585"/>
      <c r="AF467" s="1585"/>
      <c r="AG467" s="1586"/>
      <c r="AH467" s="1587"/>
      <c r="AI467" s="1587"/>
      <c r="AJ467" s="1587"/>
      <c r="AK467" s="1588"/>
      <c r="AL467" s="1587"/>
      <c r="AM467" s="1587"/>
      <c r="AN467" s="1587"/>
      <c r="AO467" s="1588"/>
      <c r="AP467" s="1587"/>
      <c r="AQ467" s="1587"/>
      <c r="AR467" s="1587"/>
      <c r="AS467" s="1588"/>
      <c r="AT467" s="1587"/>
      <c r="AU467" s="1587"/>
      <c r="AV467" s="1587"/>
      <c r="AW467" s="1588"/>
      <c r="AX467" s="1587"/>
      <c r="AY467" s="1587"/>
      <c r="AZ467" s="1587"/>
      <c r="BA467" s="1588"/>
      <c r="BB467" s="1588"/>
      <c r="BC467" s="1625">
        <f>+BC466/BC458</f>
        <v>0.18418604651162793</v>
      </c>
      <c r="BD467" s="1625">
        <f>+BD466/BD458</f>
        <v>0.18968935888962327</v>
      </c>
      <c r="BE467" s="1625">
        <f>+BE466/BE458</f>
        <v>0.21107847251363826</v>
      </c>
      <c r="BF467" s="1625">
        <f>+BF466/BF458</f>
        <v>0.23446658851113719</v>
      </c>
      <c r="BG467" s="1625">
        <f>+BG466/BG458</f>
        <v>0.2835097001763669</v>
      </c>
      <c r="BH467" s="1591"/>
      <c r="BI467" s="1621"/>
      <c r="BJ467" s="1621"/>
      <c r="BK467" s="1621"/>
      <c r="BL467" s="1621"/>
      <c r="BM467" s="1621"/>
      <c r="BN467" s="1621"/>
      <c r="BO467" s="1621"/>
      <c r="BP467" s="1621"/>
      <c r="BR467" s="1595"/>
      <c r="BS467" s="1595"/>
      <c r="BT467" s="1595"/>
      <c r="BU467" s="1596"/>
    </row>
    <row r="468" spans="1:73" s="1634" customFormat="1" ht="12" hidden="1" customHeight="1" outlineLevel="2">
      <c r="A468" s="1628" t="s">
        <v>392</v>
      </c>
      <c r="B468" s="1585"/>
      <c r="C468" s="1585"/>
      <c r="D468" s="1585"/>
      <c r="E468" s="1586"/>
      <c r="F468" s="1585"/>
      <c r="G468" s="1585"/>
      <c r="H468" s="1585"/>
      <c r="I468" s="1586"/>
      <c r="J468" s="1585"/>
      <c r="K468" s="1585"/>
      <c r="L468" s="1585"/>
      <c r="M468" s="1586"/>
      <c r="N468" s="1585"/>
      <c r="O468" s="1585"/>
      <c r="P468" s="1585"/>
      <c r="Q468" s="1586"/>
      <c r="R468" s="1585"/>
      <c r="S468" s="1585"/>
      <c r="T468" s="1585"/>
      <c r="U468" s="1586"/>
      <c r="V468" s="1585"/>
      <c r="W468" s="1585"/>
      <c r="X468" s="1585"/>
      <c r="Y468" s="1586"/>
      <c r="Z468" s="1585"/>
      <c r="AA468" s="1585"/>
      <c r="AB468" s="1585"/>
      <c r="AC468" s="1586"/>
      <c r="AD468" s="1585"/>
      <c r="AE468" s="1585"/>
      <c r="AF468" s="1585"/>
      <c r="AG468" s="1586"/>
      <c r="AH468" s="1629"/>
      <c r="AI468" s="1629"/>
      <c r="AJ468" s="1629"/>
      <c r="AK468" s="1630"/>
      <c r="AL468" s="1629"/>
      <c r="AM468" s="1629"/>
      <c r="AN468" s="1629"/>
      <c r="AO468" s="1630"/>
      <c r="AP468" s="1629"/>
      <c r="AQ468" s="1629"/>
      <c r="AR468" s="1629"/>
      <c r="AS468" s="1630"/>
      <c r="AT468" s="1629"/>
      <c r="AU468" s="1629"/>
      <c r="AV468" s="1629"/>
      <c r="AW468" s="1630"/>
      <c r="AX468" s="1629"/>
      <c r="AY468" s="1629"/>
      <c r="AZ468" s="1629"/>
      <c r="BA468" s="1630"/>
      <c r="BB468" s="1630"/>
      <c r="BC468" s="1631">
        <v>120</v>
      </c>
      <c r="BD468" s="1632">
        <v>120</v>
      </c>
      <c r="BE468" s="1633">
        <v>135</v>
      </c>
      <c r="BF468" s="1631">
        <v>123</v>
      </c>
      <c r="BG468" s="1632">
        <v>116</v>
      </c>
      <c r="BH468" s="1591"/>
      <c r="BI468" s="1621"/>
      <c r="BJ468" s="1621"/>
      <c r="BK468" s="1621"/>
      <c r="BL468" s="1621"/>
      <c r="BM468" s="1621"/>
      <c r="BN468" s="1621"/>
      <c r="BO468" s="1621"/>
      <c r="BP468" s="1621"/>
      <c r="BR468" s="1635"/>
      <c r="BS468" s="1635"/>
      <c r="BT468" s="1635"/>
      <c r="BU468" s="1596"/>
    </row>
    <row r="469" spans="1:73" s="1634" customFormat="1" ht="12" hidden="1" customHeight="1" outlineLevel="2">
      <c r="A469" s="1620" t="s">
        <v>393</v>
      </c>
      <c r="B469" s="1585"/>
      <c r="C469" s="1585"/>
      <c r="D469" s="1585"/>
      <c r="E469" s="1636"/>
      <c r="F469" s="1585"/>
      <c r="G469" s="1585"/>
      <c r="H469" s="1585"/>
      <c r="I469" s="1636"/>
      <c r="J469" s="1585"/>
      <c r="K469" s="1585"/>
      <c r="L469" s="1585"/>
      <c r="M469" s="1636"/>
      <c r="N469" s="1585"/>
      <c r="O469" s="1585"/>
      <c r="P469" s="1585"/>
      <c r="Q469" s="1636"/>
      <c r="R469" s="1585"/>
      <c r="S469" s="1585"/>
      <c r="T469" s="1585"/>
      <c r="U469" s="1636"/>
      <c r="V469" s="1585"/>
      <c r="W469" s="1585"/>
      <c r="X469" s="1585"/>
      <c r="Y469" s="1636"/>
      <c r="Z469" s="1585"/>
      <c r="AA469" s="1585"/>
      <c r="AB469" s="1585"/>
      <c r="AC469" s="1636"/>
      <c r="AD469" s="1585"/>
      <c r="AE469" s="1585"/>
      <c r="AF469" s="1585"/>
      <c r="AG469" s="1636"/>
      <c r="AH469" s="1629"/>
      <c r="AI469" s="1629"/>
      <c r="AJ469" s="1629"/>
      <c r="AK469" s="1637"/>
      <c r="AL469" s="1629"/>
      <c r="AM469" s="1629"/>
      <c r="AN469" s="1629"/>
      <c r="AO469" s="1630"/>
      <c r="AP469" s="1629"/>
      <c r="AQ469" s="1629"/>
      <c r="AR469" s="1629"/>
      <c r="AS469" s="1630"/>
      <c r="AT469" s="1629"/>
      <c r="AU469" s="1629"/>
      <c r="AV469" s="1629"/>
      <c r="AW469" s="1630"/>
      <c r="AX469" s="1629"/>
      <c r="AY469" s="1629"/>
      <c r="AZ469" s="1629"/>
      <c r="BA469" s="1637"/>
      <c r="BB469" s="1637"/>
      <c r="BC469" s="1602">
        <f>+BC466+BC463</f>
        <v>1.075</v>
      </c>
      <c r="BD469" s="1602">
        <f t="shared" ref="BD469:BG469" si="2930">+BD466+BD463</f>
        <v>1.5129999999999999</v>
      </c>
      <c r="BE469" s="1602">
        <f t="shared" si="2930"/>
        <v>2.3839999999999999</v>
      </c>
      <c r="BF469" s="1602">
        <f t="shared" si="2930"/>
        <v>3.4119999999999999</v>
      </c>
      <c r="BG469" s="1602">
        <f t="shared" si="2930"/>
        <v>4.5860000000000003</v>
      </c>
      <c r="BH469" s="1591"/>
      <c r="BI469" s="1621"/>
      <c r="BJ469" s="1621"/>
      <c r="BK469" s="1621"/>
      <c r="BL469" s="1621"/>
      <c r="BM469" s="1621"/>
      <c r="BN469" s="1621"/>
      <c r="BO469" s="1621"/>
      <c r="BP469" s="1621"/>
      <c r="BR469" s="1635"/>
      <c r="BS469" s="1635"/>
      <c r="BT469" s="1635"/>
      <c r="BU469" s="1596"/>
    </row>
    <row r="470" spans="1:73" s="1594" customFormat="1" ht="12" hidden="1" customHeight="1" outlineLevel="2">
      <c r="A470" s="1622" t="s">
        <v>333</v>
      </c>
      <c r="B470" s="1585"/>
      <c r="C470" s="1585"/>
      <c r="D470" s="1585"/>
      <c r="E470" s="1586"/>
      <c r="F470" s="1585"/>
      <c r="G470" s="1585"/>
      <c r="H470" s="1585"/>
      <c r="I470" s="1586"/>
      <c r="J470" s="1585"/>
      <c r="K470" s="1585"/>
      <c r="L470" s="1585"/>
      <c r="M470" s="1586"/>
      <c r="N470" s="1585"/>
      <c r="O470" s="1585"/>
      <c r="P470" s="1585"/>
      <c r="Q470" s="1586"/>
      <c r="R470" s="1585"/>
      <c r="S470" s="1585"/>
      <c r="T470" s="1585"/>
      <c r="U470" s="1586"/>
      <c r="V470" s="1585"/>
      <c r="W470" s="1585"/>
      <c r="X470" s="1585"/>
      <c r="Y470" s="1586"/>
      <c r="Z470" s="1585"/>
      <c r="AA470" s="1585"/>
      <c r="AB470" s="1585"/>
      <c r="AC470" s="1586"/>
      <c r="AD470" s="1585"/>
      <c r="AE470" s="1585"/>
      <c r="AF470" s="1585"/>
      <c r="AG470" s="1586"/>
      <c r="AH470" s="1587"/>
      <c r="AI470" s="1587"/>
      <c r="AJ470" s="1587"/>
      <c r="AK470" s="1588"/>
      <c r="AL470" s="1587"/>
      <c r="AM470" s="1587"/>
      <c r="AN470" s="1587"/>
      <c r="AO470" s="1588"/>
      <c r="AP470" s="1587"/>
      <c r="AQ470" s="1587"/>
      <c r="AR470" s="1587"/>
      <c r="AS470" s="1588"/>
      <c r="AT470" s="1587"/>
      <c r="AU470" s="1587"/>
      <c r="AV470" s="1587"/>
      <c r="AW470" s="1588"/>
      <c r="AX470" s="1587"/>
      <c r="AY470" s="1587"/>
      <c r="AZ470" s="1587"/>
      <c r="BA470" s="1588"/>
      <c r="BB470" s="1588"/>
      <c r="BC470" s="1638" t="str">
        <f>+IF(BC469-BC458=0,"-",BC469-BC458)</f>
        <v>-</v>
      </c>
      <c r="BD470" s="1638" t="str">
        <f t="shared" ref="BD470:BG470" si="2931">+IF(BD469-BD458=0,"-",BD469-BD458)</f>
        <v>-</v>
      </c>
      <c r="BE470" s="1638">
        <f t="shared" si="2931"/>
        <v>9.9999999999988987E-4</v>
      </c>
      <c r="BF470" s="1638" t="str">
        <f t="shared" si="2931"/>
        <v>-</v>
      </c>
      <c r="BG470" s="1638">
        <f t="shared" si="2931"/>
        <v>5.0000000000000711E-2</v>
      </c>
      <c r="BH470" s="1639"/>
      <c r="BI470" s="1621"/>
      <c r="BJ470" s="1621"/>
      <c r="BK470" s="1621"/>
      <c r="BL470" s="1621"/>
      <c r="BM470" s="1621"/>
      <c r="BN470" s="1621"/>
      <c r="BO470" s="1621"/>
      <c r="BP470" s="1621"/>
      <c r="BR470" s="1595"/>
      <c r="BS470" s="1595"/>
      <c r="BT470" s="1595"/>
      <c r="BU470" s="1596"/>
    </row>
    <row r="471" spans="1:73" s="1634" customFormat="1" ht="12" hidden="1" customHeight="1" outlineLevel="2">
      <c r="A471" s="1628" t="s">
        <v>390</v>
      </c>
      <c r="B471" s="1585"/>
      <c r="C471" s="1585"/>
      <c r="D471" s="1585"/>
      <c r="E471" s="1586"/>
      <c r="F471" s="1585"/>
      <c r="G471" s="1585"/>
      <c r="H471" s="1585"/>
      <c r="I471" s="1586"/>
      <c r="J471" s="1585"/>
      <c r="K471" s="1585"/>
      <c r="L471" s="1585"/>
      <c r="M471" s="1586"/>
      <c r="N471" s="1585"/>
      <c r="O471" s="1585"/>
      <c r="P471" s="1585"/>
      <c r="Q471" s="1586"/>
      <c r="R471" s="1585"/>
      <c r="S471" s="1585"/>
      <c r="T471" s="1585"/>
      <c r="U471" s="1586"/>
      <c r="V471" s="1585"/>
      <c r="W471" s="1585"/>
      <c r="X471" s="1585"/>
      <c r="Y471" s="1586"/>
      <c r="Z471" s="1585"/>
      <c r="AA471" s="1585"/>
      <c r="AB471" s="1585"/>
      <c r="AC471" s="1586"/>
      <c r="AD471" s="1585"/>
      <c r="AE471" s="1585"/>
      <c r="AF471" s="1585"/>
      <c r="AG471" s="1586"/>
      <c r="AH471" s="1629"/>
      <c r="AI471" s="1629"/>
      <c r="AJ471" s="1629"/>
      <c r="AK471" s="1630"/>
      <c r="AL471" s="1629"/>
      <c r="AM471" s="1629"/>
      <c r="AN471" s="1629"/>
      <c r="AO471" s="1630"/>
      <c r="AP471" s="1629"/>
      <c r="AQ471" s="1629"/>
      <c r="AR471" s="1629"/>
      <c r="AS471" s="1630"/>
      <c r="AT471" s="1629"/>
      <c r="AU471" s="1629"/>
      <c r="AV471" s="1629"/>
      <c r="AW471" s="1630"/>
      <c r="AX471" s="1629"/>
      <c r="AY471" s="1629"/>
      <c r="AZ471" s="1629"/>
      <c r="BA471" s="1630"/>
      <c r="BB471" s="1630"/>
      <c r="BC471" s="1631"/>
      <c r="BD471" s="1632">
        <f>+(BD468*BD467)+(BD465*BD464)</f>
        <v>363.09319233311305</v>
      </c>
      <c r="BE471" s="1632">
        <f t="shared" ref="BE471:BG471" si="2932">+(BE468*BE467)+(BE465*BE464)</f>
        <v>371.06966009232059</v>
      </c>
      <c r="BF471" s="1632">
        <f t="shared" si="2932"/>
        <v>403.95076201641268</v>
      </c>
      <c r="BG471" s="1632">
        <f t="shared" si="2932"/>
        <v>435.20194003527342</v>
      </c>
      <c r="BH471" s="1591"/>
      <c r="BI471" s="1621"/>
      <c r="BJ471" s="1621"/>
      <c r="BK471" s="1621"/>
      <c r="BL471" s="1621"/>
      <c r="BM471" s="1621"/>
      <c r="BN471" s="1621"/>
      <c r="BO471" s="1621"/>
      <c r="BP471" s="1621"/>
      <c r="BR471" s="1635"/>
      <c r="BS471" s="1635"/>
      <c r="BT471" s="1635"/>
      <c r="BU471" s="1596"/>
    </row>
    <row r="472" spans="1:73" s="1594" customFormat="1" ht="12" hidden="1" customHeight="1" outlineLevel="2" collapsed="1">
      <c r="A472" s="1640"/>
      <c r="B472" s="1585"/>
      <c r="C472" s="1585"/>
      <c r="D472" s="1585"/>
      <c r="E472" s="1586"/>
      <c r="F472" s="1585"/>
      <c r="G472" s="1585"/>
      <c r="H472" s="1585"/>
      <c r="I472" s="1586"/>
      <c r="J472" s="1585"/>
      <c r="K472" s="1585"/>
      <c r="L472" s="1585"/>
      <c r="M472" s="1586"/>
      <c r="N472" s="1585"/>
      <c r="O472" s="1585"/>
      <c r="P472" s="1585"/>
      <c r="Q472" s="1586"/>
      <c r="R472" s="1585"/>
      <c r="S472" s="1585"/>
      <c r="T472" s="1585"/>
      <c r="U472" s="1586"/>
      <c r="V472" s="1585"/>
      <c r="W472" s="1585"/>
      <c r="X472" s="1585"/>
      <c r="Y472" s="1586"/>
      <c r="Z472" s="1585"/>
      <c r="AA472" s="1585"/>
      <c r="AB472" s="1585"/>
      <c r="AC472" s="1586"/>
      <c r="AD472" s="1585"/>
      <c r="AE472" s="1585"/>
      <c r="AF472" s="1585"/>
      <c r="AG472" s="1586"/>
      <c r="AH472" s="1587"/>
      <c r="AI472" s="1587"/>
      <c r="AJ472" s="1587"/>
      <c r="AK472" s="1588"/>
      <c r="AL472" s="1587"/>
      <c r="AM472" s="1587"/>
      <c r="AN472" s="1587"/>
      <c r="AO472" s="1588"/>
      <c r="AP472" s="1587"/>
      <c r="AQ472" s="1587"/>
      <c r="AR472" s="1587"/>
      <c r="AS472" s="1588"/>
      <c r="AT472" s="1587"/>
      <c r="AU472" s="1587"/>
      <c r="AV472" s="1587"/>
      <c r="AW472" s="1588"/>
      <c r="AX472" s="1587"/>
      <c r="AY472" s="1587"/>
      <c r="AZ472" s="1587"/>
      <c r="BA472" s="1588"/>
      <c r="BB472" s="1588"/>
      <c r="BC472" s="1589"/>
      <c r="BD472" s="1641"/>
      <c r="BE472" s="1591"/>
      <c r="BF472" s="1591"/>
      <c r="BG472" s="1592"/>
      <c r="BH472" s="1591"/>
      <c r="BI472" s="1621"/>
      <c r="BJ472" s="1621"/>
      <c r="BK472" s="1621"/>
      <c r="BL472" s="1621"/>
      <c r="BM472" s="1621"/>
      <c r="BN472" s="1621"/>
      <c r="BO472" s="1621"/>
      <c r="BP472" s="1621"/>
      <c r="BR472" s="1595"/>
      <c r="BS472" s="1595"/>
      <c r="BT472" s="1595"/>
      <c r="BU472" s="1596"/>
    </row>
    <row r="473" spans="1:73" s="1594" customFormat="1" ht="12" hidden="1" customHeight="1" outlineLevel="2">
      <c r="A473" s="1597" t="s">
        <v>394</v>
      </c>
      <c r="B473" s="1642">
        <f>+(B32*4)/B458</f>
        <v>521.13891285591023</v>
      </c>
      <c r="C473" s="1642">
        <f t="shared" ref="C473:Q473" si="2933">+(C32*4)/AVERAGE(B458:C458)</f>
        <v>513.24503311258275</v>
      </c>
      <c r="D473" s="1642">
        <f t="shared" si="2933"/>
        <v>515.4483798040693</v>
      </c>
      <c r="E473" s="1643">
        <f t="shared" si="2933"/>
        <v>492.09621993127143</v>
      </c>
      <c r="F473" s="1642">
        <f t="shared" si="2933"/>
        <v>484.92542050142816</v>
      </c>
      <c r="G473" s="1642">
        <f t="shared" si="2933"/>
        <v>455.97036192647477</v>
      </c>
      <c r="H473" s="1642">
        <f t="shared" si="2933"/>
        <v>439.99022243950134</v>
      </c>
      <c r="I473" s="1643">
        <f t="shared" si="2933"/>
        <v>420.59526395828811</v>
      </c>
      <c r="J473" s="1642">
        <f t="shared" si="2933"/>
        <v>424.72137791286724</v>
      </c>
      <c r="K473" s="1642">
        <f t="shared" si="2933"/>
        <v>423.8706079196877</v>
      </c>
      <c r="L473" s="1642">
        <f t="shared" si="2933"/>
        <v>420.49586776859508</v>
      </c>
      <c r="M473" s="1643">
        <f t="shared" si="2933"/>
        <v>411.15297663903544</v>
      </c>
      <c r="N473" s="1642">
        <f t="shared" si="2933"/>
        <v>423.93943722325383</v>
      </c>
      <c r="O473" s="1642">
        <f t="shared" si="2933"/>
        <v>421.44671747559835</v>
      </c>
      <c r="P473" s="1642">
        <f t="shared" si="2933"/>
        <v>431.60870099545286</v>
      </c>
      <c r="Q473" s="1643">
        <f t="shared" si="2933"/>
        <v>418.08038255721283</v>
      </c>
      <c r="R473" s="1642">
        <f t="shared" ref="R473:Y473" si="2934">+(R32*4)/R458</f>
        <v>418.72127037191814</v>
      </c>
      <c r="S473" s="1642">
        <f t="shared" si="2934"/>
        <v>420.96902303415413</v>
      </c>
      <c r="T473" s="1642">
        <f t="shared" si="2934"/>
        <v>436.13707165109042</v>
      </c>
      <c r="U473" s="1643">
        <f t="shared" si="2934"/>
        <v>460.28037383177576</v>
      </c>
      <c r="V473" s="1642">
        <f t="shared" si="2934"/>
        <v>465.51724137931041</v>
      </c>
      <c r="W473" s="1642">
        <f t="shared" si="2934"/>
        <v>465.31791907514452</v>
      </c>
      <c r="X473" s="1642">
        <f t="shared" si="2934"/>
        <v>490.06168608636057</v>
      </c>
      <c r="Y473" s="1643">
        <f t="shared" si="2934"/>
        <v>523.27556914712886</v>
      </c>
      <c r="Z473" s="1642">
        <f t="shared" ref="Z473:AQ473" si="2935">+V473*(1+Z474)</f>
        <v>512.06896551724151</v>
      </c>
      <c r="AA473" s="1642">
        <f t="shared" si="2935"/>
        <v>572.34104046242771</v>
      </c>
      <c r="AB473" s="1642">
        <f t="shared" si="2935"/>
        <v>550.82933516106937</v>
      </c>
      <c r="AC473" s="1643">
        <f t="shared" si="2935"/>
        <v>575.60312606184175</v>
      </c>
      <c r="AD473" s="1642">
        <f t="shared" si="2935"/>
        <v>573.51724137931058</v>
      </c>
      <c r="AE473" s="1642">
        <f t="shared" si="2935"/>
        <v>600.95809248554917</v>
      </c>
      <c r="AF473" s="1642">
        <f t="shared" si="2935"/>
        <v>594.89568197395499</v>
      </c>
      <c r="AG473" s="1643">
        <f t="shared" si="2935"/>
        <v>619.92456676860354</v>
      </c>
      <c r="AH473" s="1642">
        <f t="shared" si="2935"/>
        <v>659.54482758620713</v>
      </c>
      <c r="AI473" s="1642">
        <f t="shared" si="2935"/>
        <v>646.02994942196528</v>
      </c>
      <c r="AJ473" s="1642">
        <f t="shared" si="2935"/>
        <v>638.91796244002774</v>
      </c>
      <c r="AK473" s="1643">
        <f t="shared" si="2935"/>
        <v>644.72154943934765</v>
      </c>
      <c r="AL473" s="1642">
        <f t="shared" si="2935"/>
        <v>659.54482758620713</v>
      </c>
      <c r="AM473" s="1642">
        <f t="shared" si="2935"/>
        <v>684.79174638728318</v>
      </c>
      <c r="AN473" s="1642">
        <f t="shared" si="2935"/>
        <v>693.22598924743011</v>
      </c>
      <c r="AO473" s="1643">
        <f t="shared" si="2935"/>
        <v>709.19370438328247</v>
      </c>
      <c r="AP473" s="1642">
        <f t="shared" si="2935"/>
        <v>659.54482758620713</v>
      </c>
      <c r="AQ473" s="1642">
        <f t="shared" si="2935"/>
        <v>725.87925117052021</v>
      </c>
      <c r="AR473" s="1642">
        <f t="shared" ref="AR473" si="2936">+AN473*(1+AR474)</f>
        <v>748.68406838722456</v>
      </c>
      <c r="AS473" s="1643">
        <f t="shared" ref="AS473" si="2937">+AO473*(1+AS474)</f>
        <v>765.92920073394509</v>
      </c>
      <c r="AT473" s="1642">
        <f t="shared" ref="AT473" si="2938">+AP473*(1+AT474)</f>
        <v>712.3084137931038</v>
      </c>
      <c r="AU473" s="1642">
        <f t="shared" ref="AU473" si="2939">+AQ473*(1+AU474)</f>
        <v>783.94959126416188</v>
      </c>
      <c r="AV473" s="1642">
        <f t="shared" ref="AV473" si="2940">+AR473*(1+AV474)</f>
        <v>808.57879385820263</v>
      </c>
      <c r="AW473" s="1643">
        <f t="shared" ref="AW473" si="2941">+AS473*(1+AW474)</f>
        <v>827.20353679266077</v>
      </c>
      <c r="AX473" s="1642">
        <f t="shared" ref="AX473" si="2942">+AT473*(1+AX474)</f>
        <v>769.29308689655215</v>
      </c>
      <c r="AY473" s="1642">
        <f t="shared" ref="AY473" si="2943">+AU473*(1+AY474)</f>
        <v>846.66555856529487</v>
      </c>
      <c r="AZ473" s="1642">
        <f t="shared" ref="AZ473" si="2944">+AV473*(1+AZ474)</f>
        <v>873.26509736685887</v>
      </c>
      <c r="BA473" s="1643">
        <f t="shared" ref="BA473" si="2945">+AW473*(1+BA474)</f>
        <v>893.37981973607373</v>
      </c>
      <c r="BB473" s="1588"/>
      <c r="BC473" s="1589"/>
      <c r="BD473" s="1602">
        <f t="shared" ref="BD473:BP473" si="2946">+BD32/BD458</f>
        <v>433.57567746199607</v>
      </c>
      <c r="BE473" s="1602">
        <f t="shared" si="2946"/>
        <v>360.05035669324383</v>
      </c>
      <c r="BF473" s="1602">
        <f t="shared" si="2946"/>
        <v>353.45838218053927</v>
      </c>
      <c r="BG473" s="1602">
        <f t="shared" si="2946"/>
        <v>366.62257495590831</v>
      </c>
      <c r="BH473" s="1602">
        <f t="shared" si="2946"/>
        <v>429.27405075742672</v>
      </c>
      <c r="BI473" s="1602">
        <f t="shared" si="2946"/>
        <v>467.21032959565076</v>
      </c>
      <c r="BJ473" s="1602">
        <f t="shared" si="2946"/>
        <v>635.27054108216441</v>
      </c>
      <c r="BK473" s="1602">
        <f t="shared" si="2946"/>
        <v>712.21864951768498</v>
      </c>
      <c r="BL473" s="1602">
        <f t="shared" si="2946"/>
        <v>727.38786279683393</v>
      </c>
      <c r="BM473" s="1602">
        <f t="shared" si="2946"/>
        <v>792.55369928400967</v>
      </c>
      <c r="BN473" s="1602">
        <f t="shared" si="2946"/>
        <v>854.82505399568038</v>
      </c>
      <c r="BO473" s="1602">
        <f t="shared" si="2946"/>
        <v>918.72227870845313</v>
      </c>
      <c r="BP473" s="1602">
        <f t="shared" si="2946"/>
        <v>992.14646417315021</v>
      </c>
      <c r="BR473" s="1595"/>
      <c r="BS473" s="1595"/>
      <c r="BT473" s="1595"/>
      <c r="BU473" s="1596"/>
    </row>
    <row r="474" spans="1:73" s="1594" customFormat="1" ht="12" hidden="1" customHeight="1" outlineLevel="2">
      <c r="A474" s="1606" t="s">
        <v>181</v>
      </c>
      <c r="B474" s="1607" t="str">
        <f t="shared" ref="B474" si="2947">IF(ISERROR(B473/#REF!-1),"NA",B473/#REF!-1)</f>
        <v>NA</v>
      </c>
      <c r="C474" s="1585" t="str">
        <f t="shared" ref="C474" si="2948">IF(ISERROR(C473/#REF!-1),"NA",C473/#REF!-1)</f>
        <v>NA</v>
      </c>
      <c r="D474" s="1585" t="str">
        <f t="shared" ref="D474" si="2949">IF(ISERROR(D473/#REF!-1),"NA",D473/#REF!-1)</f>
        <v>NA</v>
      </c>
      <c r="E474" s="1586" t="str">
        <f t="shared" ref="E474" si="2950">IF(ISERROR(E473/A473-1),"NA",E473/A473-1)</f>
        <v>NA</v>
      </c>
      <c r="F474" s="1607">
        <f t="shared" ref="F474" si="2951">IF(ISERROR(F473/B473-1),"NA",F473/B473-1)</f>
        <v>-6.9489135163650184E-2</v>
      </c>
      <c r="G474" s="1585">
        <f t="shared" ref="G474" si="2952">IF(ISERROR(G473/C473-1),"NA",G473/C473-1)</f>
        <v>-0.11159323031099744</v>
      </c>
      <c r="H474" s="1585">
        <f t="shared" ref="H474" si="2953">IF(ISERROR(H473/D473-1),"NA",H473/D473-1)</f>
        <v>-0.14639323804500248</v>
      </c>
      <c r="I474" s="1586">
        <f t="shared" ref="I474" si="2954">IF(ISERROR(I473/E473-1),"NA",I473/E473-1)</f>
        <v>-0.14529873036409324</v>
      </c>
      <c r="J474" s="1607">
        <f t="shared" ref="J474" si="2955">IF(ISERROR(J473/F473-1),"NA",J473/F473-1)</f>
        <v>-0.12415113756319074</v>
      </c>
      <c r="K474" s="1585">
        <f t="shared" ref="K474" si="2956">IF(ISERROR(K473/G473-1),"NA",K473/G473-1)</f>
        <v>-7.039877300613484E-2</v>
      </c>
      <c r="L474" s="1585">
        <f t="shared" ref="L474" si="2957">IF(ISERROR(L473/H473-1),"NA",L473/H473-1)</f>
        <v>-4.4306336088154152E-2</v>
      </c>
      <c r="M474" s="1586">
        <f t="shared" ref="M474" si="2958">IF(ISERROR(M473/I473-1),"NA",M473/I473-1)</f>
        <v>-2.2449818455847148E-2</v>
      </c>
      <c r="N474" s="1607">
        <f t="shared" ref="N474" si="2959">IF(ISERROR(N473/J473-1),"NA",N473/J473-1)</f>
        <v>-1.8410674156689177E-3</v>
      </c>
      <c r="O474" s="1585">
        <f t="shared" ref="O474" si="2960">IF(ISERROR(O473/K473-1),"NA",O473/K473-1)</f>
        <v>-5.7184678503318098E-3</v>
      </c>
      <c r="P474" s="1585">
        <f t="shared" ref="P474" si="2961">IF(ISERROR(P473/L473-1),"NA",P473/L473-1)</f>
        <v>2.6427924930223945E-2</v>
      </c>
      <c r="Q474" s="1586">
        <f t="shared" ref="Q474" si="2962">IF(ISERROR(Q473/M473-1),"NA",Q473/M473-1)</f>
        <v>1.6848731036329445E-2</v>
      </c>
      <c r="R474" s="1607">
        <f t="shared" ref="R474" si="2963">IF(ISERROR(R473/N473-1),"NA",R473/N473-1)</f>
        <v>-1.2308755433356189E-2</v>
      </c>
      <c r="S474" s="1585">
        <f t="shared" ref="S474" si="2964">IF(ISERROR(S473/O473-1),"NA",S473/O473-1)</f>
        <v>-1.1334634287948342E-3</v>
      </c>
      <c r="T474" s="1585">
        <f t="shared" ref="T474" si="2965">IF(ISERROR(T473/P473-1),"NA",T473/P473-1)</f>
        <v>1.0491842831697795E-2</v>
      </c>
      <c r="U474" s="1586">
        <f t="shared" ref="U474:Y474" si="2966">IF(ISERROR(U473/Q473-1),"NA",U473/Q473-1)</f>
        <v>0.10093750636287746</v>
      </c>
      <c r="V474" s="1607">
        <f t="shared" si="2966"/>
        <v>0.11175924014040883</v>
      </c>
      <c r="W474" s="1585">
        <f t="shared" si="2966"/>
        <v>0.10534954738793756</v>
      </c>
      <c r="X474" s="1585">
        <f t="shared" si="2966"/>
        <v>0.12364143738372646</v>
      </c>
      <c r="Y474" s="1586">
        <f t="shared" si="2966"/>
        <v>0.13686265784249296</v>
      </c>
      <c r="Z474" s="1644">
        <v>0.1</v>
      </c>
      <c r="AA474" s="1644">
        <v>0.23</v>
      </c>
      <c r="AB474" s="1644">
        <v>0.124</v>
      </c>
      <c r="AC474" s="1645">
        <v>0.1</v>
      </c>
      <c r="AD474" s="1644">
        <v>0.12</v>
      </c>
      <c r="AE474" s="1644">
        <v>0.05</v>
      </c>
      <c r="AF474" s="1644">
        <v>0.08</v>
      </c>
      <c r="AG474" s="1645">
        <v>7.6999999999999999E-2</v>
      </c>
      <c r="AH474" s="1644">
        <v>0.15</v>
      </c>
      <c r="AI474" s="1644">
        <v>7.4999999999999997E-2</v>
      </c>
      <c r="AJ474" s="1644">
        <v>7.3999999999999996E-2</v>
      </c>
      <c r="AK474" s="1645">
        <v>0.04</v>
      </c>
      <c r="AL474" s="1644">
        <v>0</v>
      </c>
      <c r="AM474" s="1644">
        <v>0.06</v>
      </c>
      <c r="AN474" s="1644">
        <v>8.5000000000000006E-2</v>
      </c>
      <c r="AO474" s="1645">
        <v>0.1</v>
      </c>
      <c r="AP474" s="1644">
        <v>0</v>
      </c>
      <c r="AQ474" s="1644">
        <v>0.06</v>
      </c>
      <c r="AR474" s="1644">
        <v>0.08</v>
      </c>
      <c r="AS474" s="1645">
        <v>0.08</v>
      </c>
      <c r="AT474" s="1644">
        <v>0.08</v>
      </c>
      <c r="AU474" s="1644">
        <v>0.08</v>
      </c>
      <c r="AV474" s="1644">
        <v>0.08</v>
      </c>
      <c r="AW474" s="1645">
        <v>0.08</v>
      </c>
      <c r="AX474" s="1644">
        <v>0.08</v>
      </c>
      <c r="AY474" s="1644">
        <v>0.08</v>
      </c>
      <c r="AZ474" s="1644">
        <v>0.08</v>
      </c>
      <c r="BA474" s="1645">
        <v>0.08</v>
      </c>
      <c r="BB474" s="1588"/>
      <c r="BC474" s="1589"/>
      <c r="BD474" s="1608" t="str">
        <f t="shared" ref="BD474" si="2967">IF(ISERROR(BD473/BC473-1),"NA",BD473/BC473-1)</f>
        <v>NA</v>
      </c>
      <c r="BE474" s="1608">
        <f t="shared" ref="BE474" si="2968">IF(ISERROR(BE473/BD473-1),"NA",BE473/BD473-1)</f>
        <v>-0.16957897915110076</v>
      </c>
      <c r="BF474" s="1608">
        <f t="shared" ref="BF474" si="2969">IF(ISERROR(BF473/BE473-1),"NA",BF473/BE473-1)</f>
        <v>-1.8308479328409066E-2</v>
      </c>
      <c r="BG474" s="1608">
        <f t="shared" ref="BG474" si="2970">IF(ISERROR(BG473/BF473-1),"NA",BG473/BF473-1)</f>
        <v>3.7243968283216633E-2</v>
      </c>
      <c r="BH474" s="1608">
        <f t="shared" ref="BH474" si="2971">IF(ISERROR(BH473/BG473-1),"NA",BH473/BG473-1)</f>
        <v>0.17088821060474291</v>
      </c>
      <c r="BI474" s="1608">
        <f t="shared" ref="BI474" si="2972">IF(ISERROR(BI473/BH473-1),"NA",BI473/BH473-1)</f>
        <v>8.8373100520024117E-2</v>
      </c>
      <c r="BJ474" s="1608">
        <f t="shared" ref="BJ474" si="2973">IF(ISERROR(BJ473/BI473-1),"NA",BJ473/BI473-1)</f>
        <v>0.35970996538531619</v>
      </c>
      <c r="BK474" s="1608">
        <f t="shared" ref="BK474" si="2974">IF(ISERROR(BK473/BJ473-1),"NA",BK473/BJ473-1)</f>
        <v>0.12112651769503069</v>
      </c>
      <c r="BL474" s="1608">
        <f t="shared" ref="BL474" si="2975">IF(ISERROR(BL473/BK473-1),"NA",BL473/BK473-1)</f>
        <v>2.1298534220385301E-2</v>
      </c>
      <c r="BM474" s="1608">
        <f t="shared" ref="BM474:BP474" si="2976">IF(ISERROR(BM473/BL473-1),"NA",BM473/BL473-1)</f>
        <v>8.9588842239696653E-2</v>
      </c>
      <c r="BN474" s="1608">
        <f t="shared" si="2976"/>
        <v>7.8570518020326441E-2</v>
      </c>
      <c r="BO474" s="1608">
        <f t="shared" si="2976"/>
        <v>7.4748890915281585E-2</v>
      </c>
      <c r="BP474" s="1608">
        <f t="shared" si="2976"/>
        <v>7.9919892187568786E-2</v>
      </c>
      <c r="BR474" s="1595"/>
      <c r="BS474" s="1595"/>
      <c r="BT474" s="1595"/>
      <c r="BU474" s="1596"/>
    </row>
    <row r="475" spans="1:73" s="1594" customFormat="1" ht="12" hidden="1" customHeight="1" outlineLevel="2">
      <c r="A475" s="1610"/>
      <c r="B475" s="1585"/>
      <c r="C475" s="1585"/>
      <c r="D475" s="1585"/>
      <c r="E475" s="1586"/>
      <c r="F475" s="1585"/>
      <c r="G475" s="1585"/>
      <c r="H475" s="1585"/>
      <c r="I475" s="1586"/>
      <c r="J475" s="1585"/>
      <c r="K475" s="1585"/>
      <c r="L475" s="1585"/>
      <c r="M475" s="1586"/>
      <c r="N475" s="1585"/>
      <c r="O475" s="1585"/>
      <c r="P475" s="1585"/>
      <c r="Q475" s="1586"/>
      <c r="R475" s="1585"/>
      <c r="S475" s="1585"/>
      <c r="T475" s="1585"/>
      <c r="U475" s="1586"/>
      <c r="V475" s="1585"/>
      <c r="W475" s="1585"/>
      <c r="X475" s="1585"/>
      <c r="Y475" s="1586"/>
      <c r="Z475" s="1585"/>
      <c r="AA475" s="1585"/>
      <c r="AB475" s="1585"/>
      <c r="AC475" s="1586"/>
      <c r="AD475" s="1585"/>
      <c r="AE475" s="1585"/>
      <c r="AF475" s="1585"/>
      <c r="AG475" s="1586"/>
      <c r="AH475" s="1587"/>
      <c r="AI475" s="1587"/>
      <c r="AJ475" s="1587"/>
      <c r="AK475" s="1588"/>
      <c r="AL475" s="1587"/>
      <c r="AM475" s="1587"/>
      <c r="AN475" s="1587"/>
      <c r="AO475" s="1588"/>
      <c r="AP475" s="1587"/>
      <c r="AQ475" s="1587"/>
      <c r="AR475" s="1587"/>
      <c r="AS475" s="1588"/>
      <c r="AT475" s="1587"/>
      <c r="AU475" s="1587"/>
      <c r="AV475" s="1587"/>
      <c r="AW475" s="1588"/>
      <c r="AX475" s="1587"/>
      <c r="AY475" s="1587"/>
      <c r="AZ475" s="1587"/>
      <c r="BA475" s="1588"/>
      <c r="BB475" s="1588"/>
      <c r="BC475" s="1589"/>
      <c r="BD475" s="1590"/>
      <c r="BE475" s="1591"/>
      <c r="BF475" s="1591"/>
      <c r="BG475" s="1592"/>
      <c r="BH475" s="1591"/>
      <c r="BI475" s="1593"/>
      <c r="BJ475" s="1593"/>
      <c r="BK475" s="1593"/>
      <c r="BL475" s="1593"/>
      <c r="BM475" s="1593"/>
      <c r="BN475" s="1593"/>
      <c r="BO475" s="1593"/>
      <c r="BP475" s="1593"/>
      <c r="BR475" s="1595"/>
      <c r="BS475" s="1595"/>
      <c r="BT475" s="1595"/>
      <c r="BU475" s="1596"/>
    </row>
    <row r="476" spans="1:73" s="1594" customFormat="1" ht="12" hidden="1" customHeight="1" outlineLevel="2">
      <c r="A476" s="1597" t="s">
        <v>67</v>
      </c>
      <c r="B476" s="1585"/>
      <c r="C476" s="1585"/>
      <c r="D476" s="1585"/>
      <c r="E476" s="1586"/>
      <c r="F476" s="1585"/>
      <c r="G476" s="1585"/>
      <c r="H476" s="1585"/>
      <c r="I476" s="1586"/>
      <c r="J476" s="1585"/>
      <c r="K476" s="1585"/>
      <c r="L476" s="1585"/>
      <c r="M476" s="1586"/>
      <c r="N476" s="1585"/>
      <c r="O476" s="1585"/>
      <c r="P476" s="1585"/>
      <c r="Q476" s="1586"/>
      <c r="R476" s="1585"/>
      <c r="S476" s="1585"/>
      <c r="T476" s="1585"/>
      <c r="U476" s="1586"/>
      <c r="V476" s="1585"/>
      <c r="W476" s="1585"/>
      <c r="X476" s="1585"/>
      <c r="Y476" s="1586"/>
      <c r="Z476" s="1585"/>
      <c r="AA476" s="1585"/>
      <c r="AB476" s="1585"/>
      <c r="AC476" s="1586"/>
      <c r="AD476" s="1585"/>
      <c r="AE476" s="1585"/>
      <c r="AF476" s="1585"/>
      <c r="AG476" s="1586"/>
      <c r="AH476" s="1587"/>
      <c r="AI476" s="1587"/>
      <c r="AJ476" s="1587"/>
      <c r="AK476" s="1588"/>
      <c r="AL476" s="1587"/>
      <c r="AM476" s="1587"/>
      <c r="AN476" s="1587"/>
      <c r="AO476" s="1588"/>
      <c r="AP476" s="1587"/>
      <c r="AQ476" s="1587"/>
      <c r="AR476" s="1587"/>
      <c r="AS476" s="1588"/>
      <c r="AT476" s="1587"/>
      <c r="AU476" s="1587"/>
      <c r="AV476" s="1587"/>
      <c r="AW476" s="1588"/>
      <c r="AX476" s="1587"/>
      <c r="AY476" s="1587"/>
      <c r="AZ476" s="1587"/>
      <c r="BA476" s="1588"/>
      <c r="BB476" s="1588"/>
      <c r="BC476" s="1589"/>
      <c r="BD476" s="1641"/>
      <c r="BE476" s="1591"/>
      <c r="BF476" s="1591"/>
      <c r="BG476" s="1592"/>
      <c r="BH476" s="1591"/>
      <c r="BI476" s="1621"/>
      <c r="BJ476" s="1621"/>
      <c r="BK476" s="1621"/>
      <c r="BL476" s="1621"/>
      <c r="BM476" s="1621"/>
      <c r="BN476" s="1621"/>
      <c r="BO476" s="1621"/>
      <c r="BP476" s="1621"/>
      <c r="BR476" s="1595"/>
      <c r="BS476" s="1595"/>
      <c r="BT476" s="1595"/>
      <c r="BU476" s="1596"/>
    </row>
    <row r="477" spans="1:73" s="1594" customFormat="1" ht="12" hidden="1" customHeight="1" outlineLevel="2">
      <c r="A477" s="1646" t="s">
        <v>69</v>
      </c>
      <c r="B477" s="1598">
        <v>0.40400000000000003</v>
      </c>
      <c r="C477" s="1598">
        <v>0.42699999999999999</v>
      </c>
      <c r="D477" s="1598">
        <v>0.45500000000000002</v>
      </c>
      <c r="E477" s="1599">
        <v>0.47399999999999998</v>
      </c>
      <c r="F477" s="1600">
        <v>0.499</v>
      </c>
      <c r="G477" s="1600">
        <v>0.50900000000000001</v>
      </c>
      <c r="H477" s="1600">
        <v>0.52300000000000002</v>
      </c>
      <c r="I477" s="1601">
        <v>0.54</v>
      </c>
      <c r="J477" s="1600"/>
      <c r="K477" s="1600"/>
      <c r="L477" s="1600"/>
      <c r="M477" s="1601"/>
      <c r="N477" s="1600"/>
      <c r="O477" s="1600"/>
      <c r="P477" s="1600"/>
      <c r="Q477" s="1601"/>
      <c r="R477" s="1600"/>
      <c r="S477" s="1600"/>
      <c r="T477" s="1600"/>
      <c r="U477" s="1601"/>
      <c r="V477" s="1600"/>
      <c r="W477" s="1600"/>
      <c r="X477" s="1600"/>
      <c r="Y477" s="1601"/>
      <c r="Z477" s="1600"/>
      <c r="AA477" s="1600"/>
      <c r="AB477" s="1600"/>
      <c r="AC477" s="1601"/>
      <c r="AD477" s="1600"/>
      <c r="AE477" s="1600"/>
      <c r="AF477" s="1600"/>
      <c r="AG477" s="1601"/>
      <c r="AH477" s="1600"/>
      <c r="AI477" s="1600"/>
      <c r="AJ477" s="1600"/>
      <c r="AK477" s="1601"/>
      <c r="AL477" s="1600"/>
      <c r="AM477" s="1600"/>
      <c r="AN477" s="1600"/>
      <c r="AO477" s="1601"/>
      <c r="AP477" s="1600"/>
      <c r="AQ477" s="1600"/>
      <c r="AR477" s="1600"/>
      <c r="AS477" s="1601"/>
      <c r="AT477" s="1600"/>
      <c r="AU477" s="1600"/>
      <c r="AV477" s="1600"/>
      <c r="AW477" s="1601"/>
      <c r="AX477" s="1600"/>
      <c r="AY477" s="1600"/>
      <c r="AZ477" s="1600"/>
      <c r="BA477" s="1601"/>
      <c r="BB477" s="1588"/>
      <c r="BC477" s="1602">
        <v>0.38800000000000001</v>
      </c>
      <c r="BD477" s="1603">
        <v>0.47399999999999998</v>
      </c>
      <c r="BE477" s="1604">
        <v>0.54</v>
      </c>
      <c r="BF477" s="1604"/>
      <c r="BG477" s="1592"/>
      <c r="BH477" s="1591"/>
      <c r="BI477" s="1593"/>
      <c r="BJ477" s="1593"/>
      <c r="BK477" s="1593"/>
      <c r="BL477" s="1593"/>
      <c r="BM477" s="1593"/>
      <c r="BN477" s="1593"/>
      <c r="BO477" s="1593"/>
      <c r="BP477" s="1593"/>
      <c r="BR477" s="1595"/>
      <c r="BS477" s="1595"/>
      <c r="BT477" s="1595"/>
      <c r="BU477" s="1596"/>
    </row>
    <row r="478" spans="1:73" s="1594" customFormat="1" ht="12" hidden="1" customHeight="1" outlineLevel="2">
      <c r="A478" s="1622" t="s">
        <v>181</v>
      </c>
      <c r="B478" s="1607" t="str">
        <f t="shared" ref="B478" si="2977">IF(ISERROR(B477/#REF!-1),"NA",B477/#REF!-1)</f>
        <v>NA</v>
      </c>
      <c r="C478" s="1585" t="str">
        <f t="shared" ref="C478" si="2978">IF(ISERROR(C477/#REF!-1),"NA",C477/#REF!-1)</f>
        <v>NA</v>
      </c>
      <c r="D478" s="1585" t="str">
        <f t="shared" ref="D478" si="2979">IF(ISERROR(D477/#REF!-1),"NA",D477/#REF!-1)</f>
        <v>NA</v>
      </c>
      <c r="E478" s="1586" t="str">
        <f t="shared" ref="E478" si="2980">IF(ISERROR(E477/A477-1),"NA",E477/A477-1)</f>
        <v>NA</v>
      </c>
      <c r="F478" s="1607">
        <f t="shared" ref="F478" si="2981">IF(ISERROR(F477/B477-1),"NA",F477/B477-1)</f>
        <v>0.23514851485148514</v>
      </c>
      <c r="G478" s="1585">
        <f t="shared" ref="G478" si="2982">IF(ISERROR(G477/C477-1),"NA",G477/C477-1)</f>
        <v>0.19203747072599531</v>
      </c>
      <c r="H478" s="1585">
        <f t="shared" ref="H478" si="2983">IF(ISERROR(H477/D477-1),"NA",H477/D477-1)</f>
        <v>0.14945054945054936</v>
      </c>
      <c r="I478" s="1586">
        <f t="shared" ref="I478" si="2984">IF(ISERROR(I477/E477-1),"NA",I477/E477-1)</f>
        <v>0.139240506329114</v>
      </c>
      <c r="J478" s="1585"/>
      <c r="K478" s="1585"/>
      <c r="L478" s="1585"/>
      <c r="M478" s="1586"/>
      <c r="N478" s="1585"/>
      <c r="O478" s="1585"/>
      <c r="P478" s="1585"/>
      <c r="Q478" s="1586"/>
      <c r="R478" s="1585"/>
      <c r="S478" s="1585"/>
      <c r="T478" s="1585"/>
      <c r="U478" s="1586"/>
      <c r="V478" s="1585"/>
      <c r="W478" s="1585"/>
      <c r="X478" s="1585"/>
      <c r="Y478" s="1586"/>
      <c r="Z478" s="1585"/>
      <c r="AA478" s="1585"/>
      <c r="AB478" s="1585"/>
      <c r="AC478" s="1586"/>
      <c r="AD478" s="1585"/>
      <c r="AE478" s="1585"/>
      <c r="AF478" s="1585"/>
      <c r="AG478" s="1586"/>
      <c r="AH478" s="1587"/>
      <c r="AI478" s="1587"/>
      <c r="AJ478" s="1587"/>
      <c r="AK478" s="1588"/>
      <c r="AL478" s="1587"/>
      <c r="AM478" s="1587"/>
      <c r="AN478" s="1587"/>
      <c r="AO478" s="1588"/>
      <c r="AP478" s="1587"/>
      <c r="AQ478" s="1587"/>
      <c r="AR478" s="1587"/>
      <c r="AS478" s="1588"/>
      <c r="AT478" s="1587"/>
      <c r="AU478" s="1587"/>
      <c r="AV478" s="1587"/>
      <c r="AW478" s="1588"/>
      <c r="AX478" s="1587"/>
      <c r="AY478" s="1587"/>
      <c r="AZ478" s="1587"/>
      <c r="BA478" s="1588"/>
      <c r="BB478" s="1588"/>
      <c r="BC478" s="1608" t="str">
        <f t="shared" ref="BC478" si="2985">IF(ISERROR(BC477/AO477-1),"NA",BC477/AO477-1)</f>
        <v>NA</v>
      </c>
      <c r="BD478" s="1608">
        <f t="shared" ref="BD478" si="2986">IF(ISERROR(BD477/BC477-1),"NA",BD477/BC477-1)</f>
        <v>0.22164948453608235</v>
      </c>
      <c r="BE478" s="1608">
        <f t="shared" ref="BE478" si="2987">IF(ISERROR(BE477/BD477-1),"NA",BE477/BD477-1)</f>
        <v>0.139240506329114</v>
      </c>
      <c r="BF478" s="1591"/>
      <c r="BG478" s="1592"/>
      <c r="BH478" s="1591"/>
      <c r="BI478" s="1647"/>
      <c r="BJ478" s="1647"/>
      <c r="BK478" s="1647"/>
      <c r="BL478" s="1647"/>
      <c r="BM478" s="1647"/>
      <c r="BN478" s="1647"/>
      <c r="BO478" s="1647"/>
      <c r="BP478" s="1647"/>
      <c r="BR478" s="1595"/>
      <c r="BS478" s="1595"/>
      <c r="BT478" s="1595"/>
      <c r="BU478" s="1596"/>
    </row>
    <row r="479" spans="1:73" s="1594" customFormat="1" ht="12" hidden="1" customHeight="1" outlineLevel="2">
      <c r="A479" s="1648" t="s">
        <v>291</v>
      </c>
      <c r="B479" s="1585" t="str">
        <f t="shared" ref="B479" si="2988">IF(ISERROR(B477/A477-1),"NA",B477/A477-1)</f>
        <v>NA</v>
      </c>
      <c r="C479" s="1585">
        <f t="shared" ref="C479" si="2989">IF(ISERROR(C477/B477-1),"NA",C477/B477-1)</f>
        <v>5.6930693069306759E-2</v>
      </c>
      <c r="D479" s="1585">
        <f t="shared" ref="D479" si="2990">IF(ISERROR(D477/C477-1),"NA",D477/C477-1)</f>
        <v>6.5573770491803351E-2</v>
      </c>
      <c r="E479" s="1586">
        <f t="shared" ref="E479" si="2991">IF(ISERROR(E477/D477-1),"NA",E477/D477-1)</f>
        <v>4.175824175824161E-2</v>
      </c>
      <c r="F479" s="1585">
        <f t="shared" ref="F479" si="2992">IF(ISERROR(F477/E477-1),"NA",F477/E477-1)</f>
        <v>5.2742616033755407E-2</v>
      </c>
      <c r="G479" s="1585">
        <f t="shared" ref="G479" si="2993">IF(ISERROR(G477/F477-1),"NA",G477/F477-1)</f>
        <v>2.0040080160320661E-2</v>
      </c>
      <c r="H479" s="1585">
        <f t="shared" ref="H479" si="2994">IF(ISERROR(H477/G477-1),"NA",H477/G477-1)</f>
        <v>2.7504911591355707E-2</v>
      </c>
      <c r="I479" s="1586">
        <f t="shared" ref="I479" si="2995">IF(ISERROR(I477/H477-1),"NA",I477/H477-1)</f>
        <v>3.2504780114722687E-2</v>
      </c>
      <c r="J479" s="1585"/>
      <c r="K479" s="1585"/>
      <c r="L479" s="1585"/>
      <c r="M479" s="1586"/>
      <c r="N479" s="1585"/>
      <c r="O479" s="1585"/>
      <c r="P479" s="1585"/>
      <c r="Q479" s="1586"/>
      <c r="R479" s="1585"/>
      <c r="S479" s="1585"/>
      <c r="T479" s="1585"/>
      <c r="U479" s="1586"/>
      <c r="V479" s="1585"/>
      <c r="W479" s="1585"/>
      <c r="X479" s="1585"/>
      <c r="Y479" s="1586"/>
      <c r="Z479" s="1585"/>
      <c r="AA479" s="1585"/>
      <c r="AB479" s="1585"/>
      <c r="AC479" s="1586"/>
      <c r="AD479" s="1585"/>
      <c r="AE479" s="1585"/>
      <c r="AF479" s="1585"/>
      <c r="AG479" s="1586"/>
      <c r="AH479" s="1587"/>
      <c r="AI479" s="1587"/>
      <c r="AJ479" s="1587"/>
      <c r="AK479" s="1588"/>
      <c r="AL479" s="1587"/>
      <c r="AM479" s="1587"/>
      <c r="AN479" s="1587"/>
      <c r="AO479" s="1588"/>
      <c r="AP479" s="1587"/>
      <c r="AQ479" s="1587"/>
      <c r="AR479" s="1587"/>
      <c r="AS479" s="1588"/>
      <c r="AT479" s="1587"/>
      <c r="AU479" s="1587"/>
      <c r="AV479" s="1587"/>
      <c r="AW479" s="1588"/>
      <c r="AX479" s="1587"/>
      <c r="AY479" s="1587"/>
      <c r="AZ479" s="1587"/>
      <c r="BA479" s="1588"/>
      <c r="BB479" s="1588"/>
      <c r="BC479" s="1590" t="s">
        <v>366</v>
      </c>
      <c r="BD479" s="1590" t="s">
        <v>366</v>
      </c>
      <c r="BE479" s="1590" t="s">
        <v>366</v>
      </c>
      <c r="BF479" s="1591"/>
      <c r="BG479" s="1592"/>
      <c r="BH479" s="1591"/>
      <c r="BI479" s="1647"/>
      <c r="BJ479" s="1647"/>
      <c r="BK479" s="1647"/>
      <c r="BL479" s="1647"/>
      <c r="BM479" s="1647"/>
      <c r="BN479" s="1647"/>
      <c r="BO479" s="1647"/>
      <c r="BP479" s="1647"/>
      <c r="BR479" s="1595"/>
      <c r="BS479" s="1595"/>
      <c r="BT479" s="1595"/>
      <c r="BU479" s="1596"/>
    </row>
    <row r="480" spans="1:73" s="1594" customFormat="1" ht="12" hidden="1" customHeight="1" outlineLevel="2">
      <c r="A480" s="1646" t="s">
        <v>70</v>
      </c>
      <c r="B480" s="1598">
        <v>0.14699999999999999</v>
      </c>
      <c r="C480" s="1598">
        <v>0.13600000000000001</v>
      </c>
      <c r="D480" s="1598">
        <v>0.151</v>
      </c>
      <c r="E480" s="1599">
        <v>0.151</v>
      </c>
      <c r="F480" s="1600">
        <v>0.155</v>
      </c>
      <c r="G480" s="1600">
        <v>0.153</v>
      </c>
      <c r="H480" s="1600">
        <v>0.17</v>
      </c>
      <c r="I480" s="1601">
        <v>0.17699999999999999</v>
      </c>
      <c r="J480" s="1600"/>
      <c r="K480" s="1600"/>
      <c r="L480" s="1600"/>
      <c r="M480" s="1601"/>
      <c r="N480" s="1600"/>
      <c r="O480" s="1600"/>
      <c r="P480" s="1600"/>
      <c r="Q480" s="1601"/>
      <c r="R480" s="1600"/>
      <c r="S480" s="1600"/>
      <c r="T480" s="1600"/>
      <c r="U480" s="1601"/>
      <c r="V480" s="1600"/>
      <c r="W480" s="1600"/>
      <c r="X480" s="1600"/>
      <c r="Y480" s="1601"/>
      <c r="Z480" s="1600"/>
      <c r="AA480" s="1600"/>
      <c r="AB480" s="1600"/>
      <c r="AC480" s="1601"/>
      <c r="AD480" s="1600"/>
      <c r="AE480" s="1600"/>
      <c r="AF480" s="1600"/>
      <c r="AG480" s="1601"/>
      <c r="AH480" s="1600"/>
      <c r="AI480" s="1600"/>
      <c r="AJ480" s="1600"/>
      <c r="AK480" s="1601"/>
      <c r="AL480" s="1600"/>
      <c r="AM480" s="1600"/>
      <c r="AN480" s="1600"/>
      <c r="AO480" s="1601"/>
      <c r="AP480" s="1600"/>
      <c r="AQ480" s="1600"/>
      <c r="AR480" s="1600"/>
      <c r="AS480" s="1601"/>
      <c r="AT480" s="1600"/>
      <c r="AU480" s="1600"/>
      <c r="AV480" s="1600"/>
      <c r="AW480" s="1601"/>
      <c r="AX480" s="1600"/>
      <c r="AY480" s="1600"/>
      <c r="AZ480" s="1600"/>
      <c r="BA480" s="1601"/>
      <c r="BB480" s="1588"/>
      <c r="BC480" s="1602">
        <v>0.14299999999999999</v>
      </c>
      <c r="BD480" s="1603">
        <v>0.151</v>
      </c>
      <c r="BE480" s="1604">
        <v>0.17699999999999999</v>
      </c>
      <c r="BF480" s="1591"/>
      <c r="BG480" s="1592"/>
      <c r="BH480" s="1591"/>
      <c r="BI480" s="1593"/>
      <c r="BJ480" s="1593"/>
      <c r="BK480" s="1593"/>
      <c r="BL480" s="1593"/>
      <c r="BM480" s="1593"/>
      <c r="BN480" s="1593"/>
      <c r="BO480" s="1593"/>
      <c r="BP480" s="1593"/>
      <c r="BR480" s="1595"/>
      <c r="BS480" s="1595"/>
      <c r="BT480" s="1595"/>
      <c r="BU480" s="1596"/>
    </row>
    <row r="481" spans="1:73" s="1594" customFormat="1" ht="12" hidden="1" customHeight="1" outlineLevel="2">
      <c r="A481" s="1622" t="s">
        <v>181</v>
      </c>
      <c r="B481" s="1607" t="str">
        <f t="shared" ref="B481" si="2996">IF(ISERROR(B480/#REF!-1),"NA",B480/#REF!-1)</f>
        <v>NA</v>
      </c>
      <c r="C481" s="1585" t="str">
        <f t="shared" ref="C481" si="2997">IF(ISERROR(C480/#REF!-1),"NA",C480/#REF!-1)</f>
        <v>NA</v>
      </c>
      <c r="D481" s="1585" t="str">
        <f t="shared" ref="D481" si="2998">IF(ISERROR(D480/#REF!-1),"NA",D480/#REF!-1)</f>
        <v>NA</v>
      </c>
      <c r="E481" s="1586" t="str">
        <f t="shared" ref="E481" si="2999">IF(ISERROR(E480/A480-1),"NA",E480/A480-1)</f>
        <v>NA</v>
      </c>
      <c r="F481" s="1607">
        <f t="shared" ref="F481" si="3000">IF(ISERROR(F480/B480-1),"NA",F480/B480-1)</f>
        <v>5.4421768707483054E-2</v>
      </c>
      <c r="G481" s="1585">
        <f t="shared" ref="G481" si="3001">IF(ISERROR(G480/C480-1),"NA",G480/C480-1)</f>
        <v>0.125</v>
      </c>
      <c r="H481" s="1585">
        <f t="shared" ref="H481" si="3002">IF(ISERROR(H480/D480-1),"NA",H480/D480-1)</f>
        <v>0.12582781456953662</v>
      </c>
      <c r="I481" s="1586">
        <f t="shared" ref="I481" si="3003">IF(ISERROR(I480/E480-1),"NA",I480/E480-1)</f>
        <v>0.17218543046357615</v>
      </c>
      <c r="J481" s="1585"/>
      <c r="K481" s="1585"/>
      <c r="L481" s="1585"/>
      <c r="M481" s="1586"/>
      <c r="N481" s="1585"/>
      <c r="O481" s="1585"/>
      <c r="P481" s="1585"/>
      <c r="Q481" s="1586"/>
      <c r="R481" s="1585"/>
      <c r="S481" s="1585"/>
      <c r="T481" s="1585"/>
      <c r="U481" s="1586"/>
      <c r="V481" s="1585"/>
      <c r="W481" s="1585"/>
      <c r="X481" s="1585"/>
      <c r="Y481" s="1586"/>
      <c r="Z481" s="1585"/>
      <c r="AA481" s="1585"/>
      <c r="AB481" s="1585"/>
      <c r="AC481" s="1586"/>
      <c r="AD481" s="1585"/>
      <c r="AE481" s="1585"/>
      <c r="AF481" s="1585"/>
      <c r="AG481" s="1586"/>
      <c r="AH481" s="1587"/>
      <c r="AI481" s="1587"/>
      <c r="AJ481" s="1587"/>
      <c r="AK481" s="1588"/>
      <c r="AL481" s="1587"/>
      <c r="AM481" s="1587"/>
      <c r="AN481" s="1587"/>
      <c r="AO481" s="1588"/>
      <c r="AP481" s="1587"/>
      <c r="AQ481" s="1587"/>
      <c r="AR481" s="1587"/>
      <c r="AS481" s="1588"/>
      <c r="AT481" s="1587"/>
      <c r="AU481" s="1587"/>
      <c r="AV481" s="1587"/>
      <c r="AW481" s="1588"/>
      <c r="AX481" s="1587"/>
      <c r="AY481" s="1587"/>
      <c r="AZ481" s="1587"/>
      <c r="BA481" s="1588"/>
      <c r="BB481" s="1588"/>
      <c r="BC481" s="1608" t="str">
        <f t="shared" ref="BC481" si="3004">IF(ISERROR(BC480/AO480-1),"NA",BC480/AO480-1)</f>
        <v>NA</v>
      </c>
      <c r="BD481" s="1608">
        <f t="shared" ref="BD481" si="3005">IF(ISERROR(BD480/BC480-1),"NA",BD480/BC480-1)</f>
        <v>5.5944055944056048E-2</v>
      </c>
      <c r="BE481" s="1608">
        <f t="shared" ref="BE481" si="3006">IF(ISERROR(BE480/BD480-1),"NA",BE480/BD480-1)</f>
        <v>0.17218543046357615</v>
      </c>
      <c r="BF481" s="1591"/>
      <c r="BG481" s="1592"/>
      <c r="BH481" s="1591"/>
      <c r="BI481" s="1647"/>
      <c r="BJ481" s="1647"/>
      <c r="BK481" s="1647"/>
      <c r="BL481" s="1647"/>
      <c r="BM481" s="1647"/>
      <c r="BN481" s="1647"/>
      <c r="BO481" s="1647"/>
      <c r="BP481" s="1647"/>
      <c r="BR481" s="1595"/>
      <c r="BS481" s="1595"/>
      <c r="BT481" s="1595"/>
      <c r="BU481" s="1596"/>
    </row>
    <row r="482" spans="1:73" s="1594" customFormat="1" ht="12" hidden="1" customHeight="1" outlineLevel="2">
      <c r="A482" s="1648" t="s">
        <v>291</v>
      </c>
      <c r="B482" s="1585" t="str">
        <f t="shared" ref="B482" si="3007">IF(ISERROR(B480/A480-1),"NA",B480/A480-1)</f>
        <v>NA</v>
      </c>
      <c r="C482" s="1585">
        <f t="shared" ref="C482" si="3008">IF(ISERROR(C480/B480-1),"NA",C480/B480-1)</f>
        <v>-7.4829931972788977E-2</v>
      </c>
      <c r="D482" s="1585">
        <f t="shared" ref="D482" si="3009">IF(ISERROR(D480/C480-1),"NA",D480/C480-1)</f>
        <v>0.11029411764705865</v>
      </c>
      <c r="E482" s="1586">
        <f t="shared" ref="E482" si="3010">IF(ISERROR(E480/D480-1),"NA",E480/D480-1)</f>
        <v>0</v>
      </c>
      <c r="F482" s="1585">
        <f t="shared" ref="F482" si="3011">IF(ISERROR(F480/E480-1),"NA",F480/E480-1)</f>
        <v>2.6490066225165698E-2</v>
      </c>
      <c r="G482" s="1585">
        <f t="shared" ref="G482" si="3012">IF(ISERROR(G480/F480-1),"NA",G480/F480-1)</f>
        <v>-1.2903225806451646E-2</v>
      </c>
      <c r="H482" s="1585">
        <f t="shared" ref="H482" si="3013">IF(ISERROR(H480/G480-1),"NA",H480/G480-1)</f>
        <v>0.11111111111111116</v>
      </c>
      <c r="I482" s="1586">
        <f t="shared" ref="I482" si="3014">IF(ISERROR(I480/H480-1),"NA",I480/H480-1)</f>
        <v>4.1176470588235148E-2</v>
      </c>
      <c r="J482" s="1585"/>
      <c r="K482" s="1585"/>
      <c r="L482" s="1585"/>
      <c r="M482" s="1586"/>
      <c r="N482" s="1585"/>
      <c r="O482" s="1585"/>
      <c r="P482" s="1585"/>
      <c r="Q482" s="1586"/>
      <c r="R482" s="1585"/>
      <c r="S482" s="1585"/>
      <c r="T482" s="1585"/>
      <c r="U482" s="1586"/>
      <c r="V482" s="1585"/>
      <c r="W482" s="1585"/>
      <c r="X482" s="1585"/>
      <c r="Y482" s="1586"/>
      <c r="Z482" s="1585"/>
      <c r="AA482" s="1585"/>
      <c r="AB482" s="1585"/>
      <c r="AC482" s="1586"/>
      <c r="AD482" s="1585"/>
      <c r="AE482" s="1585"/>
      <c r="AF482" s="1585"/>
      <c r="AG482" s="1586"/>
      <c r="AH482" s="1587"/>
      <c r="AI482" s="1587"/>
      <c r="AJ482" s="1587"/>
      <c r="AK482" s="1588"/>
      <c r="AL482" s="1587"/>
      <c r="AM482" s="1587"/>
      <c r="AN482" s="1587"/>
      <c r="AO482" s="1588"/>
      <c r="AP482" s="1587"/>
      <c r="AQ482" s="1587"/>
      <c r="AR482" s="1587"/>
      <c r="AS482" s="1588"/>
      <c r="AT482" s="1587"/>
      <c r="AU482" s="1587"/>
      <c r="AV482" s="1587"/>
      <c r="AW482" s="1588"/>
      <c r="AX482" s="1587"/>
      <c r="AY482" s="1587"/>
      <c r="AZ482" s="1587"/>
      <c r="BA482" s="1588"/>
      <c r="BB482" s="1588"/>
      <c r="BC482" s="1590" t="s">
        <v>366</v>
      </c>
      <c r="BD482" s="1590" t="s">
        <v>366</v>
      </c>
      <c r="BE482" s="1590" t="s">
        <v>366</v>
      </c>
      <c r="BF482" s="1591"/>
      <c r="BG482" s="1592"/>
      <c r="BH482" s="1591"/>
      <c r="BI482" s="1647"/>
      <c r="BJ482" s="1647"/>
      <c r="BK482" s="1647"/>
      <c r="BL482" s="1647"/>
      <c r="BM482" s="1647"/>
      <c r="BN482" s="1647"/>
      <c r="BO482" s="1647"/>
      <c r="BP482" s="1647"/>
      <c r="BR482" s="1595"/>
      <c r="BS482" s="1595"/>
      <c r="BT482" s="1595"/>
      <c r="BU482" s="1596"/>
    </row>
    <row r="483" spans="1:73" s="1594" customFormat="1" ht="12" hidden="1" customHeight="1" outlineLevel="2">
      <c r="A483" s="1646" t="s">
        <v>71</v>
      </c>
      <c r="B483" s="1598">
        <v>2.2090000000000001</v>
      </c>
      <c r="C483" s="1598">
        <v>2.04</v>
      </c>
      <c r="D483" s="1598">
        <v>2.3340000000000001</v>
      </c>
      <c r="E483" s="1599">
        <v>2.423</v>
      </c>
      <c r="F483" s="1600">
        <v>2.496</v>
      </c>
      <c r="G483" s="1600">
        <v>2.3809999999999998</v>
      </c>
      <c r="H483" s="1600">
        <v>2.7280000000000002</v>
      </c>
      <c r="I483" s="1601">
        <v>3.1339999999999999</v>
      </c>
      <c r="J483" s="1600"/>
      <c r="K483" s="1600"/>
      <c r="L483" s="1600"/>
      <c r="M483" s="1601"/>
      <c r="N483" s="1600"/>
      <c r="O483" s="1600"/>
      <c r="P483" s="1600"/>
      <c r="Q483" s="1601"/>
      <c r="R483" s="1600"/>
      <c r="S483" s="1600"/>
      <c r="T483" s="1600"/>
      <c r="U483" s="1601"/>
      <c r="V483" s="1600"/>
      <c r="W483" s="1600"/>
      <c r="X483" s="1600"/>
      <c r="Y483" s="1601"/>
      <c r="Z483" s="1600"/>
      <c r="AA483" s="1600"/>
      <c r="AB483" s="1600"/>
      <c r="AC483" s="1601"/>
      <c r="AD483" s="1600"/>
      <c r="AE483" s="1600"/>
      <c r="AF483" s="1600"/>
      <c r="AG483" s="1601"/>
      <c r="AH483" s="1600"/>
      <c r="AI483" s="1600"/>
      <c r="AJ483" s="1600"/>
      <c r="AK483" s="1601"/>
      <c r="AL483" s="1600"/>
      <c r="AM483" s="1600"/>
      <c r="AN483" s="1600"/>
      <c r="AO483" s="1601"/>
      <c r="AP483" s="1600"/>
      <c r="AQ483" s="1600"/>
      <c r="AR483" s="1600"/>
      <c r="AS483" s="1601"/>
      <c r="AT483" s="1600"/>
      <c r="AU483" s="1600"/>
      <c r="AV483" s="1600"/>
      <c r="AW483" s="1601"/>
      <c r="AX483" s="1600"/>
      <c r="AY483" s="1600"/>
      <c r="AZ483" s="1600"/>
      <c r="BA483" s="1601"/>
      <c r="BB483" s="1588"/>
      <c r="BC483" s="1602">
        <v>7.8260000000000005</v>
      </c>
      <c r="BD483" s="1603">
        <v>9.0060000000000002</v>
      </c>
      <c r="BE483" s="1604">
        <v>10.739000000000001</v>
      </c>
      <c r="BF483" s="1591"/>
      <c r="BG483" s="1592"/>
      <c r="BH483" s="1591"/>
      <c r="BI483" s="1593"/>
      <c r="BJ483" s="1593"/>
      <c r="BK483" s="1593"/>
      <c r="BL483" s="1593"/>
      <c r="BM483" s="1593"/>
      <c r="BN483" s="1593"/>
      <c r="BO483" s="1593"/>
      <c r="BP483" s="1593"/>
      <c r="BR483" s="1595"/>
      <c r="BS483" s="1595"/>
      <c r="BT483" s="1595"/>
      <c r="BU483" s="1596"/>
    </row>
    <row r="484" spans="1:73" s="1594" customFormat="1" ht="12" hidden="1" customHeight="1" outlineLevel="2">
      <c r="A484" s="1622" t="s">
        <v>181</v>
      </c>
      <c r="B484" s="1607" t="str">
        <f t="shared" ref="B484" si="3015">IF(ISERROR(B483/#REF!-1),"NA",B483/#REF!-1)</f>
        <v>NA</v>
      </c>
      <c r="C484" s="1585" t="str">
        <f t="shared" ref="C484" si="3016">IF(ISERROR(C483/#REF!-1),"NA",C483/#REF!-1)</f>
        <v>NA</v>
      </c>
      <c r="D484" s="1585" t="str">
        <f t="shared" ref="D484" si="3017">IF(ISERROR(D483/#REF!-1),"NA",D483/#REF!-1)</f>
        <v>NA</v>
      </c>
      <c r="E484" s="1586" t="str">
        <f t="shared" ref="E484" si="3018">IF(ISERROR(E483/A483-1),"NA",E483/A483-1)</f>
        <v>NA</v>
      </c>
      <c r="F484" s="1607">
        <f t="shared" ref="F484" si="3019">IF(ISERROR(F483/B483-1),"NA",F483/B483-1)</f>
        <v>0.12992304210049799</v>
      </c>
      <c r="G484" s="1585">
        <f t="shared" ref="G484" si="3020">IF(ISERROR(G483/C483-1),"NA",G483/C483-1)</f>
        <v>0.16715686274509789</v>
      </c>
      <c r="H484" s="1585">
        <f t="shared" ref="H484" si="3021">IF(ISERROR(H483/D483-1),"NA",H483/D483-1)</f>
        <v>0.16880891173950308</v>
      </c>
      <c r="I484" s="1586">
        <f t="shared" ref="I484" si="3022">IF(ISERROR(I483/E483-1),"NA",I483/E483-1)</f>
        <v>0.29343788691704487</v>
      </c>
      <c r="J484" s="1585"/>
      <c r="K484" s="1585"/>
      <c r="L484" s="1585"/>
      <c r="M484" s="1586"/>
      <c r="N484" s="1585"/>
      <c r="O484" s="1585"/>
      <c r="P484" s="1585"/>
      <c r="Q484" s="1586"/>
      <c r="R484" s="1585"/>
      <c r="S484" s="1585"/>
      <c r="T484" s="1585"/>
      <c r="U484" s="1586"/>
      <c r="V484" s="1585"/>
      <c r="W484" s="1585"/>
      <c r="X484" s="1585"/>
      <c r="Y484" s="1586"/>
      <c r="Z484" s="1585"/>
      <c r="AA484" s="1585"/>
      <c r="AB484" s="1585"/>
      <c r="AC484" s="1586"/>
      <c r="AD484" s="1585"/>
      <c r="AE484" s="1585"/>
      <c r="AF484" s="1585"/>
      <c r="AG484" s="1586"/>
      <c r="AH484" s="1587"/>
      <c r="AI484" s="1587"/>
      <c r="AJ484" s="1587"/>
      <c r="AK484" s="1588"/>
      <c r="AL484" s="1587"/>
      <c r="AM484" s="1587"/>
      <c r="AN484" s="1587"/>
      <c r="AO484" s="1588"/>
      <c r="AP484" s="1587"/>
      <c r="AQ484" s="1587"/>
      <c r="AR484" s="1587"/>
      <c r="AS484" s="1588"/>
      <c r="AT484" s="1587"/>
      <c r="AU484" s="1587"/>
      <c r="AV484" s="1587"/>
      <c r="AW484" s="1588"/>
      <c r="AX484" s="1587"/>
      <c r="AY484" s="1587"/>
      <c r="AZ484" s="1587"/>
      <c r="BA484" s="1588"/>
      <c r="BB484" s="1588"/>
      <c r="BC484" s="1608" t="str">
        <f t="shared" ref="BC484" si="3023">IF(ISERROR(BC483/AO483-1),"NA",BC483/AO483-1)</f>
        <v>NA</v>
      </c>
      <c r="BD484" s="1608">
        <f t="shared" ref="BD484" si="3024">IF(ISERROR(BD483/BC483-1),"NA",BD483/BC483-1)</f>
        <v>0.15077945310503438</v>
      </c>
      <c r="BE484" s="1608">
        <f t="shared" ref="BE484" si="3025">IF(ISERROR(BE483/BD483-1),"NA",BE483/BD483-1)</f>
        <v>0.1924272707084167</v>
      </c>
      <c r="BF484" s="1591"/>
      <c r="BG484" s="1592"/>
      <c r="BH484" s="1591"/>
      <c r="BI484" s="1647"/>
      <c r="BJ484" s="1647"/>
      <c r="BK484" s="1647"/>
      <c r="BL484" s="1647"/>
      <c r="BM484" s="1647"/>
      <c r="BN484" s="1647"/>
      <c r="BO484" s="1647"/>
      <c r="BP484" s="1647"/>
      <c r="BR484" s="1595"/>
      <c r="BS484" s="1595"/>
      <c r="BT484" s="1595"/>
      <c r="BU484" s="1596"/>
    </row>
    <row r="485" spans="1:73" s="1594" customFormat="1" ht="12" hidden="1" customHeight="1" outlineLevel="2">
      <c r="A485" s="1648" t="s">
        <v>291</v>
      </c>
      <c r="B485" s="1585" t="str">
        <f t="shared" ref="B485" si="3026">IF(ISERROR(B483/A483-1),"NA",B483/A483-1)</f>
        <v>NA</v>
      </c>
      <c r="C485" s="1585">
        <f t="shared" ref="C485" si="3027">IF(ISERROR(C483/B483-1),"NA",C483/B483-1)</f>
        <v>-7.6505205975554547E-2</v>
      </c>
      <c r="D485" s="1585">
        <f t="shared" ref="D485" si="3028">IF(ISERROR(D483/C483-1),"NA",D483/C483-1)</f>
        <v>0.14411764705882346</v>
      </c>
      <c r="E485" s="1586">
        <f t="shared" ref="E485" si="3029">IF(ISERROR(E483/D483-1),"NA",E483/D483-1)</f>
        <v>3.8131962296486632E-2</v>
      </c>
      <c r="F485" s="1585">
        <f t="shared" ref="F485" si="3030">IF(ISERROR(F483/E483-1),"NA",F483/E483-1)</f>
        <v>3.0127940569541822E-2</v>
      </c>
      <c r="G485" s="1585">
        <f t="shared" ref="G485" si="3031">IF(ISERROR(G483/F483-1),"NA",G483/F483-1)</f>
        <v>-4.6073717948718063E-2</v>
      </c>
      <c r="H485" s="1585">
        <f t="shared" ref="H485" si="3032">IF(ISERROR(H483/G483-1),"NA",H483/G483-1)</f>
        <v>0.1457370852582951</v>
      </c>
      <c r="I485" s="1586">
        <f t="shared" ref="I485" si="3033">IF(ISERROR(I483/H483-1),"NA",I483/H483-1)</f>
        <v>0.14882697947214063</v>
      </c>
      <c r="J485" s="1585"/>
      <c r="K485" s="1585"/>
      <c r="L485" s="1585"/>
      <c r="M485" s="1586"/>
      <c r="N485" s="1585"/>
      <c r="O485" s="1585"/>
      <c r="P485" s="1585"/>
      <c r="Q485" s="1586"/>
      <c r="R485" s="1585"/>
      <c r="S485" s="1585"/>
      <c r="T485" s="1585"/>
      <c r="U485" s="1586"/>
      <c r="V485" s="1585"/>
      <c r="W485" s="1585"/>
      <c r="X485" s="1585"/>
      <c r="Y485" s="1586"/>
      <c r="Z485" s="1585"/>
      <c r="AA485" s="1585"/>
      <c r="AB485" s="1585"/>
      <c r="AC485" s="1586"/>
      <c r="AD485" s="1585"/>
      <c r="AE485" s="1585"/>
      <c r="AF485" s="1585"/>
      <c r="AG485" s="1586"/>
      <c r="AH485" s="1587"/>
      <c r="AI485" s="1587"/>
      <c r="AJ485" s="1587"/>
      <c r="AK485" s="1588"/>
      <c r="AL485" s="1587"/>
      <c r="AM485" s="1587"/>
      <c r="AN485" s="1587"/>
      <c r="AO485" s="1588"/>
      <c r="AP485" s="1587"/>
      <c r="AQ485" s="1587"/>
      <c r="AR485" s="1587"/>
      <c r="AS485" s="1588"/>
      <c r="AT485" s="1587"/>
      <c r="AU485" s="1587"/>
      <c r="AV485" s="1587"/>
      <c r="AW485" s="1588"/>
      <c r="AX485" s="1587"/>
      <c r="AY485" s="1587"/>
      <c r="AZ485" s="1587"/>
      <c r="BA485" s="1588"/>
      <c r="BB485" s="1588"/>
      <c r="BC485" s="1590" t="s">
        <v>366</v>
      </c>
      <c r="BD485" s="1590" t="s">
        <v>366</v>
      </c>
      <c r="BE485" s="1590" t="s">
        <v>366</v>
      </c>
      <c r="BF485" s="1591"/>
      <c r="BG485" s="1592"/>
      <c r="BH485" s="1591"/>
      <c r="BI485" s="1647"/>
      <c r="BJ485" s="1647"/>
      <c r="BK485" s="1647"/>
      <c r="BL485" s="1647"/>
      <c r="BM485" s="1647"/>
      <c r="BN485" s="1647"/>
      <c r="BO485" s="1647"/>
      <c r="BP485" s="1647"/>
      <c r="BR485" s="1595"/>
      <c r="BS485" s="1595"/>
      <c r="BT485" s="1595"/>
      <c r="BU485" s="1596"/>
    </row>
    <row r="486" spans="1:73" s="1594" customFormat="1" ht="12" hidden="1" customHeight="1" outlineLevel="2">
      <c r="A486" s="1646" t="s">
        <v>72</v>
      </c>
      <c r="B486" s="1598">
        <v>0.60599999999999998</v>
      </c>
      <c r="C486" s="1598">
        <v>0.62</v>
      </c>
      <c r="D486" s="1598">
        <v>0.68500000000000005</v>
      </c>
      <c r="E486" s="1599">
        <v>0.71499999999999997</v>
      </c>
      <c r="F486" s="1600">
        <v>0.76600000000000001</v>
      </c>
      <c r="G486" s="1600">
        <v>0.80300000000000005</v>
      </c>
      <c r="H486" s="1600">
        <v>0.89200000000000002</v>
      </c>
      <c r="I486" s="1601">
        <v>0.95299999999999996</v>
      </c>
      <c r="J486" s="1600"/>
      <c r="K486" s="1600"/>
      <c r="L486" s="1600"/>
      <c r="M486" s="1601"/>
      <c r="N486" s="1600"/>
      <c r="O486" s="1600"/>
      <c r="P486" s="1600"/>
      <c r="Q486" s="1601"/>
      <c r="R486" s="1600"/>
      <c r="S486" s="1600"/>
      <c r="T486" s="1600"/>
      <c r="U486" s="1601"/>
      <c r="V486" s="1600"/>
      <c r="W486" s="1600"/>
      <c r="X486" s="1600"/>
      <c r="Y486" s="1601"/>
      <c r="Z486" s="1600"/>
      <c r="AA486" s="1600"/>
      <c r="AB486" s="1600"/>
      <c r="AC486" s="1601"/>
      <c r="AD486" s="1600"/>
      <c r="AE486" s="1600"/>
      <c r="AF486" s="1600"/>
      <c r="AG486" s="1601"/>
      <c r="AH486" s="1600"/>
      <c r="AI486" s="1600"/>
      <c r="AJ486" s="1600"/>
      <c r="AK486" s="1601"/>
      <c r="AL486" s="1600"/>
      <c r="AM486" s="1600"/>
      <c r="AN486" s="1600"/>
      <c r="AO486" s="1601"/>
      <c r="AP486" s="1600"/>
      <c r="AQ486" s="1600"/>
      <c r="AR486" s="1600"/>
      <c r="AS486" s="1601"/>
      <c r="AT486" s="1600"/>
      <c r="AU486" s="1600"/>
      <c r="AV486" s="1600"/>
      <c r="AW486" s="1601"/>
      <c r="AX486" s="1600"/>
      <c r="AY486" s="1600"/>
      <c r="AZ486" s="1600"/>
      <c r="BA486" s="1601"/>
      <c r="BB486" s="1588"/>
      <c r="BC486" s="1602">
        <v>0.57199999999999995</v>
      </c>
      <c r="BD486" s="1603">
        <v>0.71499999999999997</v>
      </c>
      <c r="BE486" s="1604">
        <v>0.95299999999999996</v>
      </c>
      <c r="BF486" s="1591"/>
      <c r="BG486" s="1592"/>
      <c r="BH486" s="1591"/>
      <c r="BI486" s="1593"/>
      <c r="BJ486" s="1593"/>
      <c r="BK486" s="1593"/>
      <c r="BL486" s="1593"/>
      <c r="BM486" s="1593"/>
      <c r="BN486" s="1593"/>
      <c r="BO486" s="1593"/>
      <c r="BP486" s="1593"/>
      <c r="BR486" s="1595"/>
      <c r="BS486" s="1595"/>
      <c r="BT486" s="1595"/>
      <c r="BU486" s="1596"/>
    </row>
    <row r="487" spans="1:73" s="1594" customFormat="1" ht="12" hidden="1" customHeight="1" outlineLevel="2">
      <c r="A487" s="1622" t="s">
        <v>181</v>
      </c>
      <c r="B487" s="1607" t="str">
        <f t="shared" ref="B487" si="3034">IF(ISERROR(B486/#REF!-1),"NA",B486/#REF!-1)</f>
        <v>NA</v>
      </c>
      <c r="C487" s="1585" t="str">
        <f t="shared" ref="C487" si="3035">IF(ISERROR(C486/#REF!-1),"NA",C486/#REF!-1)</f>
        <v>NA</v>
      </c>
      <c r="D487" s="1585" t="str">
        <f t="shared" ref="D487" si="3036">IF(ISERROR(D486/#REF!-1),"NA",D486/#REF!-1)</f>
        <v>NA</v>
      </c>
      <c r="E487" s="1586" t="str">
        <f t="shared" ref="E487" si="3037">IF(ISERROR(E486/A486-1),"NA",E486/A486-1)</f>
        <v>NA</v>
      </c>
      <c r="F487" s="1607">
        <f t="shared" ref="F487" si="3038">IF(ISERROR(F486/B486-1),"NA",F486/B486-1)</f>
        <v>0.26402640264026411</v>
      </c>
      <c r="G487" s="1585">
        <f t="shared" ref="G487" si="3039">IF(ISERROR(G486/C486-1),"NA",G486/C486-1)</f>
        <v>0.29516129032258065</v>
      </c>
      <c r="H487" s="1585">
        <f t="shared" ref="H487" si="3040">IF(ISERROR(H486/D486-1),"NA",H486/D486-1)</f>
        <v>0.30218978102189764</v>
      </c>
      <c r="I487" s="1586">
        <f t="shared" ref="I487" si="3041">IF(ISERROR(I486/E486-1),"NA",I486/E486-1)</f>
        <v>0.33286713286713288</v>
      </c>
      <c r="J487" s="1585"/>
      <c r="K487" s="1585"/>
      <c r="L487" s="1585"/>
      <c r="M487" s="1586"/>
      <c r="N487" s="1585"/>
      <c r="O487" s="1585"/>
      <c r="P487" s="1585"/>
      <c r="Q487" s="1586"/>
      <c r="R487" s="1585"/>
      <c r="S487" s="1585"/>
      <c r="T487" s="1585"/>
      <c r="U487" s="1586"/>
      <c r="V487" s="1585"/>
      <c r="W487" s="1585"/>
      <c r="X487" s="1585"/>
      <c r="Y487" s="1586"/>
      <c r="Z487" s="1585"/>
      <c r="AA487" s="1585"/>
      <c r="AB487" s="1585"/>
      <c r="AC487" s="1586"/>
      <c r="AD487" s="1585"/>
      <c r="AE487" s="1585"/>
      <c r="AF487" s="1585"/>
      <c r="AG487" s="1586"/>
      <c r="AH487" s="1587"/>
      <c r="AI487" s="1587"/>
      <c r="AJ487" s="1587"/>
      <c r="AK487" s="1588"/>
      <c r="AL487" s="1587"/>
      <c r="AM487" s="1587"/>
      <c r="AN487" s="1587"/>
      <c r="AO487" s="1588"/>
      <c r="AP487" s="1587"/>
      <c r="AQ487" s="1587"/>
      <c r="AR487" s="1587"/>
      <c r="AS487" s="1588"/>
      <c r="AT487" s="1587"/>
      <c r="AU487" s="1587"/>
      <c r="AV487" s="1587"/>
      <c r="AW487" s="1588"/>
      <c r="AX487" s="1587"/>
      <c r="AY487" s="1587"/>
      <c r="AZ487" s="1587"/>
      <c r="BA487" s="1588"/>
      <c r="BB487" s="1588"/>
      <c r="BC487" s="1608" t="str">
        <f t="shared" ref="BC487" si="3042">IF(ISERROR(BC486/AO486-1),"NA",BC486/AO486-1)</f>
        <v>NA</v>
      </c>
      <c r="BD487" s="1608">
        <f t="shared" ref="BD487" si="3043">IF(ISERROR(BD486/BC486-1),"NA",BD486/BC486-1)</f>
        <v>0.25</v>
      </c>
      <c r="BE487" s="1608">
        <f t="shared" ref="BE487" si="3044">IF(ISERROR(BE486/BD486-1),"NA",BE486/BD486-1)</f>
        <v>0.33286713286713288</v>
      </c>
      <c r="BF487" s="1591"/>
      <c r="BG487" s="1592"/>
      <c r="BH487" s="1591"/>
      <c r="BI487" s="1647"/>
      <c r="BJ487" s="1647"/>
      <c r="BK487" s="1647"/>
      <c r="BL487" s="1647"/>
      <c r="BM487" s="1647"/>
      <c r="BN487" s="1647"/>
      <c r="BO487" s="1647"/>
      <c r="BP487" s="1647"/>
      <c r="BR487" s="1595"/>
      <c r="BS487" s="1595"/>
      <c r="BT487" s="1595"/>
      <c r="BU487" s="1596"/>
    </row>
    <row r="488" spans="1:73" s="1594" customFormat="1" ht="12" hidden="1" customHeight="1" outlineLevel="2">
      <c r="A488" s="1648" t="s">
        <v>291</v>
      </c>
      <c r="B488" s="1585" t="str">
        <f t="shared" ref="B488" si="3045">IF(ISERROR(B486/A486-1),"NA",B486/A486-1)</f>
        <v>NA</v>
      </c>
      <c r="C488" s="1585">
        <f t="shared" ref="C488" si="3046">IF(ISERROR(C486/B486-1),"NA",C486/B486-1)</f>
        <v>2.3102310231023049E-2</v>
      </c>
      <c r="D488" s="1585">
        <f t="shared" ref="D488" si="3047">IF(ISERROR(D486/C486-1),"NA",D486/C486-1)</f>
        <v>0.10483870967741948</v>
      </c>
      <c r="E488" s="1586">
        <f t="shared" ref="E488" si="3048">IF(ISERROR(E486/D486-1),"NA",E486/D486-1)</f>
        <v>4.3795620437956151E-2</v>
      </c>
      <c r="F488" s="1585">
        <f t="shared" ref="F488" si="3049">IF(ISERROR(F486/E486-1),"NA",F486/E486-1)</f>
        <v>7.1328671328671378E-2</v>
      </c>
      <c r="G488" s="1585">
        <f t="shared" ref="G488" si="3050">IF(ISERROR(G486/F486-1),"NA",G486/F486-1)</f>
        <v>4.830287206266326E-2</v>
      </c>
      <c r="H488" s="1585">
        <f t="shared" ref="H488" si="3051">IF(ISERROR(H486/G486-1),"NA",H486/G486-1)</f>
        <v>0.11083437110834371</v>
      </c>
      <c r="I488" s="1586">
        <f t="shared" ref="I488" si="3052">IF(ISERROR(I486/H486-1),"NA",I486/H486-1)</f>
        <v>6.8385650224215278E-2</v>
      </c>
      <c r="J488" s="1585"/>
      <c r="K488" s="1585"/>
      <c r="L488" s="1585"/>
      <c r="M488" s="1586"/>
      <c r="N488" s="1585"/>
      <c r="O488" s="1585"/>
      <c r="P488" s="1585"/>
      <c r="Q488" s="1586"/>
      <c r="R488" s="1585"/>
      <c r="S488" s="1585"/>
      <c r="T488" s="1585"/>
      <c r="U488" s="1586"/>
      <c r="V488" s="1585"/>
      <c r="W488" s="1585"/>
      <c r="X488" s="1585"/>
      <c r="Y488" s="1586"/>
      <c r="Z488" s="1585"/>
      <c r="AA488" s="1585"/>
      <c r="AB488" s="1585"/>
      <c r="AC488" s="1586"/>
      <c r="AD488" s="1585"/>
      <c r="AE488" s="1585"/>
      <c r="AF488" s="1585"/>
      <c r="AG488" s="1586"/>
      <c r="AH488" s="1587"/>
      <c r="AI488" s="1587"/>
      <c r="AJ488" s="1587"/>
      <c r="AK488" s="1588"/>
      <c r="AL488" s="1587"/>
      <c r="AM488" s="1587"/>
      <c r="AN488" s="1587"/>
      <c r="AO488" s="1588"/>
      <c r="AP488" s="1587"/>
      <c r="AQ488" s="1587"/>
      <c r="AR488" s="1587"/>
      <c r="AS488" s="1588"/>
      <c r="AT488" s="1587"/>
      <c r="AU488" s="1587"/>
      <c r="AV488" s="1587"/>
      <c r="AW488" s="1588"/>
      <c r="AX488" s="1587"/>
      <c r="AY488" s="1587"/>
      <c r="AZ488" s="1587"/>
      <c r="BA488" s="1588"/>
      <c r="BB488" s="1588"/>
      <c r="BC488" s="1590" t="s">
        <v>366</v>
      </c>
      <c r="BD488" s="1590" t="s">
        <v>366</v>
      </c>
      <c r="BE488" s="1590" t="s">
        <v>366</v>
      </c>
      <c r="BF488" s="1591"/>
      <c r="BG488" s="1592"/>
      <c r="BH488" s="1591"/>
      <c r="BI488" s="1647"/>
      <c r="BJ488" s="1647"/>
      <c r="BK488" s="1647"/>
      <c r="BL488" s="1647"/>
      <c r="BM488" s="1647"/>
      <c r="BN488" s="1647"/>
      <c r="BO488" s="1647"/>
      <c r="BP488" s="1647"/>
      <c r="BR488" s="1595"/>
      <c r="BS488" s="1595"/>
      <c r="BT488" s="1595"/>
      <c r="BU488" s="1596"/>
    </row>
    <row r="489" spans="1:73" s="1594" customFormat="1" ht="12" hidden="1" customHeight="1" outlineLevel="2">
      <c r="A489" s="1646" t="s">
        <v>73</v>
      </c>
      <c r="B489" s="1598"/>
      <c r="C489" s="1598"/>
      <c r="D489" s="1598"/>
      <c r="E489" s="1599"/>
      <c r="F489" s="1600"/>
      <c r="G489" s="1600"/>
      <c r="H489" s="1600"/>
      <c r="I489" s="1601"/>
      <c r="J489" s="1600"/>
      <c r="K489" s="1600"/>
      <c r="L489" s="1600"/>
      <c r="M489" s="1601"/>
      <c r="N489" s="1600"/>
      <c r="O489" s="1600"/>
      <c r="P489" s="1600"/>
      <c r="Q489" s="1601"/>
      <c r="R489" s="1600"/>
      <c r="S489" s="1600"/>
      <c r="T489" s="1600"/>
      <c r="U489" s="1601"/>
      <c r="V489" s="1600"/>
      <c r="W489" s="1600"/>
      <c r="X489" s="1600"/>
      <c r="Y489" s="1601"/>
      <c r="Z489" s="1600"/>
      <c r="AA489" s="1600"/>
      <c r="AB489" s="1600"/>
      <c r="AC489" s="1601"/>
      <c r="AD489" s="1600"/>
      <c r="AE489" s="1600"/>
      <c r="AF489" s="1600"/>
      <c r="AG489" s="1601"/>
      <c r="AH489" s="1600"/>
      <c r="AI489" s="1600"/>
      <c r="AJ489" s="1600"/>
      <c r="AK489" s="1601"/>
      <c r="AL489" s="1600"/>
      <c r="AM489" s="1600"/>
      <c r="AN489" s="1600"/>
      <c r="AO489" s="1601"/>
      <c r="AP489" s="1600"/>
      <c r="AQ489" s="1600"/>
      <c r="AR489" s="1600"/>
      <c r="AS489" s="1601"/>
      <c r="AT489" s="1600"/>
      <c r="AU489" s="1600"/>
      <c r="AV489" s="1600"/>
      <c r="AW489" s="1601"/>
      <c r="AX489" s="1600"/>
      <c r="AY489" s="1600"/>
      <c r="AZ489" s="1600"/>
      <c r="BA489" s="1601"/>
      <c r="BB489" s="1588"/>
      <c r="BC489" s="1589"/>
      <c r="BD489" s="1590"/>
      <c r="BE489" s="1591"/>
      <c r="BF489" s="1591"/>
      <c r="BG489" s="1592"/>
      <c r="BH489" s="1591"/>
      <c r="BI489" s="1593"/>
      <c r="BJ489" s="1593"/>
      <c r="BK489" s="1593"/>
      <c r="BL489" s="1593"/>
      <c r="BM489" s="1593"/>
      <c r="BN489" s="1593"/>
      <c r="BO489" s="1593"/>
      <c r="BP489" s="1593"/>
      <c r="BR489" s="1595"/>
      <c r="BS489" s="1595"/>
      <c r="BT489" s="1595"/>
      <c r="BU489" s="1596"/>
    </row>
    <row r="490" spans="1:73" s="1594" customFormat="1" ht="12" hidden="1" customHeight="1" outlineLevel="2">
      <c r="A490" s="1610"/>
      <c r="B490" s="1585"/>
      <c r="C490" s="1585"/>
      <c r="D490" s="1585"/>
      <c r="E490" s="1586"/>
      <c r="F490" s="1585"/>
      <c r="G490" s="1585"/>
      <c r="H490" s="1585"/>
      <c r="I490" s="1586"/>
      <c r="J490" s="1585"/>
      <c r="K490" s="1585"/>
      <c r="L490" s="1585"/>
      <c r="M490" s="1586"/>
      <c r="N490" s="1585"/>
      <c r="O490" s="1585"/>
      <c r="P490" s="1585"/>
      <c r="Q490" s="1586"/>
      <c r="R490" s="1585"/>
      <c r="S490" s="1585"/>
      <c r="T490" s="1585"/>
      <c r="U490" s="1586"/>
      <c r="V490" s="1585"/>
      <c r="W490" s="1585"/>
      <c r="X490" s="1585"/>
      <c r="Y490" s="1586"/>
      <c r="Z490" s="1585"/>
      <c r="AA490" s="1585"/>
      <c r="AB490" s="1585"/>
      <c r="AC490" s="1586"/>
      <c r="AD490" s="1585"/>
      <c r="AE490" s="1585"/>
      <c r="AF490" s="1585"/>
      <c r="AG490" s="1586"/>
      <c r="AH490" s="1587"/>
      <c r="AI490" s="1587"/>
      <c r="AJ490" s="1587"/>
      <c r="AK490" s="1588"/>
      <c r="AL490" s="1587"/>
      <c r="AM490" s="1587"/>
      <c r="AN490" s="1587"/>
      <c r="AO490" s="1588"/>
      <c r="AP490" s="1587"/>
      <c r="AQ490" s="1587"/>
      <c r="AR490" s="1587"/>
      <c r="AS490" s="1588"/>
      <c r="AT490" s="1587"/>
      <c r="AU490" s="1587"/>
      <c r="AV490" s="1587"/>
      <c r="AW490" s="1588"/>
      <c r="AX490" s="1587"/>
      <c r="AY490" s="1587"/>
      <c r="AZ490" s="1587"/>
      <c r="BA490" s="1588"/>
      <c r="BB490" s="1588"/>
      <c r="BC490" s="1589"/>
      <c r="BD490" s="1649"/>
      <c r="BE490" s="1591"/>
      <c r="BF490" s="1591"/>
      <c r="BG490" s="1592"/>
      <c r="BH490" s="1591"/>
      <c r="BI490" s="1647"/>
      <c r="BJ490" s="1647"/>
      <c r="BK490" s="1647"/>
      <c r="BL490" s="1647"/>
      <c r="BM490" s="1647"/>
      <c r="BN490" s="1647"/>
      <c r="BO490" s="1647"/>
      <c r="BP490" s="1647"/>
      <c r="BR490" s="1595"/>
      <c r="BS490" s="1595"/>
      <c r="BT490" s="1595"/>
      <c r="BU490" s="1596"/>
    </row>
    <row r="491" spans="1:73" s="1594" customFormat="1" ht="12" hidden="1" customHeight="1" outlineLevel="2" collapsed="1">
      <c r="A491" s="1597" t="s">
        <v>222</v>
      </c>
      <c r="B491" s="1585"/>
      <c r="C491" s="1585"/>
      <c r="D491" s="1585"/>
      <c r="E491" s="1586"/>
      <c r="F491" s="1585"/>
      <c r="G491" s="1585"/>
      <c r="H491" s="1585"/>
      <c r="I491" s="1586"/>
      <c r="J491" s="1585"/>
      <c r="K491" s="1585"/>
      <c r="L491" s="1585"/>
      <c r="M491" s="1586"/>
      <c r="N491" s="1585"/>
      <c r="O491" s="1585"/>
      <c r="P491" s="1585"/>
      <c r="Q491" s="1586"/>
      <c r="R491" s="1585"/>
      <c r="S491" s="1585"/>
      <c r="T491" s="1585"/>
      <c r="U491" s="1586"/>
      <c r="V491" s="1585"/>
      <c r="W491" s="1585"/>
      <c r="X491" s="1585"/>
      <c r="Y491" s="1586"/>
      <c r="Z491" s="1585"/>
      <c r="AA491" s="1585"/>
      <c r="AB491" s="1585"/>
      <c r="AC491" s="1586"/>
      <c r="AD491" s="1585"/>
      <c r="AE491" s="1585"/>
      <c r="AF491" s="1585"/>
      <c r="AG491" s="1586"/>
      <c r="AH491" s="1587"/>
      <c r="AI491" s="1587"/>
      <c r="AJ491" s="1587"/>
      <c r="AK491" s="1588"/>
      <c r="AL491" s="1587"/>
      <c r="AM491" s="1587"/>
      <c r="AN491" s="1587"/>
      <c r="AO491" s="1588"/>
      <c r="AP491" s="1587"/>
      <c r="AQ491" s="1587"/>
      <c r="AR491" s="1587"/>
      <c r="AS491" s="1588"/>
      <c r="AT491" s="1587"/>
      <c r="AU491" s="1587"/>
      <c r="AV491" s="1587"/>
      <c r="AW491" s="1588"/>
      <c r="AX491" s="1587"/>
      <c r="AY491" s="1587"/>
      <c r="AZ491" s="1587"/>
      <c r="BA491" s="1588"/>
      <c r="BB491" s="1588"/>
      <c r="BC491" s="1589"/>
      <c r="BD491" s="1649"/>
      <c r="BE491" s="1591"/>
      <c r="BF491" s="1591"/>
      <c r="BG491" s="1592"/>
      <c r="BH491" s="1591"/>
      <c r="BI491" s="1647"/>
      <c r="BJ491" s="1647"/>
      <c r="BK491" s="1647"/>
      <c r="BL491" s="1647"/>
      <c r="BM491" s="1647"/>
      <c r="BN491" s="1647"/>
      <c r="BO491" s="1647"/>
      <c r="BP491" s="1647"/>
      <c r="BR491" s="1595"/>
      <c r="BS491" s="1595"/>
      <c r="BT491" s="1595"/>
      <c r="BU491" s="1596"/>
    </row>
    <row r="492" spans="1:73" s="1594" customFormat="1" ht="12" hidden="1" customHeight="1" outlineLevel="2">
      <c r="A492" s="1610" t="s">
        <v>223</v>
      </c>
      <c r="B492" s="1585"/>
      <c r="C492" s="1585"/>
      <c r="D492" s="1585"/>
      <c r="E492" s="1586"/>
      <c r="F492" s="1585"/>
      <c r="G492" s="1585"/>
      <c r="H492" s="1585"/>
      <c r="I492" s="1586"/>
      <c r="J492" s="1585"/>
      <c r="K492" s="1585"/>
      <c r="L492" s="1585"/>
      <c r="M492" s="1586"/>
      <c r="N492" s="1585"/>
      <c r="O492" s="1585"/>
      <c r="P492" s="1585"/>
      <c r="Q492" s="1586"/>
      <c r="R492" s="1585"/>
      <c r="S492" s="1585"/>
      <c r="T492" s="1585"/>
      <c r="U492" s="1650">
        <v>0.56000000000000005</v>
      </c>
      <c r="V492" s="1585"/>
      <c r="W492" s="1585"/>
      <c r="X492" s="1585"/>
      <c r="Y492" s="1586"/>
      <c r="Z492" s="1585"/>
      <c r="AA492" s="1585"/>
      <c r="AB492" s="1585"/>
      <c r="AC492" s="1586"/>
      <c r="AD492" s="1585"/>
      <c r="AE492" s="1585"/>
      <c r="AF492" s="1585"/>
      <c r="AG492" s="1586"/>
      <c r="AH492" s="1587"/>
      <c r="AI492" s="1587"/>
      <c r="AJ492" s="1587"/>
      <c r="AK492" s="1588"/>
      <c r="AL492" s="1587"/>
      <c r="AM492" s="1587"/>
      <c r="AN492" s="1587"/>
      <c r="AO492" s="1588"/>
      <c r="AP492" s="1587"/>
      <c r="AQ492" s="1587"/>
      <c r="AR492" s="1587"/>
      <c r="AS492" s="1588"/>
      <c r="AT492" s="1587"/>
      <c r="AU492" s="1587"/>
      <c r="AV492" s="1587"/>
      <c r="AW492" s="1588"/>
      <c r="AX492" s="1587"/>
      <c r="AY492" s="1587"/>
      <c r="AZ492" s="1587"/>
      <c r="BA492" s="1588"/>
      <c r="BB492" s="1588"/>
      <c r="BC492" s="1589"/>
      <c r="BD492" s="1649"/>
      <c r="BE492" s="1591"/>
      <c r="BF492" s="1591"/>
      <c r="BG492" s="1592"/>
      <c r="BH492" s="1591"/>
      <c r="BI492" s="1647"/>
      <c r="BJ492" s="1647"/>
      <c r="BK492" s="1647"/>
      <c r="BL492" s="1647"/>
      <c r="BM492" s="1647"/>
      <c r="BN492" s="1647"/>
      <c r="BO492" s="1647"/>
      <c r="BP492" s="1647"/>
      <c r="BR492" s="1595"/>
      <c r="BS492" s="1595"/>
      <c r="BT492" s="1595"/>
      <c r="BU492" s="1596"/>
    </row>
    <row r="493" spans="1:73" s="1594" customFormat="1" ht="12" hidden="1" customHeight="1" outlineLevel="2">
      <c r="A493" s="1610" t="s">
        <v>224</v>
      </c>
      <c r="B493" s="1585"/>
      <c r="C493" s="1585"/>
      <c r="D493" s="1585"/>
      <c r="E493" s="1586"/>
      <c r="F493" s="1585"/>
      <c r="G493" s="1585"/>
      <c r="H493" s="1585"/>
      <c r="I493" s="1586"/>
      <c r="J493" s="1585"/>
      <c r="K493" s="1585"/>
      <c r="L493" s="1585"/>
      <c r="M493" s="1586"/>
      <c r="N493" s="1585"/>
      <c r="O493" s="1585"/>
      <c r="P493" s="1585"/>
      <c r="Q493" s="1586"/>
      <c r="R493" s="1585"/>
      <c r="S493" s="1585"/>
      <c r="T493" s="1585"/>
      <c r="U493" s="1650">
        <v>0.22</v>
      </c>
      <c r="V493" s="1585"/>
      <c r="W493" s="1585"/>
      <c r="X493" s="1585"/>
      <c r="Y493" s="1586"/>
      <c r="Z493" s="1585"/>
      <c r="AA493" s="1585"/>
      <c r="AB493" s="1585"/>
      <c r="AC493" s="1586"/>
      <c r="AD493" s="1585"/>
      <c r="AE493" s="1585"/>
      <c r="AF493" s="1585"/>
      <c r="AG493" s="1586"/>
      <c r="AH493" s="1587"/>
      <c r="AI493" s="1587"/>
      <c r="AJ493" s="1587"/>
      <c r="AK493" s="1588"/>
      <c r="AL493" s="1587"/>
      <c r="AM493" s="1587"/>
      <c r="AN493" s="1587"/>
      <c r="AO493" s="1588"/>
      <c r="AP493" s="1587"/>
      <c r="AQ493" s="1587"/>
      <c r="AR493" s="1587"/>
      <c r="AS493" s="1588"/>
      <c r="AT493" s="1587"/>
      <c r="AU493" s="1587"/>
      <c r="AV493" s="1587"/>
      <c r="AW493" s="1588"/>
      <c r="AX493" s="1587"/>
      <c r="AY493" s="1587"/>
      <c r="AZ493" s="1587"/>
      <c r="BA493" s="1588"/>
      <c r="BB493" s="1588"/>
      <c r="BC493" s="1589"/>
      <c r="BD493" s="1649"/>
      <c r="BE493" s="1591"/>
      <c r="BF493" s="1591"/>
      <c r="BG493" s="1592"/>
      <c r="BH493" s="1591"/>
      <c r="BI493" s="1647"/>
      <c r="BJ493" s="1647"/>
      <c r="BK493" s="1647"/>
      <c r="BL493" s="1647"/>
      <c r="BM493" s="1647"/>
      <c r="BN493" s="1647"/>
      <c r="BO493" s="1647"/>
      <c r="BP493" s="1647"/>
      <c r="BR493" s="1595"/>
      <c r="BS493" s="1595"/>
      <c r="BT493" s="1595"/>
      <c r="BU493" s="1596"/>
    </row>
    <row r="494" spans="1:73" s="1594" customFormat="1" ht="12" hidden="1" customHeight="1" outlineLevel="2">
      <c r="A494" s="1610" t="s">
        <v>225</v>
      </c>
      <c r="B494" s="1585"/>
      <c r="C494" s="1585"/>
      <c r="D494" s="1585"/>
      <c r="E494" s="1586"/>
      <c r="F494" s="1585"/>
      <c r="G494" s="1585"/>
      <c r="H494" s="1585"/>
      <c r="I494" s="1586"/>
      <c r="J494" s="1585"/>
      <c r="K494" s="1585"/>
      <c r="L494" s="1585"/>
      <c r="M494" s="1586"/>
      <c r="N494" s="1585"/>
      <c r="O494" s="1585"/>
      <c r="P494" s="1585"/>
      <c r="Q494" s="1586"/>
      <c r="R494" s="1585"/>
      <c r="S494" s="1585"/>
      <c r="T494" s="1585"/>
      <c r="U494" s="1650">
        <v>0</v>
      </c>
      <c r="V494" s="1585"/>
      <c r="W494" s="1585"/>
      <c r="X494" s="1585"/>
      <c r="Y494" s="1586"/>
      <c r="Z494" s="1585"/>
      <c r="AA494" s="1585"/>
      <c r="AB494" s="1585"/>
      <c r="AC494" s="1586"/>
      <c r="AD494" s="1585"/>
      <c r="AE494" s="1585"/>
      <c r="AF494" s="1585"/>
      <c r="AG494" s="1586"/>
      <c r="AH494" s="1587"/>
      <c r="AI494" s="1587"/>
      <c r="AJ494" s="1587"/>
      <c r="AK494" s="1588"/>
      <c r="AL494" s="1587"/>
      <c r="AM494" s="1587"/>
      <c r="AN494" s="1587"/>
      <c r="AO494" s="1588"/>
      <c r="AP494" s="1587"/>
      <c r="AQ494" s="1587"/>
      <c r="AR494" s="1587"/>
      <c r="AS494" s="1588"/>
      <c r="AT494" s="1587"/>
      <c r="AU494" s="1587"/>
      <c r="AV494" s="1587"/>
      <c r="AW494" s="1588"/>
      <c r="AX494" s="1587"/>
      <c r="AY494" s="1587"/>
      <c r="AZ494" s="1587"/>
      <c r="BA494" s="1588"/>
      <c r="BB494" s="1588"/>
      <c r="BC494" s="1589"/>
      <c r="BD494" s="1649"/>
      <c r="BE494" s="1591"/>
      <c r="BF494" s="1591"/>
      <c r="BG494" s="1592"/>
      <c r="BH494" s="1591"/>
      <c r="BI494" s="1647"/>
      <c r="BJ494" s="1647"/>
      <c r="BK494" s="1647"/>
      <c r="BL494" s="1647"/>
      <c r="BM494" s="1647"/>
      <c r="BN494" s="1647"/>
      <c r="BO494" s="1647"/>
      <c r="BP494" s="1647"/>
      <c r="BR494" s="1595"/>
      <c r="BS494" s="1595"/>
      <c r="BT494" s="1595"/>
      <c r="BU494" s="1596"/>
    </row>
    <row r="495" spans="1:73" s="1594" customFormat="1" ht="12" hidden="1" customHeight="1" outlineLevel="2">
      <c r="A495" s="1610"/>
      <c r="B495" s="1585"/>
      <c r="C495" s="1585"/>
      <c r="D495" s="1585"/>
      <c r="E495" s="1586"/>
      <c r="F495" s="1585"/>
      <c r="G495" s="1585"/>
      <c r="H495" s="1585"/>
      <c r="I495" s="1586"/>
      <c r="J495" s="1585"/>
      <c r="K495" s="1585"/>
      <c r="L495" s="1585"/>
      <c r="M495" s="1586"/>
      <c r="N495" s="1585"/>
      <c r="O495" s="1585"/>
      <c r="P495" s="1585"/>
      <c r="Q495" s="1586"/>
      <c r="R495" s="1585"/>
      <c r="S495" s="1585"/>
      <c r="T495" s="1585"/>
      <c r="U495" s="1586"/>
      <c r="V495" s="1585"/>
      <c r="W495" s="1585"/>
      <c r="X495" s="1585"/>
      <c r="Y495" s="1586"/>
      <c r="Z495" s="1585"/>
      <c r="AA495" s="1585"/>
      <c r="AB495" s="1585"/>
      <c r="AC495" s="1586"/>
      <c r="AD495" s="1585"/>
      <c r="AE495" s="1585"/>
      <c r="AF495" s="1585"/>
      <c r="AG495" s="1586"/>
      <c r="AH495" s="1587"/>
      <c r="AI495" s="1587"/>
      <c r="AJ495" s="1587"/>
      <c r="AK495" s="1588"/>
      <c r="AL495" s="1587"/>
      <c r="AM495" s="1587"/>
      <c r="AN495" s="1587"/>
      <c r="AO495" s="1588"/>
      <c r="AP495" s="1587"/>
      <c r="AQ495" s="1587"/>
      <c r="AR495" s="1587"/>
      <c r="AS495" s="1588"/>
      <c r="AT495" s="1587"/>
      <c r="AU495" s="1587"/>
      <c r="AV495" s="1587"/>
      <c r="AW495" s="1588"/>
      <c r="AX495" s="1587"/>
      <c r="AY495" s="1587"/>
      <c r="AZ495" s="1587"/>
      <c r="BA495" s="1588"/>
      <c r="BB495" s="1588"/>
      <c r="BC495" s="1589"/>
      <c r="BD495" s="1649"/>
      <c r="BE495" s="1591"/>
      <c r="BF495" s="1591"/>
      <c r="BG495" s="1592"/>
      <c r="BH495" s="1591"/>
      <c r="BI495" s="1647"/>
      <c r="BJ495" s="1647"/>
      <c r="BK495" s="1647"/>
      <c r="BL495" s="1647"/>
      <c r="BM495" s="1647"/>
      <c r="BN495" s="1647"/>
      <c r="BO495" s="1647"/>
      <c r="BP495" s="1647"/>
      <c r="BR495" s="1595"/>
      <c r="BS495" s="1595"/>
      <c r="BT495" s="1595"/>
      <c r="BU495" s="1596"/>
    </row>
    <row r="496" spans="1:73" s="1594" customFormat="1" ht="12" hidden="1" customHeight="1" outlineLevel="2">
      <c r="A496" s="1597" t="s">
        <v>74</v>
      </c>
      <c r="B496" s="1585"/>
      <c r="C496" s="1585"/>
      <c r="D496" s="1585"/>
      <c r="E496" s="1586"/>
      <c r="F496" s="1585"/>
      <c r="G496" s="1585"/>
      <c r="H496" s="1585"/>
      <c r="I496" s="1586"/>
      <c r="J496" s="1585"/>
      <c r="K496" s="1585"/>
      <c r="L496" s="1585"/>
      <c r="M496" s="1586"/>
      <c r="N496" s="1585"/>
      <c r="O496" s="1585"/>
      <c r="P496" s="1585"/>
      <c r="Q496" s="1586"/>
      <c r="R496" s="1585"/>
      <c r="S496" s="1585"/>
      <c r="T496" s="1585"/>
      <c r="U496" s="1586"/>
      <c r="V496" s="1585"/>
      <c r="W496" s="1585"/>
      <c r="X496" s="1585"/>
      <c r="Y496" s="1586"/>
      <c r="Z496" s="1585"/>
      <c r="AA496" s="1585"/>
      <c r="AB496" s="1585"/>
      <c r="AC496" s="1586"/>
      <c r="AD496" s="1585"/>
      <c r="AE496" s="1585"/>
      <c r="AF496" s="1585"/>
      <c r="AG496" s="1586"/>
      <c r="AH496" s="1587"/>
      <c r="AI496" s="1587"/>
      <c r="AJ496" s="1587"/>
      <c r="AK496" s="1588"/>
      <c r="AL496" s="1587"/>
      <c r="AM496" s="1587"/>
      <c r="AN496" s="1587"/>
      <c r="AO496" s="1588"/>
      <c r="AP496" s="1587"/>
      <c r="AQ496" s="1587"/>
      <c r="AR496" s="1587"/>
      <c r="AS496" s="1588"/>
      <c r="AT496" s="1587"/>
      <c r="AU496" s="1587"/>
      <c r="AV496" s="1587"/>
      <c r="AW496" s="1588"/>
      <c r="AX496" s="1587"/>
      <c r="AY496" s="1587"/>
      <c r="AZ496" s="1587"/>
      <c r="BA496" s="1588"/>
      <c r="BB496" s="1588"/>
      <c r="BC496" s="1589"/>
      <c r="BD496" s="1649"/>
      <c r="BE496" s="1591"/>
      <c r="BF496" s="1591"/>
      <c r="BG496" s="1592"/>
      <c r="BH496" s="1591"/>
      <c r="BI496" s="1647"/>
      <c r="BJ496" s="1647"/>
      <c r="BK496" s="1647"/>
      <c r="BL496" s="1647"/>
      <c r="BM496" s="1647"/>
      <c r="BN496" s="1647"/>
      <c r="BO496" s="1647"/>
      <c r="BP496" s="1647"/>
      <c r="BR496" s="1595"/>
      <c r="BS496" s="1595"/>
      <c r="BT496" s="1595"/>
      <c r="BU496" s="1596"/>
    </row>
    <row r="497" spans="1:73" s="1594" customFormat="1" ht="12" hidden="1" customHeight="1" outlineLevel="2">
      <c r="A497" s="1646" t="s">
        <v>75</v>
      </c>
      <c r="B497" s="1598">
        <v>0.14899999999999999</v>
      </c>
      <c r="C497" s="1598">
        <v>0.23799999999999999</v>
      </c>
      <c r="D497" s="1598">
        <v>0.29499999999999998</v>
      </c>
      <c r="E497" s="1599">
        <v>0.27400000000000002</v>
      </c>
      <c r="F497" s="1598">
        <v>0.183</v>
      </c>
      <c r="G497" s="1598">
        <v>0.22500000000000001</v>
      </c>
      <c r="H497" s="1598">
        <v>0.25</v>
      </c>
      <c r="I497" s="1599">
        <v>0.223</v>
      </c>
      <c r="J497" s="1598">
        <v>0.12</v>
      </c>
      <c r="K497" s="1598">
        <v>0.191</v>
      </c>
      <c r="L497" s="1598">
        <v>0.23100000000000001</v>
      </c>
      <c r="M497" s="1599">
        <v>0.20799999999999999</v>
      </c>
      <c r="N497" s="1598">
        <v>0.114</v>
      </c>
      <c r="O497" s="1598">
        <v>0.183</v>
      </c>
      <c r="P497" s="1598">
        <v>0.25800000000000001</v>
      </c>
      <c r="Q497" s="1599">
        <v>0.20799999999999999</v>
      </c>
      <c r="R497" s="1585"/>
      <c r="S497" s="1585"/>
      <c r="T497" s="1585"/>
      <c r="U497" s="1586"/>
      <c r="V497" s="1585"/>
      <c r="W497" s="1585"/>
      <c r="X497" s="1585"/>
      <c r="Y497" s="1586"/>
      <c r="Z497" s="1585"/>
      <c r="AA497" s="1585"/>
      <c r="AB497" s="1585"/>
      <c r="AC497" s="1586"/>
      <c r="AD497" s="1585"/>
      <c r="AE497" s="1585"/>
      <c r="AF497" s="1585"/>
      <c r="AG497" s="1586"/>
      <c r="AH497" s="1587"/>
      <c r="AI497" s="1587"/>
      <c r="AJ497" s="1587"/>
      <c r="AK497" s="1588"/>
      <c r="AL497" s="1587"/>
      <c r="AM497" s="1587"/>
      <c r="AN497" s="1587"/>
      <c r="AO497" s="1588"/>
      <c r="AP497" s="1587"/>
      <c r="AQ497" s="1587"/>
      <c r="AR497" s="1587"/>
      <c r="AS497" s="1588"/>
      <c r="AT497" s="1587"/>
      <c r="AU497" s="1587"/>
      <c r="AV497" s="1587"/>
      <c r="AW497" s="1588"/>
      <c r="AX497" s="1587"/>
      <c r="AY497" s="1587"/>
      <c r="AZ497" s="1587"/>
      <c r="BA497" s="1588"/>
      <c r="BB497" s="1588"/>
      <c r="BC497" s="1602">
        <v>0.88200000000000001</v>
      </c>
      <c r="BD497" s="1603">
        <v>0.95599999999999996</v>
      </c>
      <c r="BE497" s="1604">
        <v>0.88100000000000001</v>
      </c>
      <c r="BF497" s="1602">
        <v>0.749</v>
      </c>
      <c r="BG497" s="1603">
        <v>0.76300000000000001</v>
      </c>
      <c r="BH497" s="1604">
        <v>0.59399999999999997</v>
      </c>
      <c r="BI497" s="1647"/>
      <c r="BJ497" s="1647"/>
      <c r="BK497" s="1647"/>
      <c r="BL497" s="1647"/>
      <c r="BM497" s="1647"/>
      <c r="BN497" s="1647"/>
      <c r="BO497" s="1647"/>
      <c r="BP497" s="1647"/>
      <c r="BR497" s="1595"/>
      <c r="BS497" s="1595"/>
      <c r="BT497" s="1595"/>
      <c r="BU497" s="1596"/>
    </row>
    <row r="498" spans="1:73" s="1594" customFormat="1" ht="12" hidden="1" customHeight="1" outlineLevel="2">
      <c r="A498" s="1622" t="s">
        <v>181</v>
      </c>
      <c r="B498" s="1607" t="str">
        <f t="shared" ref="B498" si="3053">IF(ISERROR(B497/#REF!-1),"NA",B497/#REF!-1)</f>
        <v>NA</v>
      </c>
      <c r="C498" s="1585" t="str">
        <f t="shared" ref="C498" si="3054">IF(ISERROR(C497/#REF!-1),"NA",C497/#REF!-1)</f>
        <v>NA</v>
      </c>
      <c r="D498" s="1585" t="str">
        <f t="shared" ref="D498" si="3055">IF(ISERROR(D497/#REF!-1),"NA",D497/#REF!-1)</f>
        <v>NA</v>
      </c>
      <c r="E498" s="1586" t="str">
        <f t="shared" ref="E498" si="3056">IF(ISERROR(E497/A497-1),"NA",E497/A497-1)</f>
        <v>NA</v>
      </c>
      <c r="F498" s="1607">
        <f t="shared" ref="F498" si="3057">IF(ISERROR(F497/B497-1),"NA",F497/B497-1)</f>
        <v>0.22818791946308736</v>
      </c>
      <c r="G498" s="1585">
        <f t="shared" ref="G498" si="3058">IF(ISERROR(G497/C497-1),"NA",G497/C497-1)</f>
        <v>-5.4621848739495715E-2</v>
      </c>
      <c r="H498" s="1585">
        <f t="shared" ref="H498" si="3059">IF(ISERROR(H497/D497-1),"NA",H497/D497-1)</f>
        <v>-0.15254237288135586</v>
      </c>
      <c r="I498" s="1586">
        <f t="shared" ref="I498" si="3060">IF(ISERROR(I497/E497-1),"NA",I497/E497-1)</f>
        <v>-0.18613138686131392</v>
      </c>
      <c r="J498" s="1607">
        <f t="shared" ref="J498" si="3061">IF(ISERROR(J497/F497-1),"NA",J497/F497-1)</f>
        <v>-0.34426229508196726</v>
      </c>
      <c r="K498" s="1585">
        <f t="shared" ref="K498" si="3062">IF(ISERROR(K497/G497-1),"NA",K497/G497-1)</f>
        <v>-0.15111111111111108</v>
      </c>
      <c r="L498" s="1585">
        <f t="shared" ref="L498" si="3063">IF(ISERROR(L497/H497-1),"NA",L497/H497-1)</f>
        <v>-7.5999999999999956E-2</v>
      </c>
      <c r="M498" s="1586">
        <f t="shared" ref="M498" si="3064">IF(ISERROR(M497/I497-1),"NA",M497/I497-1)</f>
        <v>-6.7264573991031473E-2</v>
      </c>
      <c r="N498" s="1607">
        <f t="shared" ref="N498" si="3065">IF(ISERROR(N497/J497-1),"NA",N497/J497-1)</f>
        <v>-4.9999999999999933E-2</v>
      </c>
      <c r="O498" s="1585">
        <f t="shared" ref="O498" si="3066">IF(ISERROR(O497/K497-1),"NA",O497/K497-1)</f>
        <v>-4.1884816753926746E-2</v>
      </c>
      <c r="P498" s="1585">
        <f t="shared" ref="P498" si="3067">IF(ISERROR(P497/L497-1),"NA",P497/L497-1)</f>
        <v>0.11688311688311681</v>
      </c>
      <c r="Q498" s="1586">
        <f t="shared" ref="Q498" si="3068">IF(ISERROR(Q497/M497-1),"NA",Q497/M497-1)</f>
        <v>0</v>
      </c>
      <c r="R498" s="1585"/>
      <c r="S498" s="1585"/>
      <c r="T498" s="1585"/>
      <c r="U498" s="1586"/>
      <c r="V498" s="1585"/>
      <c r="W498" s="1585"/>
      <c r="X498" s="1585"/>
      <c r="Y498" s="1586"/>
      <c r="Z498" s="1585"/>
      <c r="AA498" s="1585"/>
      <c r="AB498" s="1585"/>
      <c r="AC498" s="1586"/>
      <c r="AD498" s="1585"/>
      <c r="AE498" s="1585"/>
      <c r="AF498" s="1585"/>
      <c r="AG498" s="1586"/>
      <c r="AH498" s="1587"/>
      <c r="AI498" s="1587"/>
      <c r="AJ498" s="1587"/>
      <c r="AK498" s="1588"/>
      <c r="AL498" s="1587"/>
      <c r="AM498" s="1587"/>
      <c r="AN498" s="1587"/>
      <c r="AO498" s="1588"/>
      <c r="AP498" s="1587"/>
      <c r="AQ498" s="1587"/>
      <c r="AR498" s="1587"/>
      <c r="AS498" s="1588"/>
      <c r="AT498" s="1587"/>
      <c r="AU498" s="1587"/>
      <c r="AV498" s="1587"/>
      <c r="AW498" s="1588"/>
      <c r="AX498" s="1587"/>
      <c r="AY498" s="1587"/>
      <c r="AZ498" s="1587"/>
      <c r="BA498" s="1588"/>
      <c r="BB498" s="1588"/>
      <c r="BC498" s="1608" t="str">
        <f t="shared" ref="BC498" si="3069">IF(ISERROR(BC497/BB497-1),"NA",BC497/BB497-1)</f>
        <v>NA</v>
      </c>
      <c r="BD498" s="1608">
        <f t="shared" ref="BD498" si="3070">IF(ISERROR(BD497/BC497-1),"NA",BD497/BC497-1)</f>
        <v>8.3900226757369634E-2</v>
      </c>
      <c r="BE498" s="1608">
        <f t="shared" ref="BE498" si="3071">IF(ISERROR(BE497/BD497-1),"NA",BE497/BD497-1)</f>
        <v>-7.8451882845188226E-2</v>
      </c>
      <c r="BF498" s="1608">
        <f t="shared" ref="BF498" si="3072">IF(ISERROR(BF497/BE497-1),"NA",BF497/BE497-1)</f>
        <v>-0.14982973893303064</v>
      </c>
      <c r="BG498" s="1608">
        <f t="shared" ref="BG498" si="3073">IF(ISERROR(BG497/BF497-1),"NA",BG497/BF497-1)</f>
        <v>1.8691588785046731E-2</v>
      </c>
      <c r="BH498" s="1608">
        <f t="shared" ref="BH498" si="3074">IF(ISERROR(BH497/BG497-1),"NA",BH497/BG497-1)</f>
        <v>-0.22149410222804722</v>
      </c>
      <c r="BI498" s="1647"/>
      <c r="BJ498" s="1647"/>
      <c r="BK498" s="1647"/>
      <c r="BL498" s="1647"/>
      <c r="BM498" s="1647"/>
      <c r="BN498" s="1647"/>
      <c r="BO498" s="1647"/>
      <c r="BP498" s="1647"/>
      <c r="BR498" s="1595"/>
      <c r="BS498" s="1595"/>
      <c r="BT498" s="1595"/>
      <c r="BU498" s="1596"/>
    </row>
    <row r="499" spans="1:73" s="1594" customFormat="1" ht="12" hidden="1" customHeight="1" outlineLevel="2">
      <c r="A499" s="1648" t="s">
        <v>291</v>
      </c>
      <c r="B499" s="1585" t="str">
        <f t="shared" ref="B499" si="3075">IF(ISERROR(B497/A497-1),"NA",B497/A497-1)</f>
        <v>NA</v>
      </c>
      <c r="C499" s="1585">
        <f t="shared" ref="C499" si="3076">IF(ISERROR(C497/B497-1),"NA",C497/B497-1)</f>
        <v>0.59731543624161065</v>
      </c>
      <c r="D499" s="1585">
        <f t="shared" ref="D499" si="3077">IF(ISERROR(D497/C497-1),"NA",D497/C497-1)</f>
        <v>0.23949579831932777</v>
      </c>
      <c r="E499" s="1586">
        <f t="shared" ref="E499" si="3078">IF(ISERROR(E497/D497-1),"NA",E497/D497-1)</f>
        <v>-7.1186440677965979E-2</v>
      </c>
      <c r="F499" s="1585">
        <f t="shared" ref="F499" si="3079">IF(ISERROR(F497/E497-1),"NA",F497/E497-1)</f>
        <v>-0.33211678832116798</v>
      </c>
      <c r="G499" s="1585">
        <f t="shared" ref="G499" si="3080">IF(ISERROR(G497/F497-1),"NA",G497/F497-1)</f>
        <v>0.22950819672131151</v>
      </c>
      <c r="H499" s="1585">
        <f t="shared" ref="H499" si="3081">IF(ISERROR(H497/G497-1),"NA",H497/G497-1)</f>
        <v>0.11111111111111116</v>
      </c>
      <c r="I499" s="1586">
        <f t="shared" ref="I499" si="3082">IF(ISERROR(I497/H497-1),"NA",I497/H497-1)</f>
        <v>-0.10799999999999998</v>
      </c>
      <c r="J499" s="1585">
        <f t="shared" ref="J499" si="3083">IF(ISERROR(J497/I497-1),"NA",J497/I497-1)</f>
        <v>-0.46188340807174888</v>
      </c>
      <c r="K499" s="1585">
        <f t="shared" ref="K499" si="3084">IF(ISERROR(K497/J497-1),"NA",K497/J497-1)</f>
        <v>0.59166666666666679</v>
      </c>
      <c r="L499" s="1585">
        <f t="shared" ref="L499" si="3085">IF(ISERROR(L497/K497-1),"NA",L497/K497-1)</f>
        <v>0.20942408376963351</v>
      </c>
      <c r="M499" s="1586">
        <f t="shared" ref="M499" si="3086">IF(ISERROR(M497/L497-1),"NA",M497/L497-1)</f>
        <v>-9.9567099567099637E-2</v>
      </c>
      <c r="N499" s="1585">
        <f t="shared" ref="N499" si="3087">IF(ISERROR(N497/M497-1),"NA",N497/M497-1)</f>
        <v>-0.45192307692307687</v>
      </c>
      <c r="O499" s="1585">
        <f t="shared" ref="O499" si="3088">IF(ISERROR(O497/N497-1),"NA",O497/N497-1)</f>
        <v>0.60526315789473673</v>
      </c>
      <c r="P499" s="1585">
        <f t="shared" ref="P499" si="3089">IF(ISERROR(P497/O497-1),"NA",P497/O497-1)</f>
        <v>0.4098360655737705</v>
      </c>
      <c r="Q499" s="1586">
        <f t="shared" ref="Q499" si="3090">IF(ISERROR(Q497/P497-1),"NA",Q497/P497-1)</f>
        <v>-0.19379844961240311</v>
      </c>
      <c r="R499" s="1585"/>
      <c r="S499" s="1585"/>
      <c r="T499" s="1585"/>
      <c r="U499" s="1586"/>
      <c r="V499" s="1585"/>
      <c r="W499" s="1585"/>
      <c r="X499" s="1585"/>
      <c r="Y499" s="1586"/>
      <c r="Z499" s="1585"/>
      <c r="AA499" s="1585"/>
      <c r="AB499" s="1585"/>
      <c r="AC499" s="1586"/>
      <c r="AD499" s="1585"/>
      <c r="AE499" s="1585"/>
      <c r="AF499" s="1585"/>
      <c r="AG499" s="1586"/>
      <c r="AH499" s="1587"/>
      <c r="AI499" s="1587"/>
      <c r="AJ499" s="1587"/>
      <c r="AK499" s="1588"/>
      <c r="AL499" s="1587"/>
      <c r="AM499" s="1587"/>
      <c r="AN499" s="1587"/>
      <c r="AO499" s="1588"/>
      <c r="AP499" s="1587"/>
      <c r="AQ499" s="1587"/>
      <c r="AR499" s="1587"/>
      <c r="AS499" s="1588"/>
      <c r="AT499" s="1587"/>
      <c r="AU499" s="1587"/>
      <c r="AV499" s="1587"/>
      <c r="AW499" s="1588"/>
      <c r="AX499" s="1587"/>
      <c r="AY499" s="1587"/>
      <c r="AZ499" s="1587"/>
      <c r="BA499" s="1588"/>
      <c r="BB499" s="1588"/>
      <c r="BC499" s="1590" t="s">
        <v>366</v>
      </c>
      <c r="BD499" s="1590" t="s">
        <v>366</v>
      </c>
      <c r="BE499" s="1590" t="s">
        <v>366</v>
      </c>
      <c r="BF499" s="1590" t="s">
        <v>366</v>
      </c>
      <c r="BG499" s="1590" t="s">
        <v>366</v>
      </c>
      <c r="BH499" s="1590" t="s">
        <v>366</v>
      </c>
      <c r="BI499" s="1647"/>
      <c r="BJ499" s="1647"/>
      <c r="BK499" s="1647"/>
      <c r="BL499" s="1647"/>
      <c r="BM499" s="1647"/>
      <c r="BN499" s="1647"/>
      <c r="BO499" s="1647"/>
      <c r="BP499" s="1647"/>
      <c r="BR499" s="1595"/>
      <c r="BS499" s="1595"/>
      <c r="BT499" s="1595"/>
      <c r="BU499" s="1596"/>
    </row>
    <row r="500" spans="1:73" s="1594" customFormat="1" ht="12" hidden="1" customHeight="1" outlineLevel="2">
      <c r="A500" s="1646" t="s">
        <v>76</v>
      </c>
      <c r="B500" s="1598">
        <v>0.317</v>
      </c>
      <c r="C500" s="1598">
        <v>0.316</v>
      </c>
      <c r="D500" s="1598">
        <v>0.32</v>
      </c>
      <c r="E500" s="1599">
        <v>0.32600000000000001</v>
      </c>
      <c r="F500" s="1598">
        <v>0.33200000000000002</v>
      </c>
      <c r="G500" s="1598">
        <v>0.33800000000000002</v>
      </c>
      <c r="H500" s="1598">
        <v>0.34699999999999998</v>
      </c>
      <c r="I500" s="1599">
        <v>0.35599999999999998</v>
      </c>
      <c r="J500" s="1598">
        <v>0.35899999999999999</v>
      </c>
      <c r="K500" s="1598">
        <v>0.36499999999999999</v>
      </c>
      <c r="L500" s="1598">
        <v>0.374</v>
      </c>
      <c r="M500" s="1599">
        <v>0.38500000000000001</v>
      </c>
      <c r="N500" s="1598">
        <v>0.38900000000000001</v>
      </c>
      <c r="O500" s="1598">
        <v>0.39400000000000002</v>
      </c>
      <c r="P500" s="1598">
        <v>0.40600000000000003</v>
      </c>
      <c r="Q500" s="1599">
        <v>0.41299999999999998</v>
      </c>
      <c r="R500" s="1585"/>
      <c r="S500" s="1585"/>
      <c r="T500" s="1585"/>
      <c r="U500" s="1586"/>
      <c r="V500" s="1585"/>
      <c r="W500" s="1585"/>
      <c r="X500" s="1585"/>
      <c r="Y500" s="1586"/>
      <c r="Z500" s="1585"/>
      <c r="AA500" s="1585"/>
      <c r="AB500" s="1585"/>
      <c r="AC500" s="1586"/>
      <c r="AD500" s="1585"/>
      <c r="AE500" s="1585"/>
      <c r="AF500" s="1585"/>
      <c r="AG500" s="1586"/>
      <c r="AH500" s="1587"/>
      <c r="AI500" s="1587"/>
      <c r="AJ500" s="1587"/>
      <c r="AK500" s="1588"/>
      <c r="AL500" s="1587"/>
      <c r="AM500" s="1587"/>
      <c r="AN500" s="1587"/>
      <c r="AO500" s="1588"/>
      <c r="AP500" s="1587"/>
      <c r="AQ500" s="1587"/>
      <c r="AR500" s="1587"/>
      <c r="AS500" s="1588"/>
      <c r="AT500" s="1587"/>
      <c r="AU500" s="1587"/>
      <c r="AV500" s="1587"/>
      <c r="AW500" s="1588"/>
      <c r="AX500" s="1587"/>
      <c r="AY500" s="1587"/>
      <c r="AZ500" s="1587"/>
      <c r="BA500" s="1588"/>
      <c r="BB500" s="1588"/>
      <c r="BC500" s="1602">
        <v>0.318</v>
      </c>
      <c r="BD500" s="1603">
        <v>0.32600000000000001</v>
      </c>
      <c r="BE500" s="1604">
        <v>0.35599999999999998</v>
      </c>
      <c r="BF500" s="1602">
        <v>0.38500000000000001</v>
      </c>
      <c r="BG500" s="1603">
        <v>0.41299999999999998</v>
      </c>
      <c r="BH500" s="1604">
        <v>0.45100000000000001</v>
      </c>
      <c r="BI500" s="1647"/>
      <c r="BJ500" s="1647"/>
      <c r="BK500" s="1647"/>
      <c r="BL500" s="1647"/>
      <c r="BM500" s="1647"/>
      <c r="BN500" s="1647"/>
      <c r="BO500" s="1647"/>
      <c r="BP500" s="1647"/>
      <c r="BR500" s="1595"/>
      <c r="BS500" s="1595"/>
      <c r="BT500" s="1595"/>
      <c r="BU500" s="1596"/>
    </row>
    <row r="501" spans="1:73" s="1594" customFormat="1" ht="12" hidden="1" customHeight="1" outlineLevel="2">
      <c r="A501" s="1622" t="s">
        <v>181</v>
      </c>
      <c r="B501" s="1607" t="str">
        <f t="shared" ref="B501" si="3091">IF(ISERROR(B500/#REF!-1),"NA",B500/#REF!-1)</f>
        <v>NA</v>
      </c>
      <c r="C501" s="1585" t="str">
        <f t="shared" ref="C501" si="3092">IF(ISERROR(C500/#REF!-1),"NA",C500/#REF!-1)</f>
        <v>NA</v>
      </c>
      <c r="D501" s="1585" t="str">
        <f t="shared" ref="D501" si="3093">IF(ISERROR(D500/#REF!-1),"NA",D500/#REF!-1)</f>
        <v>NA</v>
      </c>
      <c r="E501" s="1586" t="str">
        <f t="shared" ref="E501" si="3094">IF(ISERROR(E500/A500-1),"NA",E500/A500-1)</f>
        <v>NA</v>
      </c>
      <c r="F501" s="1607">
        <f t="shared" ref="F501" si="3095">IF(ISERROR(F500/B500-1),"NA",F500/B500-1)</f>
        <v>4.7318611987381853E-2</v>
      </c>
      <c r="G501" s="1585">
        <f t="shared" ref="G501" si="3096">IF(ISERROR(G500/C500-1),"NA",G500/C500-1)</f>
        <v>6.9620253164557111E-2</v>
      </c>
      <c r="H501" s="1585">
        <f t="shared" ref="H501" si="3097">IF(ISERROR(H500/D500-1),"NA",H500/D500-1)</f>
        <v>8.4374999999999867E-2</v>
      </c>
      <c r="I501" s="1586">
        <f t="shared" ref="I501" si="3098">IF(ISERROR(I500/E500-1),"NA",I500/E500-1)</f>
        <v>9.2024539877300526E-2</v>
      </c>
      <c r="J501" s="1607">
        <f t="shared" ref="J501" si="3099">IF(ISERROR(J500/F500-1),"NA",J500/F500-1)</f>
        <v>8.1325301204819178E-2</v>
      </c>
      <c r="K501" s="1585">
        <f t="shared" ref="K501" si="3100">IF(ISERROR(K500/G500-1),"NA",K500/G500-1)</f>
        <v>7.9881656804733581E-2</v>
      </c>
      <c r="L501" s="1585">
        <f t="shared" ref="L501" si="3101">IF(ISERROR(L500/H500-1),"NA",L500/H500-1)</f>
        <v>7.7809798270893404E-2</v>
      </c>
      <c r="M501" s="1586">
        <f t="shared" ref="M501" si="3102">IF(ISERROR(M500/I500-1),"NA",M500/I500-1)</f>
        <v>8.1460674157303403E-2</v>
      </c>
      <c r="N501" s="1607">
        <f t="shared" ref="N501" si="3103">IF(ISERROR(N500/J500-1),"NA",N500/J500-1)</f>
        <v>8.3565459610027926E-2</v>
      </c>
      <c r="O501" s="1585">
        <f t="shared" ref="O501" si="3104">IF(ISERROR(O500/K500-1),"NA",O500/K500-1)</f>
        <v>7.9452054794520555E-2</v>
      </c>
      <c r="P501" s="1585">
        <f t="shared" ref="P501" si="3105">IF(ISERROR(P500/L500-1),"NA",P500/L500-1)</f>
        <v>8.5561497326203328E-2</v>
      </c>
      <c r="Q501" s="1586">
        <f t="shared" ref="Q501" si="3106">IF(ISERROR(Q500/M500-1),"NA",Q500/M500-1)</f>
        <v>7.2727272727272751E-2</v>
      </c>
      <c r="R501" s="1585"/>
      <c r="S501" s="1585"/>
      <c r="T501" s="1585"/>
      <c r="U501" s="1586"/>
      <c r="V501" s="1585"/>
      <c r="W501" s="1585"/>
      <c r="X501" s="1585"/>
      <c r="Y501" s="1586"/>
      <c r="Z501" s="1585"/>
      <c r="AA501" s="1585"/>
      <c r="AB501" s="1585"/>
      <c r="AC501" s="1586"/>
      <c r="AD501" s="1585"/>
      <c r="AE501" s="1585"/>
      <c r="AF501" s="1585"/>
      <c r="AG501" s="1586"/>
      <c r="AH501" s="1587"/>
      <c r="AI501" s="1587"/>
      <c r="AJ501" s="1587"/>
      <c r="AK501" s="1588"/>
      <c r="AL501" s="1587"/>
      <c r="AM501" s="1587"/>
      <c r="AN501" s="1587"/>
      <c r="AO501" s="1588"/>
      <c r="AP501" s="1587"/>
      <c r="AQ501" s="1587"/>
      <c r="AR501" s="1587"/>
      <c r="AS501" s="1588"/>
      <c r="AT501" s="1587"/>
      <c r="AU501" s="1587"/>
      <c r="AV501" s="1587"/>
      <c r="AW501" s="1588"/>
      <c r="AX501" s="1587"/>
      <c r="AY501" s="1587"/>
      <c r="AZ501" s="1587"/>
      <c r="BA501" s="1588"/>
      <c r="BB501" s="1588"/>
      <c r="BC501" s="1608" t="str">
        <f t="shared" ref="BC501" si="3107">IF(ISERROR(BC500/BB500-1),"NA",BC500/BB500-1)</f>
        <v>NA</v>
      </c>
      <c r="BD501" s="1608">
        <f t="shared" ref="BD501" si="3108">IF(ISERROR(BD500/BC500-1),"NA",BD500/BC500-1)</f>
        <v>2.515723270440251E-2</v>
      </c>
      <c r="BE501" s="1608">
        <f t="shared" ref="BE501" si="3109">IF(ISERROR(BE500/BD500-1),"NA",BE500/BD500-1)</f>
        <v>9.2024539877300526E-2</v>
      </c>
      <c r="BF501" s="1608">
        <f t="shared" ref="BF501" si="3110">IF(ISERROR(BF500/BE500-1),"NA",BF500/BE500-1)</f>
        <v>8.1460674157303403E-2</v>
      </c>
      <c r="BG501" s="1608">
        <f t="shared" ref="BG501" si="3111">IF(ISERROR(BG500/BF500-1),"NA",BG500/BF500-1)</f>
        <v>7.2727272727272751E-2</v>
      </c>
      <c r="BH501" s="1608">
        <f t="shared" ref="BH501" si="3112">IF(ISERROR(BH500/BG500-1),"NA",BH500/BG500-1)</f>
        <v>9.2009685230024285E-2</v>
      </c>
      <c r="BI501" s="1647"/>
      <c r="BJ501" s="1647"/>
      <c r="BK501" s="1647"/>
      <c r="BL501" s="1647"/>
      <c r="BM501" s="1647"/>
      <c r="BN501" s="1647"/>
      <c r="BO501" s="1647"/>
      <c r="BP501" s="1647"/>
      <c r="BR501" s="1595"/>
      <c r="BS501" s="1595"/>
      <c r="BT501" s="1595"/>
      <c r="BU501" s="1596"/>
    </row>
    <row r="502" spans="1:73" s="1594" customFormat="1" ht="12" hidden="1" customHeight="1" outlineLevel="2">
      <c r="A502" s="1648" t="s">
        <v>291</v>
      </c>
      <c r="B502" s="1585" t="str">
        <f t="shared" ref="B502" si="3113">IF(ISERROR(B500/A500-1),"NA",B500/A500-1)</f>
        <v>NA</v>
      </c>
      <c r="C502" s="1585">
        <f t="shared" ref="C502" si="3114">IF(ISERROR(C500/B500-1),"NA",C500/B500-1)</f>
        <v>-3.154574132492094E-3</v>
      </c>
      <c r="D502" s="1585">
        <f t="shared" ref="D502" si="3115">IF(ISERROR(D500/C500-1),"NA",D500/C500-1)</f>
        <v>1.2658227848101333E-2</v>
      </c>
      <c r="E502" s="1586">
        <f t="shared" ref="E502" si="3116">IF(ISERROR(E500/D500-1),"NA",E500/D500-1)</f>
        <v>1.8750000000000044E-2</v>
      </c>
      <c r="F502" s="1585">
        <f t="shared" ref="F502" si="3117">IF(ISERROR(F500/E500-1),"NA",F500/E500-1)</f>
        <v>1.8404907975460238E-2</v>
      </c>
      <c r="G502" s="1585">
        <f t="shared" ref="G502" si="3118">IF(ISERROR(G500/F500-1),"NA",G500/F500-1)</f>
        <v>1.8072289156626509E-2</v>
      </c>
      <c r="H502" s="1585">
        <f t="shared" ref="H502" si="3119">IF(ISERROR(H500/G500-1),"NA",H500/G500-1)</f>
        <v>2.6627218934911046E-2</v>
      </c>
      <c r="I502" s="1586">
        <f t="shared" ref="I502" si="3120">IF(ISERROR(I500/H500-1),"NA",I500/H500-1)</f>
        <v>2.5936599423631135E-2</v>
      </c>
      <c r="J502" s="1585">
        <f t="shared" ref="J502" si="3121">IF(ISERROR(J500/I500-1),"NA",J500/I500-1)</f>
        <v>8.4269662921347965E-3</v>
      </c>
      <c r="K502" s="1585">
        <f t="shared" ref="K502" si="3122">IF(ISERROR(K500/J500-1),"NA",K500/J500-1)</f>
        <v>1.6713091922005541E-2</v>
      </c>
      <c r="L502" s="1585">
        <f t="shared" ref="L502" si="3123">IF(ISERROR(L500/K500-1),"NA",L500/K500-1)</f>
        <v>2.4657534246575352E-2</v>
      </c>
      <c r="M502" s="1586">
        <f t="shared" ref="M502" si="3124">IF(ISERROR(M500/L500-1),"NA",M500/L500-1)</f>
        <v>2.941176470588247E-2</v>
      </c>
      <c r="N502" s="1585">
        <f t="shared" ref="N502" si="3125">IF(ISERROR(N500/M500-1),"NA",N500/M500-1)</f>
        <v>1.0389610389610393E-2</v>
      </c>
      <c r="O502" s="1585">
        <f t="shared" ref="O502" si="3126">IF(ISERROR(O500/N500-1),"NA",O500/N500-1)</f>
        <v>1.2853470437018011E-2</v>
      </c>
      <c r="P502" s="1585">
        <f t="shared" ref="P502" si="3127">IF(ISERROR(P500/O500-1),"NA",P500/O500-1)</f>
        <v>3.0456852791878264E-2</v>
      </c>
      <c r="Q502" s="1586">
        <f t="shared" ref="Q502" si="3128">IF(ISERROR(Q500/P500-1),"NA",Q500/P500-1)</f>
        <v>1.7241379310344751E-2</v>
      </c>
      <c r="R502" s="1585"/>
      <c r="S502" s="1585"/>
      <c r="T502" s="1585"/>
      <c r="U502" s="1586"/>
      <c r="V502" s="1585"/>
      <c r="W502" s="1585"/>
      <c r="X502" s="1585"/>
      <c r="Y502" s="1586"/>
      <c r="Z502" s="1585"/>
      <c r="AA502" s="1585"/>
      <c r="AB502" s="1585"/>
      <c r="AC502" s="1586"/>
      <c r="AD502" s="1585"/>
      <c r="AE502" s="1585"/>
      <c r="AF502" s="1585"/>
      <c r="AG502" s="1586"/>
      <c r="AH502" s="1587"/>
      <c r="AI502" s="1587"/>
      <c r="AJ502" s="1587"/>
      <c r="AK502" s="1588"/>
      <c r="AL502" s="1587"/>
      <c r="AM502" s="1587"/>
      <c r="AN502" s="1587"/>
      <c r="AO502" s="1588"/>
      <c r="AP502" s="1587"/>
      <c r="AQ502" s="1587"/>
      <c r="AR502" s="1587"/>
      <c r="AS502" s="1588"/>
      <c r="AT502" s="1587"/>
      <c r="AU502" s="1587"/>
      <c r="AV502" s="1587"/>
      <c r="AW502" s="1588"/>
      <c r="AX502" s="1587"/>
      <c r="AY502" s="1587"/>
      <c r="AZ502" s="1587"/>
      <c r="BA502" s="1588"/>
      <c r="BB502" s="1588"/>
      <c r="BC502" s="1590" t="s">
        <v>366</v>
      </c>
      <c r="BD502" s="1590" t="s">
        <v>366</v>
      </c>
      <c r="BE502" s="1590" t="s">
        <v>366</v>
      </c>
      <c r="BF502" s="1590" t="s">
        <v>366</v>
      </c>
      <c r="BG502" s="1590" t="s">
        <v>366</v>
      </c>
      <c r="BH502" s="1590" t="s">
        <v>366</v>
      </c>
      <c r="BI502" s="1647"/>
      <c r="BJ502" s="1647"/>
      <c r="BK502" s="1647"/>
      <c r="BL502" s="1647"/>
      <c r="BM502" s="1647"/>
      <c r="BN502" s="1647"/>
      <c r="BO502" s="1647"/>
      <c r="BP502" s="1647"/>
      <c r="BR502" s="1595"/>
      <c r="BS502" s="1595"/>
      <c r="BT502" s="1595"/>
      <c r="BU502" s="1596"/>
    </row>
    <row r="503" spans="1:73" s="1594" customFormat="1" ht="12" hidden="1" customHeight="1" outlineLevel="2">
      <c r="A503" s="1646" t="s">
        <v>77</v>
      </c>
      <c r="B503" s="1598">
        <v>0.998</v>
      </c>
      <c r="C503" s="1598">
        <v>1.002</v>
      </c>
      <c r="D503" s="1598">
        <v>0.98899999999999999</v>
      </c>
      <c r="E503" s="1599">
        <v>0.97</v>
      </c>
      <c r="F503" s="1598">
        <v>0.94899999999999995</v>
      </c>
      <c r="G503" s="1598">
        <v>0.95299999999999996</v>
      </c>
      <c r="H503" s="1598">
        <v>0.94299999999999995</v>
      </c>
      <c r="I503" s="1599">
        <v>0.92600000000000005</v>
      </c>
      <c r="J503" s="1598"/>
      <c r="K503" s="1598"/>
      <c r="L503" s="1598"/>
      <c r="M503" s="1599"/>
      <c r="N503" s="1598"/>
      <c r="O503" s="1598"/>
      <c r="P503" s="1598"/>
      <c r="Q503" s="1599"/>
      <c r="R503" s="1585"/>
      <c r="S503" s="1585"/>
      <c r="T503" s="1585"/>
      <c r="U503" s="1586"/>
      <c r="V503" s="1585"/>
      <c r="W503" s="1585"/>
      <c r="X503" s="1585"/>
      <c r="Y503" s="1586"/>
      <c r="Z503" s="1585"/>
      <c r="AA503" s="1585"/>
      <c r="AB503" s="1585"/>
      <c r="AC503" s="1586"/>
      <c r="AD503" s="1585"/>
      <c r="AE503" s="1585"/>
      <c r="AF503" s="1585"/>
      <c r="AG503" s="1586"/>
      <c r="AH503" s="1587"/>
      <c r="AI503" s="1587"/>
      <c r="AJ503" s="1587"/>
      <c r="AK503" s="1588"/>
      <c r="AL503" s="1587"/>
      <c r="AM503" s="1587"/>
      <c r="AN503" s="1587"/>
      <c r="AO503" s="1588"/>
      <c r="AP503" s="1587"/>
      <c r="AQ503" s="1587"/>
      <c r="AR503" s="1587"/>
      <c r="AS503" s="1588"/>
      <c r="AT503" s="1587"/>
      <c r="AU503" s="1587"/>
      <c r="AV503" s="1587"/>
      <c r="AW503" s="1588"/>
      <c r="AX503" s="1587"/>
      <c r="AY503" s="1587"/>
      <c r="AZ503" s="1587"/>
      <c r="BA503" s="1588"/>
      <c r="BB503" s="1588"/>
      <c r="BC503" s="1602">
        <v>1.0069999999999999</v>
      </c>
      <c r="BD503" s="1603">
        <v>0.97</v>
      </c>
      <c r="BE503" s="1604">
        <v>0.92600000000000005</v>
      </c>
      <c r="BF503" s="1602"/>
      <c r="BG503" s="1603"/>
      <c r="BH503" s="1604"/>
      <c r="BI503" s="1647"/>
      <c r="BJ503" s="1647"/>
      <c r="BK503" s="1647"/>
      <c r="BL503" s="1647"/>
      <c r="BM503" s="1647"/>
      <c r="BN503" s="1647"/>
      <c r="BO503" s="1647"/>
      <c r="BP503" s="1647"/>
      <c r="BR503" s="1595"/>
      <c r="BS503" s="1595"/>
      <c r="BT503" s="1595"/>
      <c r="BU503" s="1596"/>
    </row>
    <row r="504" spans="1:73" s="1594" customFormat="1" ht="12" hidden="1" customHeight="1" outlineLevel="2">
      <c r="A504" s="1622" t="s">
        <v>181</v>
      </c>
      <c r="B504" s="1607" t="str">
        <f t="shared" ref="B504" si="3129">IF(ISERROR(B503/#REF!-1),"NA",B503/#REF!-1)</f>
        <v>NA</v>
      </c>
      <c r="C504" s="1585" t="str">
        <f t="shared" ref="C504" si="3130">IF(ISERROR(C503/#REF!-1),"NA",C503/#REF!-1)</f>
        <v>NA</v>
      </c>
      <c r="D504" s="1585" t="str">
        <f t="shared" ref="D504" si="3131">IF(ISERROR(D503/#REF!-1),"NA",D503/#REF!-1)</f>
        <v>NA</v>
      </c>
      <c r="E504" s="1586" t="str">
        <f t="shared" ref="E504" si="3132">IF(ISERROR(E503/A503-1),"NA",E503/A503-1)</f>
        <v>NA</v>
      </c>
      <c r="F504" s="1607">
        <f t="shared" ref="F504" si="3133">IF(ISERROR(F503/B503-1),"NA",F503/B503-1)</f>
        <v>-4.9098196392785565E-2</v>
      </c>
      <c r="G504" s="1585">
        <f t="shared" ref="G504" si="3134">IF(ISERROR(G503/C503-1),"NA",G503/C503-1)</f>
        <v>-4.8902195608782506E-2</v>
      </c>
      <c r="H504" s="1585">
        <f t="shared" ref="H504" si="3135">IF(ISERROR(H503/D503-1),"NA",H503/D503-1)</f>
        <v>-4.6511627906976827E-2</v>
      </c>
      <c r="I504" s="1586">
        <f t="shared" ref="I504" si="3136">IF(ISERROR(I503/E503-1),"NA",I503/E503-1)</f>
        <v>-4.5360824742267991E-2</v>
      </c>
      <c r="J504" s="1607"/>
      <c r="K504" s="1585"/>
      <c r="L504" s="1585"/>
      <c r="M504" s="1586"/>
      <c r="N504" s="1607"/>
      <c r="O504" s="1585"/>
      <c r="P504" s="1585"/>
      <c r="Q504" s="1586"/>
      <c r="R504" s="1585"/>
      <c r="S504" s="1585"/>
      <c r="T504" s="1585"/>
      <c r="U504" s="1586"/>
      <c r="V504" s="1585"/>
      <c r="W504" s="1585"/>
      <c r="X504" s="1585"/>
      <c r="Y504" s="1586"/>
      <c r="Z504" s="1585"/>
      <c r="AA504" s="1585"/>
      <c r="AB504" s="1585"/>
      <c r="AC504" s="1586"/>
      <c r="AD504" s="1585"/>
      <c r="AE504" s="1585"/>
      <c r="AF504" s="1585"/>
      <c r="AG504" s="1586"/>
      <c r="AH504" s="1587"/>
      <c r="AI504" s="1587"/>
      <c r="AJ504" s="1587"/>
      <c r="AK504" s="1588"/>
      <c r="AL504" s="1587"/>
      <c r="AM504" s="1587"/>
      <c r="AN504" s="1587"/>
      <c r="AO504" s="1588"/>
      <c r="AP504" s="1587"/>
      <c r="AQ504" s="1587"/>
      <c r="AR504" s="1587"/>
      <c r="AS504" s="1588"/>
      <c r="AT504" s="1587"/>
      <c r="AU504" s="1587"/>
      <c r="AV504" s="1587"/>
      <c r="AW504" s="1588"/>
      <c r="AX504" s="1587"/>
      <c r="AY504" s="1587"/>
      <c r="AZ504" s="1587"/>
      <c r="BA504" s="1588"/>
      <c r="BB504" s="1588"/>
      <c r="BC504" s="1608" t="str">
        <f t="shared" ref="BC504" si="3137">IF(ISERROR(BC503/BB503-1),"NA",BC503/BB503-1)</f>
        <v>NA</v>
      </c>
      <c r="BD504" s="1608">
        <f t="shared" ref="BD504" si="3138">IF(ISERROR(BD503/BC503-1),"NA",BD503/BC503-1)</f>
        <v>-3.6742800397219444E-2</v>
      </c>
      <c r="BE504" s="1608">
        <f t="shared" ref="BE504" si="3139">IF(ISERROR(BE503/BD503-1),"NA",BE503/BD503-1)</f>
        <v>-4.5360824742267991E-2</v>
      </c>
      <c r="BF504" s="1591"/>
      <c r="BG504" s="1592"/>
      <c r="BH504" s="1591"/>
      <c r="BI504" s="1647"/>
      <c r="BJ504" s="1647"/>
      <c r="BK504" s="1647"/>
      <c r="BL504" s="1647"/>
      <c r="BM504" s="1647"/>
      <c r="BN504" s="1647"/>
      <c r="BO504" s="1647"/>
      <c r="BP504" s="1647"/>
      <c r="BR504" s="1595"/>
      <c r="BS504" s="1595"/>
      <c r="BT504" s="1595"/>
      <c r="BU504" s="1596"/>
    </row>
    <row r="505" spans="1:73" s="1594" customFormat="1" ht="12" hidden="1" customHeight="1" outlineLevel="2">
      <c r="A505" s="1648" t="s">
        <v>291</v>
      </c>
      <c r="B505" s="1585" t="str">
        <f t="shared" ref="B505" si="3140">IF(ISERROR(B503/A503-1),"NA",B503/A503-1)</f>
        <v>NA</v>
      </c>
      <c r="C505" s="1585">
        <f t="shared" ref="C505" si="3141">IF(ISERROR(C503/B503-1),"NA",C503/B503-1)</f>
        <v>4.0080160320641323E-3</v>
      </c>
      <c r="D505" s="1585">
        <f t="shared" ref="D505" si="3142">IF(ISERROR(D503/C503-1),"NA",D503/C503-1)</f>
        <v>-1.2974051896207595E-2</v>
      </c>
      <c r="E505" s="1586">
        <f t="shared" ref="E505" si="3143">IF(ISERROR(E503/D503-1),"NA",E503/D503-1)</f>
        <v>-1.921132457027297E-2</v>
      </c>
      <c r="F505" s="1585">
        <f t="shared" ref="F505" si="3144">IF(ISERROR(F503/E503-1),"NA",F503/E503-1)</f>
        <v>-2.1649484536082508E-2</v>
      </c>
      <c r="G505" s="1585">
        <f t="shared" ref="G505" si="3145">IF(ISERROR(G503/F503-1),"NA",G503/F503-1)</f>
        <v>4.2149631190726566E-3</v>
      </c>
      <c r="H505" s="1585">
        <f t="shared" ref="H505" si="3146">IF(ISERROR(H503/G503-1),"NA",H503/G503-1)</f>
        <v>-1.049317943336836E-2</v>
      </c>
      <c r="I505" s="1586">
        <f t="shared" ref="I505" si="3147">IF(ISERROR(I503/H503-1),"NA",I503/H503-1)</f>
        <v>-1.8027571580063517E-2</v>
      </c>
      <c r="J505" s="1585"/>
      <c r="K505" s="1585"/>
      <c r="L505" s="1585"/>
      <c r="M505" s="1586"/>
      <c r="N505" s="1585"/>
      <c r="O505" s="1585"/>
      <c r="P505" s="1585"/>
      <c r="Q505" s="1586"/>
      <c r="R505" s="1585"/>
      <c r="S505" s="1585"/>
      <c r="T505" s="1585"/>
      <c r="U505" s="1586"/>
      <c r="V505" s="1585"/>
      <c r="W505" s="1585"/>
      <c r="X505" s="1585"/>
      <c r="Y505" s="1586"/>
      <c r="Z505" s="1585"/>
      <c r="AA505" s="1585"/>
      <c r="AB505" s="1585"/>
      <c r="AC505" s="1586"/>
      <c r="AD505" s="1585"/>
      <c r="AE505" s="1585"/>
      <c r="AF505" s="1585"/>
      <c r="AG505" s="1586"/>
      <c r="AH505" s="1587"/>
      <c r="AI505" s="1587"/>
      <c r="AJ505" s="1587"/>
      <c r="AK505" s="1588"/>
      <c r="AL505" s="1587"/>
      <c r="AM505" s="1587"/>
      <c r="AN505" s="1587"/>
      <c r="AO505" s="1588"/>
      <c r="AP505" s="1587"/>
      <c r="AQ505" s="1587"/>
      <c r="AR505" s="1587"/>
      <c r="AS505" s="1588"/>
      <c r="AT505" s="1587"/>
      <c r="AU505" s="1587"/>
      <c r="AV505" s="1587"/>
      <c r="AW505" s="1588"/>
      <c r="AX505" s="1587"/>
      <c r="AY505" s="1587"/>
      <c r="AZ505" s="1587"/>
      <c r="BA505" s="1588"/>
      <c r="BB505" s="1588"/>
      <c r="BC505" s="1590" t="s">
        <v>366</v>
      </c>
      <c r="BD505" s="1590" t="s">
        <v>366</v>
      </c>
      <c r="BE505" s="1590" t="s">
        <v>366</v>
      </c>
      <c r="BF505" s="1591"/>
      <c r="BG505" s="1592"/>
      <c r="BH505" s="1591"/>
      <c r="BI505" s="1647"/>
      <c r="BJ505" s="1647"/>
      <c r="BK505" s="1647"/>
      <c r="BL505" s="1647"/>
      <c r="BM505" s="1647"/>
      <c r="BN505" s="1647"/>
      <c r="BO505" s="1647"/>
      <c r="BP505" s="1647"/>
      <c r="BR505" s="1595"/>
      <c r="BS505" s="1595"/>
      <c r="BT505" s="1595"/>
      <c r="BU505" s="1596"/>
    </row>
    <row r="506" spans="1:73" s="1594" customFormat="1" ht="12" hidden="1" customHeight="1" outlineLevel="2">
      <c r="A506" s="1646" t="s">
        <v>78</v>
      </c>
      <c r="B506" s="1598">
        <v>0.129</v>
      </c>
      <c r="C506" s="1598">
        <v>0.124</v>
      </c>
      <c r="D506" s="1598">
        <v>0.13100000000000001</v>
      </c>
      <c r="E506" s="1599">
        <v>0.128</v>
      </c>
      <c r="F506" s="1598">
        <v>0.129</v>
      </c>
      <c r="G506" s="1598">
        <v>0.126</v>
      </c>
      <c r="H506" s="1598">
        <v>0.129</v>
      </c>
      <c r="I506" s="1599">
        <v>0.126</v>
      </c>
      <c r="J506" s="1598"/>
      <c r="K506" s="1598"/>
      <c r="L506" s="1598"/>
      <c r="M506" s="1599"/>
      <c r="N506" s="1598"/>
      <c r="O506" s="1598"/>
      <c r="P506" s="1598"/>
      <c r="Q506" s="1599"/>
      <c r="R506" s="1585"/>
      <c r="S506" s="1585"/>
      <c r="T506" s="1585"/>
      <c r="U506" s="1586"/>
      <c r="V506" s="1585"/>
      <c r="W506" s="1585"/>
      <c r="X506" s="1585"/>
      <c r="Y506" s="1586"/>
      <c r="Z506" s="1585"/>
      <c r="AA506" s="1585"/>
      <c r="AB506" s="1585"/>
      <c r="AC506" s="1586"/>
      <c r="AD506" s="1585"/>
      <c r="AE506" s="1585"/>
      <c r="AF506" s="1585"/>
      <c r="AG506" s="1586"/>
      <c r="AH506" s="1587"/>
      <c r="AI506" s="1587"/>
      <c r="AJ506" s="1587"/>
      <c r="AK506" s="1588"/>
      <c r="AL506" s="1587"/>
      <c r="AM506" s="1587"/>
      <c r="AN506" s="1587"/>
      <c r="AO506" s="1588"/>
      <c r="AP506" s="1587"/>
      <c r="AQ506" s="1587"/>
      <c r="AR506" s="1587"/>
      <c r="AS506" s="1588"/>
      <c r="AT506" s="1587"/>
      <c r="AU506" s="1587"/>
      <c r="AV506" s="1587"/>
      <c r="AW506" s="1588"/>
      <c r="AX506" s="1587"/>
      <c r="AY506" s="1587"/>
      <c r="AZ506" s="1587"/>
      <c r="BA506" s="1588"/>
      <c r="BB506" s="1588"/>
      <c r="BC506" s="1602">
        <v>0.13</v>
      </c>
      <c r="BD506" s="1603">
        <v>0.128</v>
      </c>
      <c r="BE506" s="1604">
        <v>0.126</v>
      </c>
      <c r="BF506" s="1602"/>
      <c r="BG506" s="1603"/>
      <c r="BH506" s="1604"/>
      <c r="BI506" s="1647"/>
      <c r="BJ506" s="1647"/>
      <c r="BK506" s="1647"/>
      <c r="BL506" s="1647"/>
      <c r="BM506" s="1647"/>
      <c r="BN506" s="1647"/>
      <c r="BO506" s="1647"/>
      <c r="BP506" s="1647"/>
      <c r="BR506" s="1595"/>
      <c r="BS506" s="1595"/>
      <c r="BT506" s="1595"/>
      <c r="BU506" s="1596"/>
    </row>
    <row r="507" spans="1:73" s="1594" customFormat="1" ht="12" hidden="1" customHeight="1" outlineLevel="2">
      <c r="A507" s="1622" t="s">
        <v>181</v>
      </c>
      <c r="B507" s="1607" t="str">
        <f t="shared" ref="B507" si="3148">IF(ISERROR(B506/#REF!-1),"NA",B506/#REF!-1)</f>
        <v>NA</v>
      </c>
      <c r="C507" s="1585" t="str">
        <f t="shared" ref="C507" si="3149">IF(ISERROR(C506/#REF!-1),"NA",C506/#REF!-1)</f>
        <v>NA</v>
      </c>
      <c r="D507" s="1585" t="str">
        <f t="shared" ref="D507" si="3150">IF(ISERROR(D506/#REF!-1),"NA",D506/#REF!-1)</f>
        <v>NA</v>
      </c>
      <c r="E507" s="1586" t="str">
        <f t="shared" ref="E507" si="3151">IF(ISERROR(E506/A506-1),"NA",E506/A506-1)</f>
        <v>NA</v>
      </c>
      <c r="F507" s="1607">
        <f t="shared" ref="F507" si="3152">IF(ISERROR(F506/B506-1),"NA",F506/B506-1)</f>
        <v>0</v>
      </c>
      <c r="G507" s="1585">
        <f t="shared" ref="G507" si="3153">IF(ISERROR(G506/C506-1),"NA",G506/C506-1)</f>
        <v>1.6129032258064502E-2</v>
      </c>
      <c r="H507" s="1585">
        <f t="shared" ref="H507" si="3154">IF(ISERROR(H506/D506-1),"NA",H506/D506-1)</f>
        <v>-1.5267175572519109E-2</v>
      </c>
      <c r="I507" s="1586">
        <f t="shared" ref="I507" si="3155">IF(ISERROR(I506/E506-1),"NA",I506/E506-1)</f>
        <v>-1.5625E-2</v>
      </c>
      <c r="J507" s="1607"/>
      <c r="K507" s="1585"/>
      <c r="L507" s="1585"/>
      <c r="M507" s="1586"/>
      <c r="N507" s="1607"/>
      <c r="O507" s="1585"/>
      <c r="P507" s="1585"/>
      <c r="Q507" s="1586"/>
      <c r="R507" s="1585"/>
      <c r="S507" s="1585"/>
      <c r="T507" s="1585"/>
      <c r="U507" s="1586"/>
      <c r="V507" s="1585"/>
      <c r="W507" s="1585"/>
      <c r="X507" s="1585"/>
      <c r="Y507" s="1586"/>
      <c r="Z507" s="1585"/>
      <c r="AA507" s="1585"/>
      <c r="AB507" s="1585"/>
      <c r="AC507" s="1586"/>
      <c r="AD507" s="1585"/>
      <c r="AE507" s="1585"/>
      <c r="AF507" s="1585"/>
      <c r="AG507" s="1586"/>
      <c r="AH507" s="1587"/>
      <c r="AI507" s="1587"/>
      <c r="AJ507" s="1587"/>
      <c r="AK507" s="1588"/>
      <c r="AL507" s="1587"/>
      <c r="AM507" s="1587"/>
      <c r="AN507" s="1587"/>
      <c r="AO507" s="1588"/>
      <c r="AP507" s="1587"/>
      <c r="AQ507" s="1587"/>
      <c r="AR507" s="1587"/>
      <c r="AS507" s="1588"/>
      <c r="AT507" s="1587"/>
      <c r="AU507" s="1587"/>
      <c r="AV507" s="1587"/>
      <c r="AW507" s="1588"/>
      <c r="AX507" s="1587"/>
      <c r="AY507" s="1587"/>
      <c r="AZ507" s="1587"/>
      <c r="BA507" s="1588"/>
      <c r="BB507" s="1588"/>
      <c r="BC507" s="1608" t="str">
        <f t="shared" ref="BC507" si="3156">IF(ISERROR(BC506/BB506-1),"NA",BC506/BB506-1)</f>
        <v>NA</v>
      </c>
      <c r="BD507" s="1608">
        <f t="shared" ref="BD507" si="3157">IF(ISERROR(BD506/BC506-1),"NA",BD506/BC506-1)</f>
        <v>-1.5384615384615441E-2</v>
      </c>
      <c r="BE507" s="1608">
        <f t="shared" ref="BE507" si="3158">IF(ISERROR(BE506/BD506-1),"NA",BE506/BD506-1)</f>
        <v>-1.5625E-2</v>
      </c>
      <c r="BF507" s="1591"/>
      <c r="BG507" s="1592"/>
      <c r="BH507" s="1591"/>
      <c r="BI507" s="1647"/>
      <c r="BJ507" s="1647"/>
      <c r="BK507" s="1647"/>
      <c r="BL507" s="1647"/>
      <c r="BM507" s="1647"/>
      <c r="BN507" s="1647"/>
      <c r="BO507" s="1647"/>
      <c r="BP507" s="1647"/>
      <c r="BR507" s="1595"/>
      <c r="BS507" s="1595"/>
      <c r="BT507" s="1595"/>
      <c r="BU507" s="1596"/>
    </row>
    <row r="508" spans="1:73" s="1594" customFormat="1" ht="12" hidden="1" customHeight="1" outlineLevel="2">
      <c r="A508" s="1648" t="s">
        <v>291</v>
      </c>
      <c r="B508" s="1585" t="str">
        <f t="shared" ref="B508" si="3159">IF(ISERROR(B506/A506-1),"NA",B506/A506-1)</f>
        <v>NA</v>
      </c>
      <c r="C508" s="1585">
        <f t="shared" ref="C508" si="3160">IF(ISERROR(C506/B506-1),"NA",C506/B506-1)</f>
        <v>-3.8759689922480689E-2</v>
      </c>
      <c r="D508" s="1585">
        <f t="shared" ref="D508" si="3161">IF(ISERROR(D506/C506-1),"NA",D506/C506-1)</f>
        <v>5.6451612903225756E-2</v>
      </c>
      <c r="E508" s="1586">
        <f t="shared" ref="E508" si="3162">IF(ISERROR(E506/D506-1),"NA",E506/D506-1)</f>
        <v>-2.2900763358778664E-2</v>
      </c>
      <c r="F508" s="1585">
        <f t="shared" ref="F508" si="3163">IF(ISERROR(F506/E506-1),"NA",F506/E506-1)</f>
        <v>7.8125E-3</v>
      </c>
      <c r="G508" s="1585">
        <f t="shared" ref="G508" si="3164">IF(ISERROR(G506/F506-1),"NA",G506/F506-1)</f>
        <v>-2.3255813953488413E-2</v>
      </c>
      <c r="H508" s="1585">
        <f t="shared" ref="H508" si="3165">IF(ISERROR(H506/G506-1),"NA",H506/G506-1)</f>
        <v>2.3809523809523725E-2</v>
      </c>
      <c r="I508" s="1586">
        <f t="shared" ref="I508" si="3166">IF(ISERROR(I506/H506-1),"NA",I506/H506-1)</f>
        <v>-2.3255813953488413E-2</v>
      </c>
      <c r="J508" s="1585"/>
      <c r="K508" s="1585"/>
      <c r="L508" s="1585"/>
      <c r="M508" s="1586"/>
      <c r="N508" s="1585"/>
      <c r="O508" s="1585"/>
      <c r="P508" s="1585"/>
      <c r="Q508" s="1586"/>
      <c r="R508" s="1585"/>
      <c r="S508" s="1585"/>
      <c r="T508" s="1585"/>
      <c r="U508" s="1586"/>
      <c r="V508" s="1585"/>
      <c r="W508" s="1585"/>
      <c r="X508" s="1585"/>
      <c r="Y508" s="1586"/>
      <c r="Z508" s="1585"/>
      <c r="AA508" s="1585"/>
      <c r="AB508" s="1585"/>
      <c r="AC508" s="1586"/>
      <c r="AD508" s="1585"/>
      <c r="AE508" s="1585"/>
      <c r="AF508" s="1585"/>
      <c r="AG508" s="1586"/>
      <c r="AH508" s="1587"/>
      <c r="AI508" s="1587"/>
      <c r="AJ508" s="1587"/>
      <c r="AK508" s="1588"/>
      <c r="AL508" s="1587"/>
      <c r="AM508" s="1587"/>
      <c r="AN508" s="1587"/>
      <c r="AO508" s="1588"/>
      <c r="AP508" s="1587"/>
      <c r="AQ508" s="1587"/>
      <c r="AR508" s="1587"/>
      <c r="AS508" s="1588"/>
      <c r="AT508" s="1587"/>
      <c r="AU508" s="1587"/>
      <c r="AV508" s="1587"/>
      <c r="AW508" s="1588"/>
      <c r="AX508" s="1587"/>
      <c r="AY508" s="1587"/>
      <c r="AZ508" s="1587"/>
      <c r="BA508" s="1588"/>
      <c r="BB508" s="1588"/>
      <c r="BC508" s="1590" t="s">
        <v>366</v>
      </c>
      <c r="BD508" s="1590" t="s">
        <v>366</v>
      </c>
      <c r="BE508" s="1590" t="s">
        <v>366</v>
      </c>
      <c r="BF508" s="1591"/>
      <c r="BG508" s="1592"/>
      <c r="BH508" s="1591"/>
      <c r="BI508" s="1647"/>
      <c r="BJ508" s="1647"/>
      <c r="BK508" s="1647"/>
      <c r="BL508" s="1647"/>
      <c r="BM508" s="1647"/>
      <c r="BN508" s="1647"/>
      <c r="BO508" s="1647"/>
      <c r="BP508" s="1647"/>
      <c r="BR508" s="1595"/>
      <c r="BS508" s="1595"/>
      <c r="BT508" s="1595"/>
      <c r="BU508" s="1596"/>
    </row>
    <row r="509" spans="1:73" s="1594" customFormat="1" ht="12" hidden="1" customHeight="1" outlineLevel="2">
      <c r="A509" s="1646" t="s">
        <v>79</v>
      </c>
      <c r="B509" s="1598">
        <v>5.86</v>
      </c>
      <c r="C509" s="1598">
        <v>5.4349999999999996</v>
      </c>
      <c r="D509" s="1598">
        <v>5.7560000000000002</v>
      </c>
      <c r="E509" s="1599">
        <v>5.891</v>
      </c>
      <c r="F509" s="1598">
        <v>5.8289999999999997</v>
      </c>
      <c r="G509" s="1598">
        <v>5.4470000000000001</v>
      </c>
      <c r="H509" s="1598">
        <v>5.7229999999999999</v>
      </c>
      <c r="I509" s="1599">
        <v>6.0810000000000004</v>
      </c>
      <c r="J509" s="1598"/>
      <c r="K509" s="1598"/>
      <c r="L509" s="1598"/>
      <c r="M509" s="1599"/>
      <c r="N509" s="1598"/>
      <c r="O509" s="1598"/>
      <c r="P509" s="1598"/>
      <c r="Q509" s="1599"/>
      <c r="R509" s="1585"/>
      <c r="S509" s="1585"/>
      <c r="T509" s="1585"/>
      <c r="U509" s="1586"/>
      <c r="V509" s="1585"/>
      <c r="W509" s="1585"/>
      <c r="X509" s="1585"/>
      <c r="Y509" s="1586"/>
      <c r="Z509" s="1585"/>
      <c r="AA509" s="1585"/>
      <c r="AB509" s="1585"/>
      <c r="AC509" s="1586"/>
      <c r="AD509" s="1585"/>
      <c r="AE509" s="1585"/>
      <c r="AF509" s="1585"/>
      <c r="AG509" s="1586"/>
      <c r="AH509" s="1587"/>
      <c r="AI509" s="1587"/>
      <c r="AJ509" s="1587"/>
      <c r="AK509" s="1588"/>
      <c r="AL509" s="1587"/>
      <c r="AM509" s="1587"/>
      <c r="AN509" s="1587"/>
      <c r="AO509" s="1588"/>
      <c r="AP509" s="1587"/>
      <c r="AQ509" s="1587"/>
      <c r="AR509" s="1587"/>
      <c r="AS509" s="1588"/>
      <c r="AT509" s="1587"/>
      <c r="AU509" s="1587"/>
      <c r="AV509" s="1587"/>
      <c r="AW509" s="1588"/>
      <c r="AX509" s="1587"/>
      <c r="AY509" s="1587"/>
      <c r="AZ509" s="1587"/>
      <c r="BA509" s="1588"/>
      <c r="BB509" s="1588"/>
      <c r="BC509" s="1602">
        <v>24.314</v>
      </c>
      <c r="BD509" s="1603">
        <v>22.942</v>
      </c>
      <c r="BE509" s="1604">
        <v>23.08</v>
      </c>
      <c r="BF509" s="1602"/>
      <c r="BG509" s="1603"/>
      <c r="BH509" s="1604"/>
      <c r="BI509" s="1647"/>
      <c r="BJ509" s="1647"/>
      <c r="BK509" s="1647"/>
      <c r="BL509" s="1647"/>
      <c r="BM509" s="1647"/>
      <c r="BN509" s="1647"/>
      <c r="BO509" s="1647"/>
      <c r="BP509" s="1647"/>
      <c r="BR509" s="1595"/>
      <c r="BS509" s="1595"/>
      <c r="BT509" s="1595"/>
      <c r="BU509" s="1596"/>
    </row>
    <row r="510" spans="1:73" s="1594" customFormat="1" ht="12" hidden="1" customHeight="1" outlineLevel="2">
      <c r="A510" s="1622" t="s">
        <v>181</v>
      </c>
      <c r="B510" s="1607" t="str">
        <f t="shared" ref="B510" si="3167">IF(ISERROR(B509/#REF!-1),"NA",B509/#REF!-1)</f>
        <v>NA</v>
      </c>
      <c r="C510" s="1585" t="str">
        <f t="shared" ref="C510" si="3168">IF(ISERROR(C509/#REF!-1),"NA",C509/#REF!-1)</f>
        <v>NA</v>
      </c>
      <c r="D510" s="1585" t="str">
        <f t="shared" ref="D510" si="3169">IF(ISERROR(D509/#REF!-1),"NA",D509/#REF!-1)</f>
        <v>NA</v>
      </c>
      <c r="E510" s="1586" t="str">
        <f t="shared" ref="E510" si="3170">IF(ISERROR(E509/A509-1),"NA",E509/A509-1)</f>
        <v>NA</v>
      </c>
      <c r="F510" s="1607">
        <f t="shared" ref="F510" si="3171">IF(ISERROR(F509/B509-1),"NA",F509/B509-1)</f>
        <v>-5.2901023890785659E-3</v>
      </c>
      <c r="G510" s="1585">
        <f t="shared" ref="G510" si="3172">IF(ISERROR(G509/C509-1),"NA",G509/C509-1)</f>
        <v>2.2079116835327373E-3</v>
      </c>
      <c r="H510" s="1585">
        <f t="shared" ref="H510" si="3173">IF(ISERROR(H509/D509-1),"NA",H509/D509-1)</f>
        <v>-5.733148019458012E-3</v>
      </c>
      <c r="I510" s="1586">
        <f t="shared" ref="I510" si="3174">IF(ISERROR(I509/E509-1),"NA",I509/E509-1)</f>
        <v>3.2252588694619E-2</v>
      </c>
      <c r="J510" s="1607"/>
      <c r="K510" s="1585"/>
      <c r="L510" s="1585"/>
      <c r="M510" s="1586"/>
      <c r="N510" s="1607"/>
      <c r="O510" s="1585"/>
      <c r="P510" s="1585"/>
      <c r="Q510" s="1586"/>
      <c r="R510" s="1585"/>
      <c r="S510" s="1585"/>
      <c r="T510" s="1585"/>
      <c r="U510" s="1586"/>
      <c r="V510" s="1585"/>
      <c r="W510" s="1585"/>
      <c r="X510" s="1585"/>
      <c r="Y510" s="1586"/>
      <c r="Z510" s="1585"/>
      <c r="AA510" s="1585"/>
      <c r="AB510" s="1585"/>
      <c r="AC510" s="1586"/>
      <c r="AD510" s="1585"/>
      <c r="AE510" s="1585"/>
      <c r="AF510" s="1585"/>
      <c r="AG510" s="1586"/>
      <c r="AH510" s="1587"/>
      <c r="AI510" s="1587"/>
      <c r="AJ510" s="1587"/>
      <c r="AK510" s="1588"/>
      <c r="AL510" s="1587"/>
      <c r="AM510" s="1587"/>
      <c r="AN510" s="1587"/>
      <c r="AO510" s="1588"/>
      <c r="AP510" s="1587"/>
      <c r="AQ510" s="1587"/>
      <c r="AR510" s="1587"/>
      <c r="AS510" s="1588"/>
      <c r="AT510" s="1587"/>
      <c r="AU510" s="1587"/>
      <c r="AV510" s="1587"/>
      <c r="AW510" s="1588"/>
      <c r="AX510" s="1587"/>
      <c r="AY510" s="1587"/>
      <c r="AZ510" s="1587"/>
      <c r="BA510" s="1588"/>
      <c r="BB510" s="1588"/>
      <c r="BC510" s="1608" t="str">
        <f t="shared" ref="BC510" si="3175">IF(ISERROR(BC509/BB509-1),"NA",BC509/BB509-1)</f>
        <v>NA</v>
      </c>
      <c r="BD510" s="1608">
        <f t="shared" ref="BD510" si="3176">IF(ISERROR(BD509/BC509-1),"NA",BD509/BC509-1)</f>
        <v>-5.6428395163280465E-2</v>
      </c>
      <c r="BE510" s="1608">
        <f t="shared" ref="BE510" si="3177">IF(ISERROR(BE509/BD509-1),"NA",BE509/BD509-1)</f>
        <v>6.0151686862521814E-3</v>
      </c>
      <c r="BF510" s="1591"/>
      <c r="BG510" s="1592"/>
      <c r="BH510" s="1591"/>
      <c r="BI510" s="1647"/>
      <c r="BJ510" s="1647"/>
      <c r="BK510" s="1647"/>
      <c r="BL510" s="1647"/>
      <c r="BM510" s="1647"/>
      <c r="BN510" s="1647"/>
      <c r="BO510" s="1647"/>
      <c r="BP510" s="1647"/>
      <c r="BR510" s="1595"/>
      <c r="BS510" s="1595"/>
      <c r="BT510" s="1595"/>
      <c r="BU510" s="1596"/>
    </row>
    <row r="511" spans="1:73" s="1594" customFormat="1" ht="12" hidden="1" customHeight="1" outlineLevel="2">
      <c r="A511" s="1648" t="s">
        <v>291</v>
      </c>
      <c r="B511" s="1585" t="str">
        <f t="shared" ref="B511" si="3178">IF(ISERROR(B509/A509-1),"NA",B509/A509-1)</f>
        <v>NA</v>
      </c>
      <c r="C511" s="1585">
        <f t="shared" ref="C511" si="3179">IF(ISERROR(C509/B509-1),"NA",C509/B509-1)</f>
        <v>-7.2525597269624709E-2</v>
      </c>
      <c r="D511" s="1585">
        <f t="shared" ref="D511" si="3180">IF(ISERROR(D509/C509-1),"NA",D509/C509-1)</f>
        <v>5.9061637534498779E-2</v>
      </c>
      <c r="E511" s="1586">
        <f t="shared" ref="E511" si="3181">IF(ISERROR(E509/D509-1),"NA",E509/D509-1)</f>
        <v>2.3453787352327948E-2</v>
      </c>
      <c r="F511" s="1585">
        <f t="shared" ref="F511" si="3182">IF(ISERROR(F509/E509-1),"NA",F509/E509-1)</f>
        <v>-1.0524528942454592E-2</v>
      </c>
      <c r="G511" s="1585">
        <f t="shared" ref="G511" si="3183">IF(ISERROR(G509/F509-1),"NA",G509/F509-1)</f>
        <v>-6.553439698061414E-2</v>
      </c>
      <c r="H511" s="1585">
        <f t="shared" ref="H511" si="3184">IF(ISERROR(H509/G509-1),"NA",H509/G509-1)</f>
        <v>5.0670093629520796E-2</v>
      </c>
      <c r="I511" s="1586">
        <f t="shared" ref="I511" si="3185">IF(ISERROR(I509/H509-1),"NA",I509/H509-1)</f>
        <v>6.2554604228551636E-2</v>
      </c>
      <c r="J511" s="1585"/>
      <c r="K511" s="1585"/>
      <c r="L511" s="1585"/>
      <c r="M511" s="1586"/>
      <c r="N511" s="1585"/>
      <c r="O511" s="1585"/>
      <c r="P511" s="1585"/>
      <c r="Q511" s="1586"/>
      <c r="R511" s="1585"/>
      <c r="S511" s="1585"/>
      <c r="T511" s="1585"/>
      <c r="U511" s="1586"/>
      <c r="V511" s="1585"/>
      <c r="W511" s="1585"/>
      <c r="X511" s="1585"/>
      <c r="Y511" s="1586"/>
      <c r="Z511" s="1585"/>
      <c r="AA511" s="1585"/>
      <c r="AB511" s="1585"/>
      <c r="AC511" s="1586"/>
      <c r="AD511" s="1585"/>
      <c r="AE511" s="1585"/>
      <c r="AF511" s="1585"/>
      <c r="AG511" s="1586"/>
      <c r="AH511" s="1587"/>
      <c r="AI511" s="1587"/>
      <c r="AJ511" s="1587"/>
      <c r="AK511" s="1588"/>
      <c r="AL511" s="1587"/>
      <c r="AM511" s="1587"/>
      <c r="AN511" s="1587"/>
      <c r="AO511" s="1588"/>
      <c r="AP511" s="1587"/>
      <c r="AQ511" s="1587"/>
      <c r="AR511" s="1587"/>
      <c r="AS511" s="1588"/>
      <c r="AT511" s="1587"/>
      <c r="AU511" s="1587"/>
      <c r="AV511" s="1587"/>
      <c r="AW511" s="1588"/>
      <c r="AX511" s="1587"/>
      <c r="AY511" s="1587"/>
      <c r="AZ511" s="1587"/>
      <c r="BA511" s="1588"/>
      <c r="BB511" s="1588"/>
      <c r="BC511" s="1590" t="s">
        <v>366</v>
      </c>
      <c r="BD511" s="1590" t="s">
        <v>366</v>
      </c>
      <c r="BE511" s="1590" t="s">
        <v>366</v>
      </c>
      <c r="BF511" s="1591"/>
      <c r="BG511" s="1592"/>
      <c r="BH511" s="1591"/>
      <c r="BI511" s="1647"/>
      <c r="BJ511" s="1647"/>
      <c r="BK511" s="1647"/>
      <c r="BL511" s="1647"/>
      <c r="BM511" s="1647"/>
      <c r="BN511" s="1647"/>
      <c r="BO511" s="1647"/>
      <c r="BP511" s="1647"/>
      <c r="BR511" s="1595"/>
      <c r="BS511" s="1595"/>
      <c r="BT511" s="1595"/>
      <c r="BU511" s="1596"/>
    </row>
    <row r="512" spans="1:73" s="1594" customFormat="1" ht="12" hidden="1" customHeight="1" outlineLevel="2" collapsed="1">
      <c r="A512" s="1610"/>
      <c r="B512" s="1585"/>
      <c r="C512" s="1585"/>
      <c r="D512" s="1585"/>
      <c r="E512" s="1586"/>
      <c r="F512" s="1585"/>
      <c r="G512" s="1585"/>
      <c r="H512" s="1585"/>
      <c r="I512" s="1586"/>
      <c r="J512" s="1585"/>
      <c r="K512" s="1585"/>
      <c r="L512" s="1585"/>
      <c r="M512" s="1586"/>
      <c r="N512" s="1585"/>
      <c r="O512" s="1585"/>
      <c r="P512" s="1585"/>
      <c r="Q512" s="1586"/>
      <c r="R512" s="1585"/>
      <c r="S512" s="1585"/>
      <c r="T512" s="1585"/>
      <c r="U512" s="1586"/>
      <c r="V512" s="1585"/>
      <c r="W512" s="1585"/>
      <c r="X512" s="1585"/>
      <c r="Y512" s="1586"/>
      <c r="Z512" s="1585"/>
      <c r="AA512" s="1585"/>
      <c r="AB512" s="1585"/>
      <c r="AC512" s="1586"/>
      <c r="AD512" s="1585"/>
      <c r="AE512" s="1585"/>
      <c r="AF512" s="1585"/>
      <c r="AG512" s="1586"/>
      <c r="AH512" s="1587"/>
      <c r="AI512" s="1587"/>
      <c r="AJ512" s="1587"/>
      <c r="AK512" s="1588"/>
      <c r="AL512" s="1587"/>
      <c r="AM512" s="1587"/>
      <c r="AN512" s="1587"/>
      <c r="AO512" s="1588"/>
      <c r="AP512" s="1587"/>
      <c r="AQ512" s="1587"/>
      <c r="AR512" s="1587"/>
      <c r="AS512" s="1588"/>
      <c r="AT512" s="1587"/>
      <c r="AU512" s="1587"/>
      <c r="AV512" s="1587"/>
      <c r="AW512" s="1588"/>
      <c r="AX512" s="1587"/>
      <c r="AY512" s="1587"/>
      <c r="AZ512" s="1587"/>
      <c r="BA512" s="1588"/>
      <c r="BB512" s="1588"/>
      <c r="BC512" s="1589"/>
      <c r="BD512" s="1649"/>
      <c r="BE512" s="1591"/>
      <c r="BF512" s="1591"/>
      <c r="BG512" s="1592"/>
      <c r="BH512" s="1591"/>
      <c r="BI512" s="1647"/>
      <c r="BJ512" s="1647"/>
      <c r="BK512" s="1647"/>
      <c r="BL512" s="1647"/>
      <c r="BM512" s="1647"/>
      <c r="BN512" s="1647"/>
      <c r="BO512" s="1647"/>
      <c r="BP512" s="1647"/>
      <c r="BR512" s="1595"/>
      <c r="BS512" s="1595"/>
      <c r="BT512" s="1595"/>
      <c r="BU512" s="1596"/>
    </row>
    <row r="513" spans="1:73" s="1594" customFormat="1" ht="12" hidden="1" customHeight="1" outlineLevel="2">
      <c r="A513" s="1597" t="s">
        <v>80</v>
      </c>
      <c r="B513" s="1598">
        <v>1.6240000000000001</v>
      </c>
      <c r="C513" s="1598">
        <v>1.81</v>
      </c>
      <c r="D513" s="1598">
        <v>2.012</v>
      </c>
      <c r="E513" s="1599">
        <v>2.113</v>
      </c>
      <c r="F513" s="1598">
        <v>2.153</v>
      </c>
      <c r="G513" s="1598">
        <v>2.4340000000000002</v>
      </c>
      <c r="H513" s="1598">
        <v>2.8159999999999998</v>
      </c>
      <c r="I513" s="1599">
        <v>2.9630000000000001</v>
      </c>
      <c r="J513" s="1598">
        <v>3.032</v>
      </c>
      <c r="K513" s="1598">
        <v>3.383</v>
      </c>
      <c r="L513" s="1598">
        <v>3.8290000000000002</v>
      </c>
      <c r="M513" s="1599">
        <v>4.0039999999999996</v>
      </c>
      <c r="N513" s="1598">
        <v>4.093</v>
      </c>
      <c r="O513" s="1598">
        <v>4.468</v>
      </c>
      <c r="P513" s="1598">
        <v>4.91</v>
      </c>
      <c r="Q513" s="1599">
        <v>5.157</v>
      </c>
      <c r="R513" s="1585"/>
      <c r="S513" s="1585"/>
      <c r="T513" s="1585"/>
      <c r="U513" s="1586"/>
      <c r="V513" s="1585"/>
      <c r="W513" s="1585"/>
      <c r="X513" s="1585"/>
      <c r="Y513" s="1586"/>
      <c r="Z513" s="1585"/>
      <c r="AA513" s="1585"/>
      <c r="AB513" s="1585"/>
      <c r="AC513" s="1586"/>
      <c r="AD513" s="1585"/>
      <c r="AE513" s="1585"/>
      <c r="AF513" s="1585"/>
      <c r="AG513" s="1586"/>
      <c r="AH513" s="1587"/>
      <c r="AI513" s="1587"/>
      <c r="AJ513" s="1587"/>
      <c r="AK513" s="1588"/>
      <c r="AL513" s="1587"/>
      <c r="AM513" s="1587"/>
      <c r="AN513" s="1587"/>
      <c r="AO513" s="1588"/>
      <c r="AP513" s="1587"/>
      <c r="AQ513" s="1587"/>
      <c r="AR513" s="1587"/>
      <c r="AS513" s="1588"/>
      <c r="AT513" s="1587"/>
      <c r="AU513" s="1587"/>
      <c r="AV513" s="1587"/>
      <c r="AW513" s="1588"/>
      <c r="AX513" s="1587"/>
      <c r="AY513" s="1587"/>
      <c r="AZ513" s="1587"/>
      <c r="BA513" s="1588"/>
      <c r="BB513" s="1588"/>
      <c r="BC513" s="1602">
        <v>2.2759999999999998</v>
      </c>
      <c r="BD513" s="1603">
        <v>2.7949999999999999</v>
      </c>
      <c r="BE513" s="1604">
        <v>3.621</v>
      </c>
      <c r="BF513" s="1602">
        <v>4.5460000000000003</v>
      </c>
      <c r="BG513" s="1603">
        <v>5.7119999999999997</v>
      </c>
      <c r="BH513" s="1604">
        <v>6.1280000000000001</v>
      </c>
      <c r="BI513" s="1647"/>
      <c r="BJ513" s="1647"/>
      <c r="BK513" s="1647"/>
      <c r="BL513" s="1647"/>
      <c r="BM513" s="1647"/>
      <c r="BN513" s="1647"/>
      <c r="BO513" s="1647"/>
      <c r="BP513" s="1647"/>
      <c r="BR513" s="1595"/>
      <c r="BS513" s="1595"/>
      <c r="BT513" s="1595"/>
      <c r="BU513" s="1596"/>
    </row>
    <row r="514" spans="1:73" s="1594" customFormat="1" ht="12" hidden="1" customHeight="1" outlineLevel="2">
      <c r="A514" s="1606" t="s">
        <v>181</v>
      </c>
      <c r="B514" s="1607" t="str">
        <f t="shared" ref="B514:D514" si="3186">IF(ISERROR(B513/#REF!-1),"NA",B513/#REF!-1)</f>
        <v>NA</v>
      </c>
      <c r="C514" s="1585" t="str">
        <f t="shared" si="3186"/>
        <v>NA</v>
      </c>
      <c r="D514" s="1585" t="str">
        <f t="shared" si="3186"/>
        <v>NA</v>
      </c>
      <c r="E514" s="1586" t="str">
        <f t="shared" ref="E514" si="3187">IF(ISERROR(E513/A513-1),"NA",E513/A513-1)</f>
        <v>NA</v>
      </c>
      <c r="F514" s="1607">
        <f t="shared" ref="F514" si="3188">IF(ISERROR(F513/B513-1),"NA",F513/B513-1)</f>
        <v>0.32573891625615747</v>
      </c>
      <c r="G514" s="1585">
        <f t="shared" ref="G514" si="3189">IF(ISERROR(G513/C513-1),"NA",G513/C513-1)</f>
        <v>0.34475138121546967</v>
      </c>
      <c r="H514" s="1585">
        <f t="shared" ref="H514" si="3190">IF(ISERROR(H513/D513-1),"NA",H513/D513-1)</f>
        <v>0.39960238568588458</v>
      </c>
      <c r="I514" s="1586">
        <f t="shared" ref="I514" si="3191">IF(ISERROR(I513/E513-1),"NA",I513/E513-1)</f>
        <v>0.40227165168007573</v>
      </c>
      <c r="J514" s="1607">
        <f t="shared" ref="J514" si="3192">IF(ISERROR(J513/F513-1),"NA",J513/F513-1)</f>
        <v>0.40826753367394342</v>
      </c>
      <c r="K514" s="1585">
        <f t="shared" ref="K514" si="3193">IF(ISERROR(K513/G513-1),"NA",K513/G513-1)</f>
        <v>0.38989317995069839</v>
      </c>
      <c r="L514" s="1585">
        <f t="shared" ref="L514" si="3194">IF(ISERROR(L513/H513-1),"NA",L513/H513-1)</f>
        <v>0.35973011363636376</v>
      </c>
      <c r="M514" s="1586">
        <f t="shared" ref="M514" si="3195">IF(ISERROR(M513/I513-1),"NA",M513/I513-1)</f>
        <v>0.35133310833614551</v>
      </c>
      <c r="N514" s="1607">
        <f t="shared" ref="N514" si="3196">IF(ISERROR(N513/J513-1),"NA",N513/J513-1)</f>
        <v>0.34993403693931402</v>
      </c>
      <c r="O514" s="1585">
        <f t="shared" ref="O514" si="3197">IF(ISERROR(O513/K513-1),"NA",O513/K513-1)</f>
        <v>0.32072125332545087</v>
      </c>
      <c r="P514" s="1585">
        <f t="shared" ref="P514" si="3198">IF(ISERROR(P513/L513-1),"NA",P513/L513-1)</f>
        <v>0.2823191433794725</v>
      </c>
      <c r="Q514" s="1586">
        <f t="shared" ref="Q514" si="3199">IF(ISERROR(Q513/M513-1),"NA",Q513/M513-1)</f>
        <v>0.28796203796203801</v>
      </c>
      <c r="R514" s="1585"/>
      <c r="S514" s="1585"/>
      <c r="T514" s="1585"/>
      <c r="U514" s="1586"/>
      <c r="V514" s="1585"/>
      <c r="W514" s="1585"/>
      <c r="X514" s="1585"/>
      <c r="Y514" s="1586"/>
      <c r="Z514" s="1585"/>
      <c r="AA514" s="1585"/>
      <c r="AB514" s="1585"/>
      <c r="AC514" s="1586"/>
      <c r="AD514" s="1585"/>
      <c r="AE514" s="1585"/>
      <c r="AF514" s="1585"/>
      <c r="AG514" s="1586"/>
      <c r="AH514" s="1587"/>
      <c r="AI514" s="1587"/>
      <c r="AJ514" s="1587"/>
      <c r="AK514" s="1588"/>
      <c r="AL514" s="1587"/>
      <c r="AM514" s="1587"/>
      <c r="AN514" s="1587"/>
      <c r="AO514" s="1588"/>
      <c r="AP514" s="1587"/>
      <c r="AQ514" s="1587"/>
      <c r="AR514" s="1587"/>
      <c r="AS514" s="1588"/>
      <c r="AT514" s="1587"/>
      <c r="AU514" s="1587"/>
      <c r="AV514" s="1587"/>
      <c r="AW514" s="1588"/>
      <c r="AX514" s="1587"/>
      <c r="AY514" s="1587"/>
      <c r="AZ514" s="1587"/>
      <c r="BA514" s="1588"/>
      <c r="BB514" s="1588"/>
      <c r="BC514" s="1608" t="str">
        <f t="shared" ref="BC514" si="3200">IF(ISERROR(BC513/BB513-1),"NA",BC513/BB513-1)</f>
        <v>NA</v>
      </c>
      <c r="BD514" s="1608">
        <f t="shared" ref="BD514" si="3201">IF(ISERROR(BD513/BC513-1),"NA",BD513/BC513-1)</f>
        <v>0.22803163444639729</v>
      </c>
      <c r="BE514" s="1608">
        <f t="shared" ref="BE514" si="3202">IF(ISERROR(BE513/BD513-1),"NA",BE513/BD513-1)</f>
        <v>0.29552772808586769</v>
      </c>
      <c r="BF514" s="1608">
        <f t="shared" ref="BF514" si="3203">IF(ISERROR(BF513/BE513-1),"NA",BF513/BE513-1)</f>
        <v>0.25545429439381384</v>
      </c>
      <c r="BG514" s="1608">
        <f t="shared" ref="BG514" si="3204">IF(ISERROR(BG513/BF513-1),"NA",BG513/BF513-1)</f>
        <v>0.25648922129344465</v>
      </c>
      <c r="BH514" s="1608">
        <f t="shared" ref="BH514" si="3205">IF(ISERROR(BH513/BG513-1),"NA",BH513/BG513-1)</f>
        <v>7.2829131652661028E-2</v>
      </c>
      <c r="BI514" s="1647"/>
      <c r="BJ514" s="1647"/>
      <c r="BK514" s="1647"/>
      <c r="BL514" s="1647"/>
      <c r="BM514" s="1647"/>
      <c r="BN514" s="1647"/>
      <c r="BO514" s="1647"/>
      <c r="BP514" s="1647"/>
      <c r="BR514" s="1595"/>
      <c r="BS514" s="1595"/>
      <c r="BT514" s="1595"/>
      <c r="BU514" s="1596"/>
    </row>
    <row r="515" spans="1:73" s="1594" customFormat="1" ht="12" hidden="1" customHeight="1" outlineLevel="2">
      <c r="A515" s="1609" t="s">
        <v>291</v>
      </c>
      <c r="B515" s="1585" t="str">
        <f t="shared" ref="B515" si="3206">IF(ISERROR(B513/A513-1),"NA",B513/A513-1)</f>
        <v>NA</v>
      </c>
      <c r="C515" s="1585">
        <f t="shared" ref="C515" si="3207">IF(ISERROR(C513/B513-1),"NA",C513/B513-1)</f>
        <v>0.1145320197044335</v>
      </c>
      <c r="D515" s="1585">
        <f t="shared" ref="D515" si="3208">IF(ISERROR(D513/C513-1),"NA",D513/C513-1)</f>
        <v>0.11160220994475134</v>
      </c>
      <c r="E515" s="1586">
        <f t="shared" ref="E515" si="3209">IF(ISERROR(E513/D513-1),"NA",E513/D513-1)</f>
        <v>5.0198807157057601E-2</v>
      </c>
      <c r="F515" s="1585">
        <f t="shared" ref="F515" si="3210">IF(ISERROR(F513/E513-1),"NA",F513/E513-1)</f>
        <v>1.8930430667297715E-2</v>
      </c>
      <c r="G515" s="1585">
        <f t="shared" ref="G515" si="3211">IF(ISERROR(G513/F513-1),"NA",G513/F513-1)</f>
        <v>0.13051555968416162</v>
      </c>
      <c r="H515" s="1585">
        <f t="shared" ref="H515" si="3212">IF(ISERROR(H513/G513-1),"NA",H513/G513-1)</f>
        <v>0.15694330320460126</v>
      </c>
      <c r="I515" s="1586">
        <f t="shared" ref="I515" si="3213">IF(ISERROR(I513/H513-1),"NA",I513/H513-1)</f>
        <v>5.2201704545454586E-2</v>
      </c>
      <c r="J515" s="1585">
        <f t="shared" ref="J515" si="3214">IF(ISERROR(J513/I513-1),"NA",J513/I513-1)</f>
        <v>2.3287208909888557E-2</v>
      </c>
      <c r="K515" s="1585">
        <f t="shared" ref="K515" si="3215">IF(ISERROR(K513/J513-1),"NA",K513/J513-1)</f>
        <v>0.11576517150395782</v>
      </c>
      <c r="L515" s="1585">
        <f t="shared" ref="L515" si="3216">IF(ISERROR(L513/K513-1),"NA",L513/K513-1)</f>
        <v>0.13183564883239729</v>
      </c>
      <c r="M515" s="1586">
        <f t="shared" ref="M515" si="3217">IF(ISERROR(M513/L513-1),"NA",M513/L513-1)</f>
        <v>4.5703839122486212E-2</v>
      </c>
      <c r="N515" s="1585">
        <f t="shared" ref="N515" si="3218">IF(ISERROR(N513/M513-1),"NA",N513/M513-1)</f>
        <v>2.2227772227772391E-2</v>
      </c>
      <c r="O515" s="1585">
        <f t="shared" ref="O515" si="3219">IF(ISERROR(O513/N513-1),"NA",O513/N513-1)</f>
        <v>9.1619838749083859E-2</v>
      </c>
      <c r="P515" s="1585">
        <f t="shared" ref="P515" si="3220">IF(ISERROR(P513/O513-1),"NA",P513/O513-1)</f>
        <v>9.8925693822739413E-2</v>
      </c>
      <c r="Q515" s="1586">
        <f t="shared" ref="Q515" si="3221">IF(ISERROR(Q513/P513-1),"NA",Q513/P513-1)</f>
        <v>5.0305498981670027E-2</v>
      </c>
      <c r="R515" s="1585"/>
      <c r="S515" s="1585"/>
      <c r="T515" s="1585"/>
      <c r="U515" s="1586"/>
      <c r="V515" s="1585"/>
      <c r="W515" s="1585"/>
      <c r="X515" s="1585"/>
      <c r="Y515" s="1586"/>
      <c r="Z515" s="1585"/>
      <c r="AA515" s="1585"/>
      <c r="AB515" s="1585"/>
      <c r="AC515" s="1586"/>
      <c r="AD515" s="1585"/>
      <c r="AE515" s="1585"/>
      <c r="AF515" s="1585"/>
      <c r="AG515" s="1586"/>
      <c r="AH515" s="1587"/>
      <c r="AI515" s="1587"/>
      <c r="AJ515" s="1587"/>
      <c r="AK515" s="1588"/>
      <c r="AL515" s="1587"/>
      <c r="AM515" s="1587"/>
      <c r="AN515" s="1587"/>
      <c r="AO515" s="1588"/>
      <c r="AP515" s="1587"/>
      <c r="AQ515" s="1587"/>
      <c r="AR515" s="1587"/>
      <c r="AS515" s="1588"/>
      <c r="AT515" s="1587"/>
      <c r="AU515" s="1587"/>
      <c r="AV515" s="1587"/>
      <c r="AW515" s="1588"/>
      <c r="AX515" s="1587"/>
      <c r="AY515" s="1587"/>
      <c r="AZ515" s="1587"/>
      <c r="BA515" s="1588"/>
      <c r="BB515" s="1588"/>
      <c r="BC515" s="1590" t="s">
        <v>366</v>
      </c>
      <c r="BD515" s="1590" t="s">
        <v>366</v>
      </c>
      <c r="BE515" s="1590" t="s">
        <v>366</v>
      </c>
      <c r="BF515" s="1590" t="s">
        <v>366</v>
      </c>
      <c r="BG515" s="1590" t="s">
        <v>366</v>
      </c>
      <c r="BH515" s="1590" t="s">
        <v>366</v>
      </c>
      <c r="BI515" s="1647"/>
      <c r="BJ515" s="1647"/>
      <c r="BK515" s="1647"/>
      <c r="BL515" s="1647"/>
      <c r="BM515" s="1647"/>
      <c r="BN515" s="1647"/>
      <c r="BO515" s="1647"/>
      <c r="BP515" s="1647"/>
      <c r="BR515" s="1595"/>
      <c r="BS515" s="1595"/>
      <c r="BT515" s="1595"/>
      <c r="BU515" s="1596"/>
    </row>
    <row r="516" spans="1:73" s="1594" customFormat="1" ht="12" hidden="1" customHeight="1" outlineLevel="2">
      <c r="A516" s="1610"/>
      <c r="B516" s="1585"/>
      <c r="C516" s="1585"/>
      <c r="D516" s="1585"/>
      <c r="E516" s="1586"/>
      <c r="F516" s="1585"/>
      <c r="G516" s="1585"/>
      <c r="H516" s="1585"/>
      <c r="I516" s="1586"/>
      <c r="J516" s="1585"/>
      <c r="K516" s="1585"/>
      <c r="L516" s="1585"/>
      <c r="M516" s="1586"/>
      <c r="N516" s="1585"/>
      <c r="O516" s="1585"/>
      <c r="P516" s="1585"/>
      <c r="Q516" s="1586"/>
      <c r="R516" s="1585"/>
      <c r="S516" s="1585"/>
      <c r="T516" s="1585"/>
      <c r="U516" s="1586"/>
      <c r="V516" s="1585"/>
      <c r="W516" s="1585"/>
      <c r="X516" s="1585"/>
      <c r="Y516" s="1586"/>
      <c r="Z516" s="1585"/>
      <c r="AA516" s="1585"/>
      <c r="AB516" s="1585"/>
      <c r="AC516" s="1586"/>
      <c r="AD516" s="1585"/>
      <c r="AE516" s="1585"/>
      <c r="AF516" s="1585"/>
      <c r="AG516" s="1586"/>
      <c r="AH516" s="1587"/>
      <c r="AI516" s="1587"/>
      <c r="AJ516" s="1587"/>
      <c r="AK516" s="1588"/>
      <c r="AL516" s="1587"/>
      <c r="AM516" s="1587"/>
      <c r="AN516" s="1587"/>
      <c r="AO516" s="1588"/>
      <c r="AP516" s="1587"/>
      <c r="AQ516" s="1587"/>
      <c r="AR516" s="1587"/>
      <c r="AS516" s="1588"/>
      <c r="AT516" s="1587"/>
      <c r="AU516" s="1587"/>
      <c r="AV516" s="1587"/>
      <c r="AW516" s="1588"/>
      <c r="AX516" s="1587"/>
      <c r="AY516" s="1587"/>
      <c r="AZ516" s="1587"/>
      <c r="BA516" s="1588"/>
      <c r="BB516" s="1588"/>
      <c r="BC516" s="1589"/>
      <c r="BD516" s="1649"/>
      <c r="BE516" s="1591"/>
      <c r="BF516" s="1591"/>
      <c r="BG516" s="1592"/>
      <c r="BH516" s="1591"/>
      <c r="BI516" s="1647"/>
      <c r="BJ516" s="1647"/>
      <c r="BK516" s="1647"/>
      <c r="BL516" s="1647"/>
      <c r="BM516" s="1647"/>
      <c r="BN516" s="1647"/>
      <c r="BO516" s="1647"/>
      <c r="BP516" s="1647"/>
      <c r="BR516" s="1595"/>
      <c r="BS516" s="1595"/>
      <c r="BT516" s="1595"/>
      <c r="BU516" s="1596"/>
    </row>
    <row r="517" spans="1:73" s="1594" customFormat="1" ht="12" hidden="1" customHeight="1" outlineLevel="2">
      <c r="A517" s="1597" t="s">
        <v>221</v>
      </c>
      <c r="B517" s="1598"/>
      <c r="C517" s="1598"/>
      <c r="D517" s="1598"/>
      <c r="E517" s="1599"/>
      <c r="F517" s="1598"/>
      <c r="G517" s="1598"/>
      <c r="H517" s="1598"/>
      <c r="I517" s="1599"/>
      <c r="J517" s="1598"/>
      <c r="K517" s="1598"/>
      <c r="L517" s="1598"/>
      <c r="M517" s="1599"/>
      <c r="N517" s="1598"/>
      <c r="O517" s="1598"/>
      <c r="P517" s="1598"/>
      <c r="Q517" s="1599">
        <v>3.7499999999999999E-2</v>
      </c>
      <c r="R517" s="1585"/>
      <c r="S517" s="1585"/>
      <c r="T517" s="1585"/>
      <c r="U517" s="1599">
        <v>7.4999999999999997E-2</v>
      </c>
      <c r="V517" s="1585"/>
      <c r="W517" s="1585"/>
      <c r="X517" s="1585"/>
      <c r="Y517" s="1586"/>
      <c r="Z517" s="1585"/>
      <c r="AA517" s="1585"/>
      <c r="AB517" s="1585"/>
      <c r="AC517" s="1586"/>
      <c r="AD517" s="1585"/>
      <c r="AE517" s="1585"/>
      <c r="AF517" s="1585"/>
      <c r="AG517" s="1586"/>
      <c r="AH517" s="1587"/>
      <c r="AI517" s="1587"/>
      <c r="AJ517" s="1587"/>
      <c r="AK517" s="1588"/>
      <c r="AL517" s="1587"/>
      <c r="AM517" s="1587"/>
      <c r="AN517" s="1587"/>
      <c r="AO517" s="1588"/>
      <c r="AP517" s="1587"/>
      <c r="AQ517" s="1587"/>
      <c r="AR517" s="1587"/>
      <c r="AS517" s="1588"/>
      <c r="AT517" s="1587"/>
      <c r="AU517" s="1587"/>
      <c r="AV517" s="1587"/>
      <c r="AW517" s="1588"/>
      <c r="AX517" s="1587"/>
      <c r="AY517" s="1587"/>
      <c r="AZ517" s="1587"/>
      <c r="BA517" s="1588"/>
      <c r="BB517" s="1588"/>
      <c r="BC517" s="1589"/>
      <c r="BD517" s="1649"/>
      <c r="BE517" s="1591"/>
      <c r="BF517" s="1591"/>
      <c r="BG517" s="1592"/>
      <c r="BH517" s="1591"/>
      <c r="BI517" s="1647"/>
      <c r="BJ517" s="1647"/>
      <c r="BK517" s="1647"/>
      <c r="BL517" s="1647"/>
      <c r="BM517" s="1647"/>
      <c r="BN517" s="1647"/>
      <c r="BO517" s="1647"/>
      <c r="BP517" s="1647"/>
      <c r="BR517" s="1595"/>
      <c r="BS517" s="1595"/>
      <c r="BT517" s="1595"/>
      <c r="BU517" s="1596"/>
    </row>
    <row r="518" spans="1:73" s="1594" customFormat="1" ht="12" hidden="1" customHeight="1" outlineLevel="2">
      <c r="A518" s="1606" t="s">
        <v>181</v>
      </c>
      <c r="B518" s="1585"/>
      <c r="C518" s="1585"/>
      <c r="D518" s="1585"/>
      <c r="E518" s="1586"/>
      <c r="F518" s="1585"/>
      <c r="G518" s="1585"/>
      <c r="H518" s="1585"/>
      <c r="I518" s="1586"/>
      <c r="J518" s="1585"/>
      <c r="K518" s="1585"/>
      <c r="L518" s="1585"/>
      <c r="M518" s="1586"/>
      <c r="N518" s="1585"/>
      <c r="O518" s="1585"/>
      <c r="P518" s="1585"/>
      <c r="Q518" s="1586" t="str">
        <f t="shared" ref="Q518" si="3222">IF(ISERROR(Q517/M517-1),"NA",Q517/M517-1)</f>
        <v>NA</v>
      </c>
      <c r="R518" s="1585"/>
      <c r="S518" s="1585"/>
      <c r="T518" s="1585"/>
      <c r="U518" s="1586">
        <f t="shared" ref="U518" si="3223">IF(ISERROR(U517/Q517-1),"NA",U517/Q517-1)</f>
        <v>1</v>
      </c>
      <c r="V518" s="1585"/>
      <c r="W518" s="1585"/>
      <c r="X518" s="1585"/>
      <c r="Y518" s="1586"/>
      <c r="Z518" s="1585"/>
      <c r="AA518" s="1585"/>
      <c r="AB518" s="1585"/>
      <c r="AC518" s="1586"/>
      <c r="AD518" s="1585"/>
      <c r="AE518" s="1585"/>
      <c r="AF518" s="1585"/>
      <c r="AG518" s="1586"/>
      <c r="AH518" s="1587"/>
      <c r="AI518" s="1587"/>
      <c r="AJ518" s="1587"/>
      <c r="AK518" s="1588"/>
      <c r="AL518" s="1587"/>
      <c r="AM518" s="1587"/>
      <c r="AN518" s="1587"/>
      <c r="AO518" s="1588"/>
      <c r="AP518" s="1587"/>
      <c r="AQ518" s="1587"/>
      <c r="AR518" s="1587"/>
      <c r="AS518" s="1588"/>
      <c r="AT518" s="1587"/>
      <c r="AU518" s="1587"/>
      <c r="AV518" s="1587"/>
      <c r="AW518" s="1588"/>
      <c r="AX518" s="1587"/>
      <c r="AY518" s="1587"/>
      <c r="AZ518" s="1587"/>
      <c r="BA518" s="1588"/>
      <c r="BB518" s="1588"/>
      <c r="BC518" s="1589"/>
      <c r="BD518" s="1649"/>
      <c r="BE518" s="1591"/>
      <c r="BF518" s="1591"/>
      <c r="BG518" s="1592"/>
      <c r="BH518" s="1591"/>
      <c r="BI518" s="1647"/>
      <c r="BJ518" s="1647"/>
      <c r="BK518" s="1647"/>
      <c r="BL518" s="1647"/>
      <c r="BM518" s="1647"/>
      <c r="BN518" s="1647"/>
      <c r="BO518" s="1647"/>
      <c r="BP518" s="1647"/>
      <c r="BR518" s="1595"/>
      <c r="BS518" s="1595"/>
      <c r="BT518" s="1595"/>
      <c r="BU518" s="1596"/>
    </row>
    <row r="519" spans="1:73" s="1594" customFormat="1" ht="12" hidden="1" customHeight="1" outlineLevel="2">
      <c r="A519" s="1597"/>
      <c r="B519" s="1585"/>
      <c r="C519" s="1585"/>
      <c r="D519" s="1585"/>
      <c r="E519" s="1586"/>
      <c r="F519" s="1585"/>
      <c r="G519" s="1585"/>
      <c r="H519" s="1585"/>
      <c r="I519" s="1586"/>
      <c r="J519" s="1585"/>
      <c r="K519" s="1585"/>
      <c r="L519" s="1585"/>
      <c r="M519" s="1586"/>
      <c r="N519" s="1585"/>
      <c r="O519" s="1585"/>
      <c r="P519" s="1585"/>
      <c r="Q519" s="1586"/>
      <c r="R519" s="1585"/>
      <c r="S519" s="1585"/>
      <c r="T519" s="1585"/>
      <c r="U519" s="1586"/>
      <c r="V519" s="1585"/>
      <c r="W519" s="1585"/>
      <c r="X519" s="1585"/>
      <c r="Y519" s="1586"/>
      <c r="Z519" s="1585"/>
      <c r="AA519" s="1585"/>
      <c r="AB519" s="1585"/>
      <c r="AC519" s="1586"/>
      <c r="AD519" s="1585"/>
      <c r="AE519" s="1585"/>
      <c r="AF519" s="1585"/>
      <c r="AG519" s="1586"/>
      <c r="AH519" s="1587"/>
      <c r="AI519" s="1587"/>
      <c r="AJ519" s="1587"/>
      <c r="AK519" s="1588"/>
      <c r="AL519" s="1587"/>
      <c r="AM519" s="1587"/>
      <c r="AN519" s="1587"/>
      <c r="AO519" s="1588"/>
      <c r="AP519" s="1587"/>
      <c r="AQ519" s="1587"/>
      <c r="AR519" s="1587"/>
      <c r="AS519" s="1588"/>
      <c r="AT519" s="1587"/>
      <c r="AU519" s="1587"/>
      <c r="AV519" s="1587"/>
      <c r="AW519" s="1588"/>
      <c r="AX519" s="1587"/>
      <c r="AY519" s="1587"/>
      <c r="AZ519" s="1587"/>
      <c r="BA519" s="1588"/>
      <c r="BB519" s="1588"/>
      <c r="BC519" s="1589"/>
      <c r="BD519" s="1603"/>
      <c r="BE519" s="1591"/>
      <c r="BF519" s="1591"/>
      <c r="BG519" s="1592"/>
      <c r="BH519" s="1591"/>
      <c r="BI519" s="1647"/>
      <c r="BJ519" s="1647"/>
      <c r="BK519" s="1647"/>
      <c r="BL519" s="1647"/>
      <c r="BM519" s="1647"/>
      <c r="BN519" s="1647"/>
      <c r="BO519" s="1647"/>
      <c r="BP519" s="1647"/>
      <c r="BR519" s="1595"/>
      <c r="BS519" s="1595"/>
      <c r="BT519" s="1595"/>
      <c r="BU519" s="1596"/>
    </row>
    <row r="520" spans="1:73" s="1594" customFormat="1" ht="12" hidden="1" customHeight="1" outlineLevel="2">
      <c r="A520" s="1597" t="s">
        <v>155</v>
      </c>
      <c r="B520" s="1585"/>
      <c r="C520" s="1585"/>
      <c r="D520" s="1585"/>
      <c r="E520" s="1586"/>
      <c r="F520" s="1585"/>
      <c r="G520" s="1585"/>
      <c r="H520" s="1585"/>
      <c r="I520" s="1586"/>
      <c r="J520" s="1585"/>
      <c r="K520" s="1585"/>
      <c r="L520" s="1585"/>
      <c r="M520" s="1586"/>
      <c r="N520" s="1585"/>
      <c r="O520" s="1585"/>
      <c r="P520" s="1585"/>
      <c r="Q520" s="1586"/>
      <c r="R520" s="1585"/>
      <c r="S520" s="1585"/>
      <c r="T520" s="1585"/>
      <c r="U520" s="1586"/>
      <c r="V520" s="1585"/>
      <c r="W520" s="1585"/>
      <c r="X520" s="1585"/>
      <c r="Y520" s="1586"/>
      <c r="Z520" s="1585"/>
      <c r="AA520" s="1585"/>
      <c r="AB520" s="1585"/>
      <c r="AC520" s="1586"/>
      <c r="AD520" s="1585"/>
      <c r="AE520" s="1585"/>
      <c r="AF520" s="1585"/>
      <c r="AG520" s="1586"/>
      <c r="AH520" s="1587"/>
      <c r="AI520" s="1587"/>
      <c r="AJ520" s="1587"/>
      <c r="AK520" s="1588"/>
      <c r="AL520" s="1587"/>
      <c r="AM520" s="1587"/>
      <c r="AN520" s="1587"/>
      <c r="AO520" s="1588"/>
      <c r="AP520" s="1587"/>
      <c r="AQ520" s="1587"/>
      <c r="AR520" s="1587"/>
      <c r="AS520" s="1588"/>
      <c r="AT520" s="1587"/>
      <c r="AU520" s="1587"/>
      <c r="AV520" s="1587"/>
      <c r="AW520" s="1588"/>
      <c r="AX520" s="1587"/>
      <c r="AY520" s="1587"/>
      <c r="AZ520" s="1587"/>
      <c r="BA520" s="1588"/>
      <c r="BB520" s="1588"/>
      <c r="BC520" s="1589"/>
      <c r="BD520" s="1649"/>
      <c r="BE520" s="1591"/>
      <c r="BF520" s="1591"/>
      <c r="BG520" s="1592"/>
      <c r="BH520" s="1591"/>
      <c r="BI520" s="1647"/>
      <c r="BJ520" s="1647"/>
      <c r="BK520" s="1647"/>
      <c r="BL520" s="1647"/>
      <c r="BM520" s="1647"/>
      <c r="BN520" s="1647"/>
      <c r="BO520" s="1647"/>
      <c r="BP520" s="1647"/>
      <c r="BR520" s="1595"/>
      <c r="BS520" s="1595"/>
      <c r="BT520" s="1595"/>
      <c r="BU520" s="1596"/>
    </row>
    <row r="521" spans="1:73" s="1634" customFormat="1" ht="12" hidden="1" customHeight="1" outlineLevel="2">
      <c r="A521" s="1610" t="s">
        <v>156</v>
      </c>
      <c r="B521" s="1585"/>
      <c r="C521" s="1585"/>
      <c r="D521" s="1585"/>
      <c r="E521" s="1586"/>
      <c r="F521" s="1585"/>
      <c r="G521" s="1585"/>
      <c r="H521" s="1585"/>
      <c r="I521" s="1586"/>
      <c r="J521" s="1585"/>
      <c r="K521" s="1585"/>
      <c r="L521" s="1585"/>
      <c r="M521" s="1586"/>
      <c r="N521" s="1585"/>
      <c r="O521" s="1585"/>
      <c r="P521" s="1585"/>
      <c r="Q521" s="1586"/>
      <c r="R521" s="1585"/>
      <c r="S521" s="1585"/>
      <c r="T521" s="1585"/>
      <c r="U521" s="1586"/>
      <c r="V521" s="1585"/>
      <c r="W521" s="1585"/>
      <c r="X521" s="1585"/>
      <c r="Y521" s="1586"/>
      <c r="Z521" s="1585"/>
      <c r="AA521" s="1585"/>
      <c r="AB521" s="1585"/>
      <c r="AC521" s="1586"/>
      <c r="AD521" s="1585"/>
      <c r="AE521" s="1585"/>
      <c r="AF521" s="1585"/>
      <c r="AG521" s="1586"/>
      <c r="AH521" s="1629"/>
      <c r="AI521" s="1629"/>
      <c r="AJ521" s="1629"/>
      <c r="AK521" s="1630"/>
      <c r="AL521" s="1629"/>
      <c r="AM521" s="1629"/>
      <c r="AN521" s="1629"/>
      <c r="AO521" s="1630"/>
      <c r="AP521" s="1629"/>
      <c r="AQ521" s="1629"/>
      <c r="AR521" s="1629"/>
      <c r="AS521" s="1630"/>
      <c r="AT521" s="1629"/>
      <c r="AU521" s="1629"/>
      <c r="AV521" s="1629"/>
      <c r="AW521" s="1630"/>
      <c r="AX521" s="1629"/>
      <c r="AY521" s="1629"/>
      <c r="AZ521" s="1629"/>
      <c r="BA521" s="1630"/>
      <c r="BB521" s="1630"/>
      <c r="BC521" s="1651"/>
      <c r="BD521" s="1649"/>
      <c r="BE521" s="1591"/>
      <c r="BF521" s="1591"/>
      <c r="BG521" s="1632">
        <v>48</v>
      </c>
      <c r="BH521" s="1591"/>
      <c r="BI521" s="1647"/>
      <c r="BJ521" s="1647"/>
      <c r="BK521" s="1647"/>
      <c r="BL521" s="1647"/>
      <c r="BM521" s="1647"/>
      <c r="BN521" s="1647"/>
      <c r="BO521" s="1647"/>
      <c r="BP521" s="1647"/>
      <c r="BR521" s="1635"/>
      <c r="BS521" s="1635"/>
      <c r="BT521" s="1635"/>
      <c r="BU521" s="1596"/>
    </row>
    <row r="522" spans="1:73" s="1634" customFormat="1" ht="12" hidden="1" customHeight="1" outlineLevel="2">
      <c r="A522" s="1610" t="s">
        <v>157</v>
      </c>
      <c r="B522" s="1585"/>
      <c r="C522" s="1585"/>
      <c r="D522" s="1585"/>
      <c r="E522" s="1586"/>
      <c r="F522" s="1585"/>
      <c r="G522" s="1585"/>
      <c r="H522" s="1585"/>
      <c r="I522" s="1586"/>
      <c r="J522" s="1585"/>
      <c r="K522" s="1585"/>
      <c r="L522" s="1585"/>
      <c r="M522" s="1586"/>
      <c r="N522" s="1585"/>
      <c r="O522" s="1585"/>
      <c r="P522" s="1585"/>
      <c r="Q522" s="1586"/>
      <c r="R522" s="1585"/>
      <c r="S522" s="1585"/>
      <c r="T522" s="1585"/>
      <c r="U522" s="1586"/>
      <c r="V522" s="1585"/>
      <c r="W522" s="1585"/>
      <c r="X522" s="1585"/>
      <c r="Y522" s="1586"/>
      <c r="Z522" s="1585"/>
      <c r="AA522" s="1585"/>
      <c r="AB522" s="1585"/>
      <c r="AC522" s="1586"/>
      <c r="AD522" s="1585"/>
      <c r="AE522" s="1585"/>
      <c r="AF522" s="1585"/>
      <c r="AG522" s="1586"/>
      <c r="AH522" s="1629"/>
      <c r="AI522" s="1629"/>
      <c r="AJ522" s="1629"/>
      <c r="AK522" s="1630"/>
      <c r="AL522" s="1629"/>
      <c r="AM522" s="1629"/>
      <c r="AN522" s="1629"/>
      <c r="AO522" s="1630"/>
      <c r="AP522" s="1629"/>
      <c r="AQ522" s="1629"/>
      <c r="AR522" s="1629"/>
      <c r="AS522" s="1630"/>
      <c r="AT522" s="1629"/>
      <c r="AU522" s="1629"/>
      <c r="AV522" s="1629"/>
      <c r="AW522" s="1630"/>
      <c r="AX522" s="1629"/>
      <c r="AY522" s="1629"/>
      <c r="AZ522" s="1629"/>
      <c r="BA522" s="1630"/>
      <c r="BB522" s="1630"/>
      <c r="BC522" s="1651"/>
      <c r="BD522" s="1649"/>
      <c r="BE522" s="1591"/>
      <c r="BF522" s="1591"/>
      <c r="BG522" s="1632">
        <v>5</v>
      </c>
      <c r="BH522" s="1591"/>
      <c r="BI522" s="1647"/>
      <c r="BJ522" s="1647"/>
      <c r="BK522" s="1647"/>
      <c r="BL522" s="1647"/>
      <c r="BM522" s="1647"/>
      <c r="BN522" s="1647"/>
      <c r="BO522" s="1647"/>
      <c r="BP522" s="1647"/>
      <c r="BR522" s="1635"/>
      <c r="BS522" s="1635"/>
      <c r="BT522" s="1635"/>
      <c r="BU522" s="1596"/>
    </row>
    <row r="523" spans="1:73" s="1634" customFormat="1" ht="12" hidden="1" customHeight="1" outlineLevel="2">
      <c r="A523" s="1610" t="s">
        <v>158</v>
      </c>
      <c r="B523" s="1585"/>
      <c r="C523" s="1585"/>
      <c r="D523" s="1585"/>
      <c r="E523" s="1586"/>
      <c r="F523" s="1585"/>
      <c r="G523" s="1585"/>
      <c r="H523" s="1585"/>
      <c r="I523" s="1586"/>
      <c r="J523" s="1585"/>
      <c r="K523" s="1585"/>
      <c r="L523" s="1585"/>
      <c r="M523" s="1586"/>
      <c r="N523" s="1585"/>
      <c r="O523" s="1585"/>
      <c r="P523" s="1585"/>
      <c r="Q523" s="1586"/>
      <c r="R523" s="1585"/>
      <c r="S523" s="1585"/>
      <c r="T523" s="1585"/>
      <c r="U523" s="1586"/>
      <c r="V523" s="1585"/>
      <c r="W523" s="1585"/>
      <c r="X523" s="1585"/>
      <c r="Y523" s="1586"/>
      <c r="Z523" s="1585"/>
      <c r="AA523" s="1585"/>
      <c r="AB523" s="1585"/>
      <c r="AC523" s="1586"/>
      <c r="AD523" s="1585"/>
      <c r="AE523" s="1585"/>
      <c r="AF523" s="1585"/>
      <c r="AG523" s="1586"/>
      <c r="AH523" s="1629"/>
      <c r="AI523" s="1629"/>
      <c r="AJ523" s="1629"/>
      <c r="AK523" s="1630"/>
      <c r="AL523" s="1629"/>
      <c r="AM523" s="1629"/>
      <c r="AN523" s="1629"/>
      <c r="AO523" s="1630"/>
      <c r="AP523" s="1629"/>
      <c r="AQ523" s="1629"/>
      <c r="AR523" s="1629"/>
      <c r="AS523" s="1630"/>
      <c r="AT523" s="1629"/>
      <c r="AU523" s="1629"/>
      <c r="AV523" s="1629"/>
      <c r="AW523" s="1630"/>
      <c r="AX523" s="1629"/>
      <c r="AY523" s="1629"/>
      <c r="AZ523" s="1629"/>
      <c r="BA523" s="1630"/>
      <c r="BB523" s="1630"/>
      <c r="BC523" s="1651"/>
      <c r="BD523" s="1649"/>
      <c r="BE523" s="1591"/>
      <c r="BF523" s="1591"/>
      <c r="BG523" s="1632">
        <v>3</v>
      </c>
      <c r="BH523" s="1591"/>
      <c r="BI523" s="1647"/>
      <c r="BJ523" s="1647"/>
      <c r="BK523" s="1647"/>
      <c r="BL523" s="1647"/>
      <c r="BM523" s="1647"/>
      <c r="BN523" s="1647"/>
      <c r="BO523" s="1647"/>
      <c r="BP523" s="1647"/>
      <c r="BR523" s="1635"/>
      <c r="BS523" s="1635"/>
      <c r="BT523" s="1635"/>
      <c r="BU523" s="1596"/>
    </row>
    <row r="524" spans="1:73" s="1634" customFormat="1" ht="12" hidden="1" customHeight="1" outlineLevel="2">
      <c r="A524" s="1610" t="s">
        <v>159</v>
      </c>
      <c r="B524" s="1585"/>
      <c r="C524" s="1585"/>
      <c r="D524" s="1585"/>
      <c r="E524" s="1586"/>
      <c r="F524" s="1585"/>
      <c r="G524" s="1585"/>
      <c r="H524" s="1585"/>
      <c r="I524" s="1586"/>
      <c r="J524" s="1585"/>
      <c r="K524" s="1585"/>
      <c r="L524" s="1585"/>
      <c r="M524" s="1586"/>
      <c r="N524" s="1585"/>
      <c r="O524" s="1585"/>
      <c r="P524" s="1585"/>
      <c r="Q524" s="1586"/>
      <c r="R524" s="1585"/>
      <c r="S524" s="1585"/>
      <c r="T524" s="1585"/>
      <c r="U524" s="1586"/>
      <c r="V524" s="1585"/>
      <c r="W524" s="1585"/>
      <c r="X524" s="1585"/>
      <c r="Y524" s="1586"/>
      <c r="Z524" s="1585"/>
      <c r="AA524" s="1585"/>
      <c r="AB524" s="1585"/>
      <c r="AC524" s="1586"/>
      <c r="AD524" s="1585"/>
      <c r="AE524" s="1585"/>
      <c r="AF524" s="1585"/>
      <c r="AG524" s="1586"/>
      <c r="AH524" s="1629"/>
      <c r="AI524" s="1629"/>
      <c r="AJ524" s="1629"/>
      <c r="AK524" s="1630"/>
      <c r="AL524" s="1629"/>
      <c r="AM524" s="1629"/>
      <c r="AN524" s="1629"/>
      <c r="AO524" s="1630"/>
      <c r="AP524" s="1629"/>
      <c r="AQ524" s="1629"/>
      <c r="AR524" s="1629"/>
      <c r="AS524" s="1630"/>
      <c r="AT524" s="1629"/>
      <c r="AU524" s="1629"/>
      <c r="AV524" s="1629"/>
      <c r="AW524" s="1630"/>
      <c r="AX524" s="1629"/>
      <c r="AY524" s="1629"/>
      <c r="AZ524" s="1629"/>
      <c r="BA524" s="1630"/>
      <c r="BB524" s="1630"/>
      <c r="BC524" s="1651"/>
      <c r="BD524" s="1649"/>
      <c r="BE524" s="1591"/>
      <c r="BF524" s="1591"/>
      <c r="BG524" s="1632">
        <v>3</v>
      </c>
      <c r="BH524" s="1591"/>
      <c r="BI524" s="1647"/>
      <c r="BJ524" s="1647"/>
      <c r="BK524" s="1647"/>
      <c r="BL524" s="1647"/>
      <c r="BM524" s="1647"/>
      <c r="BN524" s="1647"/>
      <c r="BO524" s="1647"/>
      <c r="BP524" s="1647"/>
      <c r="BR524" s="1635"/>
      <c r="BS524" s="1635"/>
      <c r="BT524" s="1635"/>
      <c r="BU524" s="1596"/>
    </row>
    <row r="525" spans="1:73" s="1634" customFormat="1" ht="12" hidden="1" customHeight="1" outlineLevel="2">
      <c r="A525" s="1610" t="s">
        <v>160</v>
      </c>
      <c r="B525" s="1585"/>
      <c r="C525" s="1585"/>
      <c r="D525" s="1585"/>
      <c r="E525" s="1586"/>
      <c r="F525" s="1585"/>
      <c r="G525" s="1585"/>
      <c r="H525" s="1585"/>
      <c r="I525" s="1586"/>
      <c r="J525" s="1585"/>
      <c r="K525" s="1585"/>
      <c r="L525" s="1585"/>
      <c r="M525" s="1586"/>
      <c r="N525" s="1585"/>
      <c r="O525" s="1585"/>
      <c r="P525" s="1585"/>
      <c r="Q525" s="1586"/>
      <c r="R525" s="1585"/>
      <c r="S525" s="1585"/>
      <c r="T525" s="1585"/>
      <c r="U525" s="1586"/>
      <c r="V525" s="1585"/>
      <c r="W525" s="1585"/>
      <c r="X525" s="1585"/>
      <c r="Y525" s="1586"/>
      <c r="Z525" s="1585"/>
      <c r="AA525" s="1585"/>
      <c r="AB525" s="1585"/>
      <c r="AC525" s="1586"/>
      <c r="AD525" s="1585"/>
      <c r="AE525" s="1585"/>
      <c r="AF525" s="1585"/>
      <c r="AG525" s="1586"/>
      <c r="AH525" s="1629"/>
      <c r="AI525" s="1629"/>
      <c r="AJ525" s="1629"/>
      <c r="AK525" s="1630"/>
      <c r="AL525" s="1629"/>
      <c r="AM525" s="1629"/>
      <c r="AN525" s="1629"/>
      <c r="AO525" s="1630"/>
      <c r="AP525" s="1629"/>
      <c r="AQ525" s="1629"/>
      <c r="AR525" s="1629"/>
      <c r="AS525" s="1630"/>
      <c r="AT525" s="1629"/>
      <c r="AU525" s="1629"/>
      <c r="AV525" s="1629"/>
      <c r="AW525" s="1630"/>
      <c r="AX525" s="1629"/>
      <c r="AY525" s="1629"/>
      <c r="AZ525" s="1629"/>
      <c r="BA525" s="1630"/>
      <c r="BB525" s="1630"/>
      <c r="BC525" s="1651"/>
      <c r="BD525" s="1649"/>
      <c r="BE525" s="1591"/>
      <c r="BF525" s="1591"/>
      <c r="BG525" s="1632">
        <v>17</v>
      </c>
      <c r="BH525" s="1591"/>
      <c r="BI525" s="1647"/>
      <c r="BJ525" s="1647"/>
      <c r="BK525" s="1647"/>
      <c r="BL525" s="1647"/>
      <c r="BM525" s="1647"/>
      <c r="BN525" s="1647"/>
      <c r="BO525" s="1647"/>
      <c r="BP525" s="1647"/>
      <c r="BR525" s="1635"/>
      <c r="BS525" s="1635"/>
      <c r="BT525" s="1635"/>
      <c r="BU525" s="1596"/>
    </row>
    <row r="526" spans="1:73" s="1634" customFormat="1" ht="12" hidden="1" customHeight="1" outlineLevel="2">
      <c r="A526" s="1610" t="s">
        <v>145</v>
      </c>
      <c r="B526" s="1585"/>
      <c r="C526" s="1585"/>
      <c r="D526" s="1585"/>
      <c r="E526" s="1586"/>
      <c r="F526" s="1585"/>
      <c r="G526" s="1585"/>
      <c r="H526" s="1585"/>
      <c r="I526" s="1586"/>
      <c r="J526" s="1585"/>
      <c r="K526" s="1585"/>
      <c r="L526" s="1585"/>
      <c r="M526" s="1586"/>
      <c r="N526" s="1585"/>
      <c r="O526" s="1585"/>
      <c r="P526" s="1585"/>
      <c r="Q526" s="1586"/>
      <c r="R526" s="1585"/>
      <c r="S526" s="1585"/>
      <c r="T526" s="1585"/>
      <c r="U526" s="1586"/>
      <c r="V526" s="1585"/>
      <c r="W526" s="1585"/>
      <c r="X526" s="1585"/>
      <c r="Y526" s="1586"/>
      <c r="Z526" s="1585"/>
      <c r="AA526" s="1585"/>
      <c r="AB526" s="1585"/>
      <c r="AC526" s="1586"/>
      <c r="AD526" s="1585"/>
      <c r="AE526" s="1585"/>
      <c r="AF526" s="1585"/>
      <c r="AG526" s="1586"/>
      <c r="AH526" s="1629"/>
      <c r="AI526" s="1629"/>
      <c r="AJ526" s="1629"/>
      <c r="AK526" s="1630"/>
      <c r="AL526" s="1629"/>
      <c r="AM526" s="1629"/>
      <c r="AN526" s="1629"/>
      <c r="AO526" s="1630"/>
      <c r="AP526" s="1629"/>
      <c r="AQ526" s="1629"/>
      <c r="AR526" s="1629"/>
      <c r="AS526" s="1630"/>
      <c r="AT526" s="1629"/>
      <c r="AU526" s="1629"/>
      <c r="AV526" s="1629"/>
      <c r="AW526" s="1630"/>
      <c r="AX526" s="1629"/>
      <c r="AY526" s="1629"/>
      <c r="AZ526" s="1629"/>
      <c r="BA526" s="1630"/>
      <c r="BB526" s="1630"/>
      <c r="BC526" s="1651"/>
      <c r="BD526" s="1649"/>
      <c r="BE526" s="1591"/>
      <c r="BF526" s="1591"/>
      <c r="BG526" s="1632">
        <v>3</v>
      </c>
      <c r="BH526" s="1591"/>
      <c r="BI526" s="1647"/>
      <c r="BJ526" s="1647"/>
      <c r="BK526" s="1647"/>
      <c r="BL526" s="1647"/>
      <c r="BM526" s="1647"/>
      <c r="BN526" s="1647"/>
      <c r="BO526" s="1647"/>
      <c r="BP526" s="1647"/>
      <c r="BR526" s="1635"/>
      <c r="BS526" s="1635"/>
      <c r="BT526" s="1635"/>
      <c r="BU526" s="1596"/>
    </row>
    <row r="527" spans="1:73" s="1634" customFormat="1" ht="12" hidden="1" customHeight="1" outlineLevel="2">
      <c r="A527" s="1610" t="s">
        <v>161</v>
      </c>
      <c r="B527" s="1585"/>
      <c r="C527" s="1585"/>
      <c r="D527" s="1585"/>
      <c r="E527" s="1586"/>
      <c r="F527" s="1585"/>
      <c r="G527" s="1585"/>
      <c r="H527" s="1585"/>
      <c r="I527" s="1586"/>
      <c r="J527" s="1585"/>
      <c r="K527" s="1585"/>
      <c r="L527" s="1585"/>
      <c r="M527" s="1586"/>
      <c r="N527" s="1585"/>
      <c r="O527" s="1585"/>
      <c r="P527" s="1585"/>
      <c r="Q527" s="1586"/>
      <c r="R527" s="1585"/>
      <c r="S527" s="1585"/>
      <c r="T527" s="1585"/>
      <c r="U527" s="1586"/>
      <c r="V527" s="1585"/>
      <c r="W527" s="1585"/>
      <c r="X527" s="1585"/>
      <c r="Y527" s="1586"/>
      <c r="Z527" s="1585"/>
      <c r="AA527" s="1585"/>
      <c r="AB527" s="1585"/>
      <c r="AC527" s="1586"/>
      <c r="AD527" s="1585"/>
      <c r="AE527" s="1585"/>
      <c r="AF527" s="1585"/>
      <c r="AG527" s="1586"/>
      <c r="AH527" s="1629"/>
      <c r="AI527" s="1629"/>
      <c r="AJ527" s="1629"/>
      <c r="AK527" s="1630"/>
      <c r="AL527" s="1629"/>
      <c r="AM527" s="1629"/>
      <c r="AN527" s="1629"/>
      <c r="AO527" s="1630"/>
      <c r="AP527" s="1629"/>
      <c r="AQ527" s="1629"/>
      <c r="AR527" s="1629"/>
      <c r="AS527" s="1630"/>
      <c r="AT527" s="1629"/>
      <c r="AU527" s="1629"/>
      <c r="AV527" s="1629"/>
      <c r="AW527" s="1630"/>
      <c r="AX527" s="1629"/>
      <c r="AY527" s="1629"/>
      <c r="AZ527" s="1629"/>
      <c r="BA527" s="1630"/>
      <c r="BB527" s="1630"/>
      <c r="BC527" s="1651"/>
      <c r="BD527" s="1649"/>
      <c r="BE527" s="1591"/>
      <c r="BF527" s="1591"/>
      <c r="BG527" s="1632">
        <v>7</v>
      </c>
      <c r="BH527" s="1591"/>
      <c r="BI527" s="1647"/>
      <c r="BJ527" s="1647"/>
      <c r="BK527" s="1647"/>
      <c r="BL527" s="1647"/>
      <c r="BM527" s="1647"/>
      <c r="BN527" s="1647"/>
      <c r="BO527" s="1647"/>
      <c r="BP527" s="1647"/>
      <c r="BR527" s="1635"/>
      <c r="BS527" s="1635"/>
      <c r="BT527" s="1635"/>
      <c r="BU527" s="1596"/>
    </row>
    <row r="528" spans="1:73" s="1634" customFormat="1" ht="12" hidden="1" customHeight="1" outlineLevel="2">
      <c r="A528" s="1610" t="s">
        <v>162</v>
      </c>
      <c r="B528" s="1585"/>
      <c r="C528" s="1585"/>
      <c r="D528" s="1585"/>
      <c r="E528" s="1586"/>
      <c r="F528" s="1585"/>
      <c r="G528" s="1585"/>
      <c r="H528" s="1585"/>
      <c r="I528" s="1586"/>
      <c r="J528" s="1585"/>
      <c r="K528" s="1585"/>
      <c r="L528" s="1585"/>
      <c r="M528" s="1586"/>
      <c r="N528" s="1585"/>
      <c r="O528" s="1585"/>
      <c r="P528" s="1585"/>
      <c r="Q528" s="1586"/>
      <c r="R528" s="1585"/>
      <c r="S528" s="1585"/>
      <c r="T528" s="1585"/>
      <c r="U528" s="1586"/>
      <c r="V528" s="1585"/>
      <c r="W528" s="1585"/>
      <c r="X528" s="1585"/>
      <c r="Y528" s="1586"/>
      <c r="Z528" s="1585"/>
      <c r="AA528" s="1585"/>
      <c r="AB528" s="1585"/>
      <c r="AC528" s="1586"/>
      <c r="AD528" s="1585"/>
      <c r="AE528" s="1585"/>
      <c r="AF528" s="1585"/>
      <c r="AG528" s="1586"/>
      <c r="AH528" s="1629"/>
      <c r="AI528" s="1629"/>
      <c r="AJ528" s="1629"/>
      <c r="AK528" s="1630"/>
      <c r="AL528" s="1629"/>
      <c r="AM528" s="1629"/>
      <c r="AN528" s="1629"/>
      <c r="AO528" s="1630"/>
      <c r="AP528" s="1629"/>
      <c r="AQ528" s="1629"/>
      <c r="AR528" s="1629"/>
      <c r="AS528" s="1630"/>
      <c r="AT528" s="1629"/>
      <c r="AU528" s="1629"/>
      <c r="AV528" s="1629"/>
      <c r="AW528" s="1630"/>
      <c r="AX528" s="1629"/>
      <c r="AY528" s="1629"/>
      <c r="AZ528" s="1629"/>
      <c r="BA528" s="1630"/>
      <c r="BB528" s="1630"/>
      <c r="BC528" s="1651"/>
      <c r="BD528" s="1649"/>
      <c r="BE528" s="1591"/>
      <c r="BF528" s="1591"/>
      <c r="BG528" s="1632" t="s">
        <v>366</v>
      </c>
      <c r="BH528" s="1591"/>
      <c r="BI528" s="1647"/>
      <c r="BJ528" s="1647"/>
      <c r="BK528" s="1647"/>
      <c r="BL528" s="1647"/>
      <c r="BM528" s="1647"/>
      <c r="BN528" s="1647"/>
      <c r="BO528" s="1647"/>
      <c r="BP528" s="1647"/>
      <c r="BR528" s="1635"/>
      <c r="BS528" s="1635"/>
      <c r="BT528" s="1635"/>
      <c r="BU528" s="1596"/>
    </row>
    <row r="529" spans="1:73" s="1594" customFormat="1" ht="12" hidden="1" customHeight="1" outlineLevel="2">
      <c r="A529" s="1610"/>
      <c r="B529" s="1585"/>
      <c r="C529" s="1585"/>
      <c r="D529" s="1585"/>
      <c r="E529" s="1586"/>
      <c r="F529" s="1585"/>
      <c r="G529" s="1585"/>
      <c r="H529" s="1585"/>
      <c r="I529" s="1586"/>
      <c r="J529" s="1585"/>
      <c r="K529" s="1585"/>
      <c r="L529" s="1585"/>
      <c r="M529" s="1586"/>
      <c r="N529" s="1585"/>
      <c r="O529" s="1585"/>
      <c r="P529" s="1585"/>
      <c r="Q529" s="1586"/>
      <c r="R529" s="1585"/>
      <c r="S529" s="1585"/>
      <c r="T529" s="1585"/>
      <c r="U529" s="1586"/>
      <c r="V529" s="1585"/>
      <c r="W529" s="1585"/>
      <c r="X529" s="1585"/>
      <c r="Y529" s="1586"/>
      <c r="Z529" s="1585"/>
      <c r="AA529" s="1585"/>
      <c r="AB529" s="1585"/>
      <c r="AC529" s="1586"/>
      <c r="AD529" s="1585"/>
      <c r="AE529" s="1585"/>
      <c r="AF529" s="1585"/>
      <c r="AG529" s="1586"/>
      <c r="AH529" s="1587"/>
      <c r="AI529" s="1587"/>
      <c r="AJ529" s="1587"/>
      <c r="AK529" s="1588"/>
      <c r="AL529" s="1587"/>
      <c r="AM529" s="1587"/>
      <c r="AN529" s="1587"/>
      <c r="AO529" s="1588"/>
      <c r="AP529" s="1587"/>
      <c r="AQ529" s="1587"/>
      <c r="AR529" s="1587"/>
      <c r="AS529" s="1588"/>
      <c r="AT529" s="1587"/>
      <c r="AU529" s="1587"/>
      <c r="AV529" s="1587"/>
      <c r="AW529" s="1588"/>
      <c r="AX529" s="1587"/>
      <c r="AY529" s="1587"/>
      <c r="AZ529" s="1587"/>
      <c r="BA529" s="1588"/>
      <c r="BB529" s="1588"/>
      <c r="BC529" s="1589"/>
      <c r="BD529" s="1649"/>
      <c r="BE529" s="1591"/>
      <c r="BF529" s="1591"/>
      <c r="BG529" s="1592"/>
      <c r="BH529" s="1591"/>
      <c r="BI529" s="1647"/>
      <c r="BJ529" s="1647"/>
      <c r="BK529" s="1647"/>
      <c r="BL529" s="1647"/>
      <c r="BM529" s="1647"/>
      <c r="BN529" s="1647"/>
      <c r="BO529" s="1647"/>
      <c r="BP529" s="1647"/>
      <c r="BR529" s="1595"/>
      <c r="BS529" s="1595"/>
      <c r="BT529" s="1595"/>
      <c r="BU529" s="1596"/>
    </row>
    <row r="530" spans="1:73" s="1594" customFormat="1" ht="12" hidden="1" customHeight="1" outlineLevel="2">
      <c r="A530" s="1597" t="s">
        <v>146</v>
      </c>
      <c r="B530" s="1585"/>
      <c r="C530" s="1585"/>
      <c r="D530" s="1585"/>
      <c r="E530" s="1586"/>
      <c r="F530" s="1585"/>
      <c r="G530" s="1585"/>
      <c r="H530" s="1585"/>
      <c r="I530" s="1586"/>
      <c r="J530" s="1585"/>
      <c r="K530" s="1585"/>
      <c r="L530" s="1585"/>
      <c r="M530" s="1586"/>
      <c r="N530" s="1585"/>
      <c r="O530" s="1585"/>
      <c r="P530" s="1585"/>
      <c r="Q530" s="1586"/>
      <c r="R530" s="1585"/>
      <c r="S530" s="1585"/>
      <c r="T530" s="1585"/>
      <c r="U530" s="1586"/>
      <c r="V530" s="1585"/>
      <c r="W530" s="1585"/>
      <c r="X530" s="1585"/>
      <c r="Y530" s="1586"/>
      <c r="Z530" s="1585"/>
      <c r="AA530" s="1585"/>
      <c r="AB530" s="1585"/>
      <c r="AC530" s="1586"/>
      <c r="AD530" s="1585"/>
      <c r="AE530" s="1585"/>
      <c r="AF530" s="1585"/>
      <c r="AG530" s="1586"/>
      <c r="AH530" s="1587"/>
      <c r="AI530" s="1587"/>
      <c r="AJ530" s="1587"/>
      <c r="AK530" s="1588"/>
      <c r="AL530" s="1587"/>
      <c r="AM530" s="1587"/>
      <c r="AN530" s="1587"/>
      <c r="AO530" s="1588"/>
      <c r="AP530" s="1587"/>
      <c r="AQ530" s="1587"/>
      <c r="AR530" s="1587"/>
      <c r="AS530" s="1588"/>
      <c r="AT530" s="1587"/>
      <c r="AU530" s="1587"/>
      <c r="AV530" s="1587"/>
      <c r="AW530" s="1588"/>
      <c r="AX530" s="1587"/>
      <c r="AY530" s="1587"/>
      <c r="AZ530" s="1587"/>
      <c r="BA530" s="1588"/>
      <c r="BB530" s="1588"/>
      <c r="BC530" s="1589"/>
      <c r="BD530" s="1649"/>
      <c r="BE530" s="1591"/>
      <c r="BF530" s="1591"/>
      <c r="BG530" s="1592"/>
      <c r="BH530" s="1591"/>
      <c r="BI530" s="1647"/>
      <c r="BJ530" s="1647"/>
      <c r="BK530" s="1647"/>
      <c r="BL530" s="1647"/>
      <c r="BM530" s="1647"/>
      <c r="BN530" s="1647"/>
      <c r="BO530" s="1647"/>
      <c r="BP530" s="1647"/>
      <c r="BR530" s="1595"/>
      <c r="BS530" s="1595"/>
      <c r="BT530" s="1595"/>
      <c r="BU530" s="1596"/>
    </row>
    <row r="531" spans="1:73" s="1594" customFormat="1" ht="12" hidden="1" customHeight="1" outlineLevel="2">
      <c r="A531" s="1610" t="s">
        <v>156</v>
      </c>
      <c r="B531" s="1585"/>
      <c r="C531" s="1585"/>
      <c r="D531" s="1585"/>
      <c r="E531" s="1586"/>
      <c r="F531" s="1585"/>
      <c r="G531" s="1585"/>
      <c r="H531" s="1585"/>
      <c r="I531" s="1586"/>
      <c r="J531" s="1585"/>
      <c r="K531" s="1585"/>
      <c r="L531" s="1585"/>
      <c r="M531" s="1586"/>
      <c r="N531" s="1585"/>
      <c r="O531" s="1585"/>
      <c r="P531" s="1585"/>
      <c r="Q531" s="1586"/>
      <c r="R531" s="1585"/>
      <c r="S531" s="1585"/>
      <c r="T531" s="1585"/>
      <c r="U531" s="1586"/>
      <c r="V531" s="1585"/>
      <c r="W531" s="1585"/>
      <c r="X531" s="1585"/>
      <c r="Y531" s="1586"/>
      <c r="Z531" s="1585"/>
      <c r="AA531" s="1585"/>
      <c r="AB531" s="1585"/>
      <c r="AC531" s="1586"/>
      <c r="AD531" s="1585"/>
      <c r="AE531" s="1585"/>
      <c r="AF531" s="1585"/>
      <c r="AG531" s="1586"/>
      <c r="AH531" s="1587"/>
      <c r="AI531" s="1587"/>
      <c r="AJ531" s="1587"/>
      <c r="AK531" s="1588"/>
      <c r="AL531" s="1587"/>
      <c r="AM531" s="1587"/>
      <c r="AN531" s="1587"/>
      <c r="AO531" s="1588"/>
      <c r="AP531" s="1587"/>
      <c r="AQ531" s="1587"/>
      <c r="AR531" s="1587"/>
      <c r="AS531" s="1588"/>
      <c r="AT531" s="1587"/>
      <c r="AU531" s="1587"/>
      <c r="AV531" s="1587"/>
      <c r="AW531" s="1588"/>
      <c r="AX531" s="1587"/>
      <c r="AY531" s="1587"/>
      <c r="AZ531" s="1587"/>
      <c r="BA531" s="1588"/>
      <c r="BB531" s="1588"/>
      <c r="BC531" s="1589"/>
      <c r="BD531" s="1649"/>
      <c r="BE531" s="1591"/>
      <c r="BF531" s="1591"/>
      <c r="BG531" s="1652">
        <v>3.3</v>
      </c>
      <c r="BH531" s="1591"/>
      <c r="BI531" s="1647"/>
      <c r="BJ531" s="1647"/>
      <c r="BK531" s="1647"/>
      <c r="BL531" s="1647"/>
      <c r="BM531" s="1647"/>
      <c r="BN531" s="1647"/>
      <c r="BO531" s="1647"/>
      <c r="BP531" s="1647"/>
      <c r="BR531" s="1595"/>
      <c r="BS531" s="1595"/>
      <c r="BT531" s="1595"/>
      <c r="BU531" s="1596"/>
    </row>
    <row r="532" spans="1:73" s="1594" customFormat="1" ht="12" hidden="1" customHeight="1" outlineLevel="2">
      <c r="A532" s="1610" t="s">
        <v>388</v>
      </c>
      <c r="B532" s="1585"/>
      <c r="C532" s="1585"/>
      <c r="D532" s="1585"/>
      <c r="E532" s="1586"/>
      <c r="F532" s="1585"/>
      <c r="G532" s="1585"/>
      <c r="H532" s="1585"/>
      <c r="I532" s="1586"/>
      <c r="J532" s="1585"/>
      <c r="K532" s="1585"/>
      <c r="L532" s="1585"/>
      <c r="M532" s="1586"/>
      <c r="N532" s="1585"/>
      <c r="O532" s="1585"/>
      <c r="P532" s="1585"/>
      <c r="Q532" s="1586"/>
      <c r="R532" s="1585"/>
      <c r="S532" s="1585"/>
      <c r="T532" s="1585"/>
      <c r="U532" s="1586"/>
      <c r="V532" s="1585"/>
      <c r="W532" s="1585"/>
      <c r="X532" s="1585"/>
      <c r="Y532" s="1586"/>
      <c r="Z532" s="1585"/>
      <c r="AA532" s="1585"/>
      <c r="AB532" s="1585"/>
      <c r="AC532" s="1586"/>
      <c r="AD532" s="1585"/>
      <c r="AE532" s="1585"/>
      <c r="AF532" s="1585"/>
      <c r="AG532" s="1586"/>
      <c r="AH532" s="1587"/>
      <c r="AI532" s="1587"/>
      <c r="AJ532" s="1587"/>
      <c r="AK532" s="1588"/>
      <c r="AL532" s="1587"/>
      <c r="AM532" s="1587"/>
      <c r="AN532" s="1587"/>
      <c r="AO532" s="1588"/>
      <c r="AP532" s="1587"/>
      <c r="AQ532" s="1587"/>
      <c r="AR532" s="1587"/>
      <c r="AS532" s="1588"/>
      <c r="AT532" s="1587"/>
      <c r="AU532" s="1587"/>
      <c r="AV532" s="1587"/>
      <c r="AW532" s="1588"/>
      <c r="AX532" s="1587"/>
      <c r="AY532" s="1587"/>
      <c r="AZ532" s="1587"/>
      <c r="BA532" s="1588"/>
      <c r="BB532" s="1588"/>
      <c r="BC532" s="1589"/>
      <c r="BD532" s="1649"/>
      <c r="BE532" s="1591"/>
      <c r="BF532" s="1591"/>
      <c r="BG532" s="1652">
        <v>0.54500000000000004</v>
      </c>
      <c r="BH532" s="1591"/>
      <c r="BI532" s="1647"/>
      <c r="BJ532" s="1647"/>
      <c r="BK532" s="1647"/>
      <c r="BL532" s="1647"/>
      <c r="BM532" s="1647"/>
      <c r="BN532" s="1647"/>
      <c r="BO532" s="1647"/>
      <c r="BP532" s="1647"/>
      <c r="BR532" s="1595"/>
      <c r="BS532" s="1595"/>
      <c r="BT532" s="1595"/>
      <c r="BU532" s="1596"/>
    </row>
    <row r="533" spans="1:73" s="1594" customFormat="1" ht="12" hidden="1" customHeight="1" outlineLevel="2">
      <c r="A533" s="1610" t="s">
        <v>158</v>
      </c>
      <c r="B533" s="1585"/>
      <c r="C533" s="1585"/>
      <c r="D533" s="1585"/>
      <c r="E533" s="1586"/>
      <c r="F533" s="1585"/>
      <c r="G533" s="1585"/>
      <c r="H533" s="1585"/>
      <c r="I533" s="1586"/>
      <c r="J533" s="1585"/>
      <c r="K533" s="1585"/>
      <c r="L533" s="1585"/>
      <c r="M533" s="1586"/>
      <c r="N533" s="1585"/>
      <c r="O533" s="1585"/>
      <c r="P533" s="1585"/>
      <c r="Q533" s="1586"/>
      <c r="R533" s="1585"/>
      <c r="S533" s="1585"/>
      <c r="T533" s="1585"/>
      <c r="U533" s="1586"/>
      <c r="V533" s="1585"/>
      <c r="W533" s="1585"/>
      <c r="X533" s="1585"/>
      <c r="Y533" s="1586"/>
      <c r="Z533" s="1585"/>
      <c r="AA533" s="1585"/>
      <c r="AB533" s="1585"/>
      <c r="AC533" s="1586"/>
      <c r="AD533" s="1585"/>
      <c r="AE533" s="1585"/>
      <c r="AF533" s="1585"/>
      <c r="AG533" s="1586"/>
      <c r="AH533" s="1587"/>
      <c r="AI533" s="1587"/>
      <c r="AJ533" s="1587"/>
      <c r="AK533" s="1588"/>
      <c r="AL533" s="1587"/>
      <c r="AM533" s="1587"/>
      <c r="AN533" s="1587"/>
      <c r="AO533" s="1588"/>
      <c r="AP533" s="1587"/>
      <c r="AQ533" s="1587"/>
      <c r="AR533" s="1587"/>
      <c r="AS533" s="1588"/>
      <c r="AT533" s="1587"/>
      <c r="AU533" s="1587"/>
      <c r="AV533" s="1587"/>
      <c r="AW533" s="1588"/>
      <c r="AX533" s="1587"/>
      <c r="AY533" s="1587"/>
      <c r="AZ533" s="1587"/>
      <c r="BA533" s="1588"/>
      <c r="BB533" s="1588"/>
      <c r="BC533" s="1589"/>
      <c r="BD533" s="1649"/>
      <c r="BE533" s="1591"/>
      <c r="BF533" s="1591"/>
      <c r="BG533" s="1652">
        <v>0.315</v>
      </c>
      <c r="BH533" s="1591"/>
      <c r="BI533" s="1647"/>
      <c r="BJ533" s="1647"/>
      <c r="BK533" s="1647"/>
      <c r="BL533" s="1647"/>
      <c r="BM533" s="1647"/>
      <c r="BN533" s="1647"/>
      <c r="BO533" s="1647"/>
      <c r="BP533" s="1647"/>
      <c r="BR533" s="1595"/>
      <c r="BS533" s="1595"/>
      <c r="BT533" s="1595"/>
      <c r="BU533" s="1596"/>
    </row>
    <row r="534" spans="1:73" s="1594" customFormat="1" ht="12" hidden="1" customHeight="1" outlineLevel="2">
      <c r="A534" s="1610" t="s">
        <v>159</v>
      </c>
      <c r="B534" s="1585"/>
      <c r="C534" s="1585"/>
      <c r="D534" s="1585"/>
      <c r="E534" s="1586"/>
      <c r="F534" s="1585"/>
      <c r="G534" s="1585"/>
      <c r="H534" s="1585"/>
      <c r="I534" s="1586"/>
      <c r="J534" s="1585"/>
      <c r="K534" s="1585"/>
      <c r="L534" s="1585"/>
      <c r="M534" s="1586"/>
      <c r="N534" s="1585"/>
      <c r="O534" s="1585"/>
      <c r="P534" s="1585"/>
      <c r="Q534" s="1586"/>
      <c r="R534" s="1585"/>
      <c r="S534" s="1585"/>
      <c r="T534" s="1585"/>
      <c r="U534" s="1586"/>
      <c r="V534" s="1585"/>
      <c r="W534" s="1585"/>
      <c r="X534" s="1585"/>
      <c r="Y534" s="1586"/>
      <c r="Z534" s="1585"/>
      <c r="AA534" s="1585"/>
      <c r="AB534" s="1585"/>
      <c r="AC534" s="1586"/>
      <c r="AD534" s="1585"/>
      <c r="AE534" s="1585"/>
      <c r="AF534" s="1585"/>
      <c r="AG534" s="1586"/>
      <c r="AH534" s="1587"/>
      <c r="AI534" s="1587"/>
      <c r="AJ534" s="1587"/>
      <c r="AK534" s="1588"/>
      <c r="AL534" s="1587"/>
      <c r="AM534" s="1587"/>
      <c r="AN534" s="1587"/>
      <c r="AO534" s="1588"/>
      <c r="AP534" s="1587"/>
      <c r="AQ534" s="1587"/>
      <c r="AR534" s="1587"/>
      <c r="AS534" s="1588"/>
      <c r="AT534" s="1587"/>
      <c r="AU534" s="1587"/>
      <c r="AV534" s="1587"/>
      <c r="AW534" s="1588"/>
      <c r="AX534" s="1587"/>
      <c r="AY534" s="1587"/>
      <c r="AZ534" s="1587"/>
      <c r="BA534" s="1588"/>
      <c r="BB534" s="1588"/>
      <c r="BC534" s="1589"/>
      <c r="BD534" s="1649"/>
      <c r="BE534" s="1591"/>
      <c r="BF534" s="1591"/>
      <c r="BG534" s="1652">
        <v>0.224</v>
      </c>
      <c r="BH534" s="1591"/>
      <c r="BI534" s="1647"/>
      <c r="BJ534" s="1647"/>
      <c r="BK534" s="1647"/>
      <c r="BL534" s="1647"/>
      <c r="BM534" s="1647"/>
      <c r="BN534" s="1647"/>
      <c r="BO534" s="1647"/>
      <c r="BP534" s="1647"/>
      <c r="BR534" s="1595"/>
      <c r="BS534" s="1595"/>
      <c r="BT534" s="1595"/>
      <c r="BU534" s="1596"/>
    </row>
    <row r="535" spans="1:73" s="1594" customFormat="1" ht="12" hidden="1" customHeight="1" outlineLevel="2">
      <c r="A535" s="1610" t="s">
        <v>160</v>
      </c>
      <c r="B535" s="1585"/>
      <c r="C535" s="1585"/>
      <c r="D535" s="1585"/>
      <c r="E535" s="1586"/>
      <c r="F535" s="1585"/>
      <c r="G535" s="1585"/>
      <c r="H535" s="1585"/>
      <c r="I535" s="1586"/>
      <c r="J535" s="1585"/>
      <c r="K535" s="1585"/>
      <c r="L535" s="1585"/>
      <c r="M535" s="1586"/>
      <c r="N535" s="1585"/>
      <c r="O535" s="1585"/>
      <c r="P535" s="1585"/>
      <c r="Q535" s="1586"/>
      <c r="R535" s="1585"/>
      <c r="S535" s="1585"/>
      <c r="T535" s="1585"/>
      <c r="U535" s="1586"/>
      <c r="V535" s="1585"/>
      <c r="W535" s="1585"/>
      <c r="X535" s="1585"/>
      <c r="Y535" s="1586"/>
      <c r="Z535" s="1585"/>
      <c r="AA535" s="1585"/>
      <c r="AB535" s="1585"/>
      <c r="AC535" s="1586"/>
      <c r="AD535" s="1585"/>
      <c r="AE535" s="1585"/>
      <c r="AF535" s="1585"/>
      <c r="AG535" s="1586"/>
      <c r="AH535" s="1587"/>
      <c r="AI535" s="1587"/>
      <c r="AJ535" s="1587"/>
      <c r="AK535" s="1588"/>
      <c r="AL535" s="1587"/>
      <c r="AM535" s="1587"/>
      <c r="AN535" s="1587"/>
      <c r="AO535" s="1588"/>
      <c r="AP535" s="1587"/>
      <c r="AQ535" s="1587"/>
      <c r="AR535" s="1587"/>
      <c r="AS535" s="1588"/>
      <c r="AT535" s="1587"/>
      <c r="AU535" s="1587"/>
      <c r="AV535" s="1587"/>
      <c r="AW535" s="1588"/>
      <c r="AX535" s="1587"/>
      <c r="AY535" s="1587"/>
      <c r="AZ535" s="1587"/>
      <c r="BA535" s="1588"/>
      <c r="BB535" s="1588"/>
      <c r="BC535" s="1589"/>
      <c r="BD535" s="1649"/>
      <c r="BE535" s="1591"/>
      <c r="BF535" s="1591"/>
      <c r="BG535" s="1652">
        <v>5.8999999999999997E-2</v>
      </c>
      <c r="BH535" s="1591"/>
      <c r="BI535" s="1647"/>
      <c r="BJ535" s="1647"/>
      <c r="BK535" s="1647"/>
      <c r="BL535" s="1647"/>
      <c r="BM535" s="1647"/>
      <c r="BN535" s="1647"/>
      <c r="BO535" s="1647"/>
      <c r="BP535" s="1647"/>
      <c r="BR535" s="1595"/>
      <c r="BS535" s="1595"/>
      <c r="BT535" s="1595"/>
      <c r="BU535" s="1596"/>
    </row>
    <row r="536" spans="1:73" s="1594" customFormat="1" ht="12" hidden="1" customHeight="1" outlineLevel="2">
      <c r="A536" s="1610" t="s">
        <v>145</v>
      </c>
      <c r="B536" s="1585"/>
      <c r="C536" s="1585"/>
      <c r="D536" s="1585"/>
      <c r="E536" s="1586"/>
      <c r="F536" s="1585"/>
      <c r="G536" s="1585"/>
      <c r="H536" s="1585"/>
      <c r="I536" s="1586"/>
      <c r="J536" s="1585"/>
      <c r="K536" s="1585"/>
      <c r="L536" s="1585"/>
      <c r="M536" s="1586"/>
      <c r="N536" s="1585"/>
      <c r="O536" s="1585"/>
      <c r="P536" s="1585"/>
      <c r="Q536" s="1586"/>
      <c r="R536" s="1585"/>
      <c r="S536" s="1585"/>
      <c r="T536" s="1585"/>
      <c r="U536" s="1586"/>
      <c r="V536" s="1585"/>
      <c r="W536" s="1585"/>
      <c r="X536" s="1585"/>
      <c r="Y536" s="1586"/>
      <c r="Z536" s="1585"/>
      <c r="AA536" s="1585"/>
      <c r="AB536" s="1585"/>
      <c r="AC536" s="1586"/>
      <c r="AD536" s="1585"/>
      <c r="AE536" s="1585"/>
      <c r="AF536" s="1585"/>
      <c r="AG536" s="1586"/>
      <c r="AH536" s="1587"/>
      <c r="AI536" s="1587"/>
      <c r="AJ536" s="1587"/>
      <c r="AK536" s="1588"/>
      <c r="AL536" s="1587"/>
      <c r="AM536" s="1587"/>
      <c r="AN536" s="1587"/>
      <c r="AO536" s="1588"/>
      <c r="AP536" s="1587"/>
      <c r="AQ536" s="1587"/>
      <c r="AR536" s="1587"/>
      <c r="AS536" s="1588"/>
      <c r="AT536" s="1587"/>
      <c r="AU536" s="1587"/>
      <c r="AV536" s="1587"/>
      <c r="AW536" s="1588"/>
      <c r="AX536" s="1587"/>
      <c r="AY536" s="1587"/>
      <c r="AZ536" s="1587"/>
      <c r="BA536" s="1588"/>
      <c r="BB536" s="1588"/>
      <c r="BC536" s="1589"/>
      <c r="BD536" s="1649"/>
      <c r="BE536" s="1591"/>
      <c r="BF536" s="1591"/>
      <c r="BG536" s="1652">
        <v>2.3E-2</v>
      </c>
      <c r="BH536" s="1591"/>
      <c r="BI536" s="1647"/>
      <c r="BJ536" s="1647"/>
      <c r="BK536" s="1647"/>
      <c r="BL536" s="1647"/>
      <c r="BM536" s="1647"/>
      <c r="BN536" s="1647"/>
      <c r="BO536" s="1647"/>
      <c r="BP536" s="1647"/>
      <c r="BR536" s="1595"/>
      <c r="BS536" s="1595"/>
      <c r="BT536" s="1595"/>
      <c r="BU536" s="1596"/>
    </row>
    <row r="537" spans="1:73" s="1594" customFormat="1" ht="12" hidden="1" customHeight="1" outlineLevel="2">
      <c r="A537" s="1610" t="s">
        <v>161</v>
      </c>
      <c r="B537" s="1585"/>
      <c r="C537" s="1585"/>
      <c r="D537" s="1585"/>
      <c r="E537" s="1586"/>
      <c r="F537" s="1585"/>
      <c r="G537" s="1585"/>
      <c r="H537" s="1585"/>
      <c r="I537" s="1586"/>
      <c r="J537" s="1585"/>
      <c r="K537" s="1585"/>
      <c r="L537" s="1585"/>
      <c r="M537" s="1586"/>
      <c r="N537" s="1585"/>
      <c r="O537" s="1585"/>
      <c r="P537" s="1585"/>
      <c r="Q537" s="1586"/>
      <c r="R537" s="1585"/>
      <c r="S537" s="1585"/>
      <c r="T537" s="1585"/>
      <c r="U537" s="1586"/>
      <c r="V537" s="1585"/>
      <c r="W537" s="1585"/>
      <c r="X537" s="1585"/>
      <c r="Y537" s="1586"/>
      <c r="Z537" s="1585"/>
      <c r="AA537" s="1585"/>
      <c r="AB537" s="1585"/>
      <c r="AC537" s="1586"/>
      <c r="AD537" s="1585"/>
      <c r="AE537" s="1585"/>
      <c r="AF537" s="1585"/>
      <c r="AG537" s="1586"/>
      <c r="AH537" s="1587"/>
      <c r="AI537" s="1587"/>
      <c r="AJ537" s="1587"/>
      <c r="AK537" s="1588"/>
      <c r="AL537" s="1587"/>
      <c r="AM537" s="1587"/>
      <c r="AN537" s="1587"/>
      <c r="AO537" s="1588"/>
      <c r="AP537" s="1587"/>
      <c r="AQ537" s="1587"/>
      <c r="AR537" s="1587"/>
      <c r="AS537" s="1588"/>
      <c r="AT537" s="1587"/>
      <c r="AU537" s="1587"/>
      <c r="AV537" s="1587"/>
      <c r="AW537" s="1588"/>
      <c r="AX537" s="1587"/>
      <c r="AY537" s="1587"/>
      <c r="AZ537" s="1587"/>
      <c r="BA537" s="1588"/>
      <c r="BB537" s="1588"/>
      <c r="BC537" s="1589"/>
      <c r="BD537" s="1649"/>
      <c r="BE537" s="1591"/>
      <c r="BF537" s="1591"/>
      <c r="BG537" s="1652">
        <v>4.8000000000000001E-2</v>
      </c>
      <c r="BH537" s="1591"/>
      <c r="BI537" s="1647"/>
      <c r="BJ537" s="1647"/>
      <c r="BK537" s="1647"/>
      <c r="BL537" s="1647"/>
      <c r="BM537" s="1647"/>
      <c r="BN537" s="1647"/>
      <c r="BO537" s="1647"/>
      <c r="BP537" s="1647"/>
      <c r="BR537" s="1595"/>
      <c r="BS537" s="1595"/>
      <c r="BT537" s="1595"/>
      <c r="BU537" s="1596"/>
    </row>
    <row r="538" spans="1:73" s="1594" customFormat="1" ht="12" hidden="1" customHeight="1" outlineLevel="2">
      <c r="A538" s="1610" t="s">
        <v>162</v>
      </c>
      <c r="B538" s="1585"/>
      <c r="C538" s="1585"/>
      <c r="D538" s="1585"/>
      <c r="E538" s="1586"/>
      <c r="F538" s="1585"/>
      <c r="G538" s="1585"/>
      <c r="H538" s="1585"/>
      <c r="I538" s="1586"/>
      <c r="J538" s="1585"/>
      <c r="K538" s="1585"/>
      <c r="L538" s="1585"/>
      <c r="M538" s="1586"/>
      <c r="N538" s="1585"/>
      <c r="O538" s="1585"/>
      <c r="P538" s="1585"/>
      <c r="Q538" s="1586"/>
      <c r="R538" s="1585"/>
      <c r="S538" s="1585"/>
      <c r="T538" s="1585"/>
      <c r="U538" s="1586"/>
      <c r="V538" s="1585"/>
      <c r="W538" s="1585"/>
      <c r="X538" s="1585"/>
      <c r="Y538" s="1586"/>
      <c r="Z538" s="1585"/>
      <c r="AA538" s="1585"/>
      <c r="AB538" s="1585"/>
      <c r="AC538" s="1586"/>
      <c r="AD538" s="1585"/>
      <c r="AE538" s="1585"/>
      <c r="AF538" s="1585"/>
      <c r="AG538" s="1586"/>
      <c r="AH538" s="1587"/>
      <c r="AI538" s="1587"/>
      <c r="AJ538" s="1587"/>
      <c r="AK538" s="1588"/>
      <c r="AL538" s="1587"/>
      <c r="AM538" s="1587"/>
      <c r="AN538" s="1587"/>
      <c r="AO538" s="1588"/>
      <c r="AP538" s="1587"/>
      <c r="AQ538" s="1587"/>
      <c r="AR538" s="1587"/>
      <c r="AS538" s="1588"/>
      <c r="AT538" s="1587"/>
      <c r="AU538" s="1587"/>
      <c r="AV538" s="1587"/>
      <c r="AW538" s="1588"/>
      <c r="AX538" s="1587"/>
      <c r="AY538" s="1587"/>
      <c r="AZ538" s="1587"/>
      <c r="BA538" s="1588"/>
      <c r="BB538" s="1588"/>
      <c r="BC538" s="1589"/>
      <c r="BD538" s="1649"/>
      <c r="BE538" s="1591"/>
      <c r="BF538" s="1591"/>
      <c r="BG538" s="1652">
        <v>7.1999999999999995E-2</v>
      </c>
      <c r="BH538" s="1591"/>
      <c r="BI538" s="1647"/>
      <c r="BJ538" s="1647"/>
      <c r="BK538" s="1647"/>
      <c r="BL538" s="1647"/>
      <c r="BM538" s="1647"/>
      <c r="BN538" s="1647"/>
      <c r="BO538" s="1647"/>
      <c r="BP538" s="1647"/>
      <c r="BR538" s="1595"/>
      <c r="BS538" s="1595"/>
      <c r="BT538" s="1595"/>
      <c r="BU538" s="1596"/>
    </row>
    <row r="539" spans="1:73" s="1594" customFormat="1" ht="12" hidden="1" customHeight="1" outlineLevel="2">
      <c r="A539" s="1610"/>
      <c r="B539" s="1585"/>
      <c r="C539" s="1585"/>
      <c r="D539" s="1585"/>
      <c r="E539" s="1586"/>
      <c r="F539" s="1585"/>
      <c r="G539" s="1585"/>
      <c r="H539" s="1585"/>
      <c r="I539" s="1586"/>
      <c r="J539" s="1585"/>
      <c r="K539" s="1585"/>
      <c r="L539" s="1585"/>
      <c r="M539" s="1586"/>
      <c r="N539" s="1585"/>
      <c r="O539" s="1585"/>
      <c r="P539" s="1585"/>
      <c r="Q539" s="1586"/>
      <c r="R539" s="1585"/>
      <c r="S539" s="1585"/>
      <c r="T539" s="1585"/>
      <c r="U539" s="1586"/>
      <c r="V539" s="1585"/>
      <c r="W539" s="1585"/>
      <c r="X539" s="1585"/>
      <c r="Y539" s="1586"/>
      <c r="Z539" s="1585"/>
      <c r="AA539" s="1585"/>
      <c r="AB539" s="1585"/>
      <c r="AC539" s="1586"/>
      <c r="AD539" s="1585"/>
      <c r="AE539" s="1585"/>
      <c r="AF539" s="1585"/>
      <c r="AG539" s="1586"/>
      <c r="AH539" s="1587"/>
      <c r="AI539" s="1587"/>
      <c r="AJ539" s="1587"/>
      <c r="AK539" s="1588"/>
      <c r="AL539" s="1587"/>
      <c r="AM539" s="1587"/>
      <c r="AN539" s="1587"/>
      <c r="AO539" s="1588"/>
      <c r="AP539" s="1587"/>
      <c r="AQ539" s="1587"/>
      <c r="AR539" s="1587"/>
      <c r="AS539" s="1588"/>
      <c r="AT539" s="1587"/>
      <c r="AU539" s="1587"/>
      <c r="AV539" s="1587"/>
      <c r="AW539" s="1588"/>
      <c r="AX539" s="1587"/>
      <c r="AY539" s="1587"/>
      <c r="AZ539" s="1587"/>
      <c r="BA539" s="1588"/>
      <c r="BB539" s="1588"/>
      <c r="BC539" s="1589"/>
      <c r="BD539" s="1649"/>
      <c r="BE539" s="1591"/>
      <c r="BF539" s="1591"/>
      <c r="BG539" s="1592"/>
      <c r="BH539" s="1591"/>
      <c r="BI539" s="1647"/>
      <c r="BJ539" s="1647"/>
      <c r="BK539" s="1647"/>
      <c r="BL539" s="1647"/>
      <c r="BM539" s="1647"/>
      <c r="BN539" s="1647"/>
      <c r="BO539" s="1647"/>
      <c r="BP539" s="1647"/>
      <c r="BR539" s="1595"/>
      <c r="BS539" s="1595"/>
      <c r="BT539" s="1595"/>
      <c r="BU539" s="1596"/>
    </row>
    <row r="540" spans="1:73" s="1594" customFormat="1" ht="12" hidden="1" customHeight="1" outlineLevel="2">
      <c r="A540" s="1597" t="s">
        <v>395</v>
      </c>
      <c r="B540" s="1585"/>
      <c r="C540" s="1585"/>
      <c r="D540" s="1585"/>
      <c r="E540" s="1586"/>
      <c r="F540" s="1585"/>
      <c r="G540" s="1585"/>
      <c r="H540" s="1585"/>
      <c r="I540" s="1586"/>
      <c r="J540" s="1585"/>
      <c r="K540" s="1585"/>
      <c r="L540" s="1585"/>
      <c r="M540" s="1586"/>
      <c r="N540" s="1585"/>
      <c r="O540" s="1585"/>
      <c r="P540" s="1585"/>
      <c r="Q540" s="1586"/>
      <c r="R540" s="1585"/>
      <c r="S540" s="1585"/>
      <c r="T540" s="1585"/>
      <c r="U540" s="1586"/>
      <c r="V540" s="1585"/>
      <c r="W540" s="1585"/>
      <c r="X540" s="1585"/>
      <c r="Y540" s="1586"/>
      <c r="Z540" s="1585"/>
      <c r="AA540" s="1585"/>
      <c r="AB540" s="1585"/>
      <c r="AC540" s="1586"/>
      <c r="AD540" s="1585"/>
      <c r="AE540" s="1585"/>
      <c r="AF540" s="1585"/>
      <c r="AG540" s="1586"/>
      <c r="AH540" s="1587"/>
      <c r="AI540" s="1587"/>
      <c r="AJ540" s="1587"/>
      <c r="AK540" s="1588"/>
      <c r="AL540" s="1587"/>
      <c r="AM540" s="1587"/>
      <c r="AN540" s="1587"/>
      <c r="AO540" s="1588"/>
      <c r="AP540" s="1587"/>
      <c r="AQ540" s="1587"/>
      <c r="AR540" s="1587"/>
      <c r="AS540" s="1588"/>
      <c r="AT540" s="1587"/>
      <c r="AU540" s="1587"/>
      <c r="AV540" s="1587"/>
      <c r="AW540" s="1588"/>
      <c r="AX540" s="1587"/>
      <c r="AY540" s="1587"/>
      <c r="AZ540" s="1587"/>
      <c r="BA540" s="1588"/>
      <c r="BB540" s="1588"/>
      <c r="BC540" s="1589"/>
      <c r="BD540" s="1652">
        <v>0.8</v>
      </c>
      <c r="BE540" s="1652">
        <v>0.8</v>
      </c>
      <c r="BF540" s="1652">
        <v>0.8</v>
      </c>
      <c r="BG540" s="1652">
        <v>0.8</v>
      </c>
      <c r="BH540" s="1591"/>
      <c r="BI540" s="1647"/>
      <c r="BJ540" s="1647"/>
      <c r="BK540" s="1647"/>
      <c r="BL540" s="1647"/>
      <c r="BM540" s="1647"/>
      <c r="BN540" s="1647"/>
      <c r="BO540" s="1647"/>
      <c r="BP540" s="1647"/>
      <c r="BR540" s="1595"/>
      <c r="BS540" s="1595"/>
      <c r="BT540" s="1595"/>
      <c r="BU540" s="1596"/>
    </row>
    <row r="541" spans="1:73" s="1594" customFormat="1" ht="12" hidden="1" customHeight="1" outlineLevel="2">
      <c r="A541" s="1610" t="s">
        <v>135</v>
      </c>
      <c r="B541" s="1585"/>
      <c r="C541" s="1585"/>
      <c r="D541" s="1585"/>
      <c r="E541" s="1586"/>
      <c r="F541" s="1585"/>
      <c r="G541" s="1585"/>
      <c r="H541" s="1585"/>
      <c r="I541" s="1586"/>
      <c r="J541" s="1585"/>
      <c r="K541" s="1585"/>
      <c r="L541" s="1585"/>
      <c r="M541" s="1586"/>
      <c r="N541" s="1585"/>
      <c r="O541" s="1585"/>
      <c r="P541" s="1585"/>
      <c r="Q541" s="1586"/>
      <c r="R541" s="1585"/>
      <c r="S541" s="1585"/>
      <c r="T541" s="1585"/>
      <c r="U541" s="1586"/>
      <c r="V541" s="1585"/>
      <c r="W541" s="1585"/>
      <c r="X541" s="1585"/>
      <c r="Y541" s="1586"/>
      <c r="Z541" s="1585"/>
      <c r="AA541" s="1585"/>
      <c r="AB541" s="1585"/>
      <c r="AC541" s="1586"/>
      <c r="AD541" s="1585"/>
      <c r="AE541" s="1585"/>
      <c r="AF541" s="1585"/>
      <c r="AG541" s="1586"/>
      <c r="AH541" s="1587"/>
      <c r="AI541" s="1587"/>
      <c r="AJ541" s="1587"/>
      <c r="AK541" s="1588"/>
      <c r="AL541" s="1587"/>
      <c r="AM541" s="1587"/>
      <c r="AN541" s="1587"/>
      <c r="AO541" s="1588"/>
      <c r="AP541" s="1587"/>
      <c r="AQ541" s="1587"/>
      <c r="AR541" s="1587"/>
      <c r="AS541" s="1588"/>
      <c r="AT541" s="1587"/>
      <c r="AU541" s="1587"/>
      <c r="AV541" s="1587"/>
      <c r="AW541" s="1588"/>
      <c r="AX541" s="1587"/>
      <c r="AY541" s="1587"/>
      <c r="AZ541" s="1587"/>
      <c r="BA541" s="1588"/>
      <c r="BB541" s="1588"/>
      <c r="BC541" s="1589"/>
      <c r="BD541" s="1652"/>
      <c r="BE541" s="1652">
        <v>6.5000000000000002E-2</v>
      </c>
      <c r="BF541" s="1652"/>
      <c r="BG541" s="1652"/>
      <c r="BH541" s="1652"/>
      <c r="BI541" s="1652"/>
      <c r="BJ541" s="1652"/>
      <c r="BK541" s="1652"/>
      <c r="BL541" s="1647"/>
      <c r="BM541" s="1647"/>
      <c r="BN541" s="1647"/>
      <c r="BO541" s="1647"/>
      <c r="BP541" s="1647"/>
      <c r="BR541" s="1595"/>
      <c r="BS541" s="1595"/>
      <c r="BT541" s="1595"/>
      <c r="BU541" s="1596"/>
    </row>
    <row r="542" spans="1:73" s="1594" customFormat="1" ht="12" hidden="1" customHeight="1" outlineLevel="2">
      <c r="A542" s="1610" t="s">
        <v>136</v>
      </c>
      <c r="B542" s="1585"/>
      <c r="C542" s="1585"/>
      <c r="D542" s="1585"/>
      <c r="E542" s="1586"/>
      <c r="F542" s="1585"/>
      <c r="G542" s="1585"/>
      <c r="H542" s="1585"/>
      <c r="I542" s="1586"/>
      <c r="J542" s="1585"/>
      <c r="K542" s="1585"/>
      <c r="L542" s="1585"/>
      <c r="M542" s="1586"/>
      <c r="N542" s="1585"/>
      <c r="O542" s="1585"/>
      <c r="P542" s="1585"/>
      <c r="Q542" s="1586"/>
      <c r="R542" s="1585"/>
      <c r="S542" s="1585"/>
      <c r="T542" s="1585"/>
      <c r="U542" s="1586"/>
      <c r="V542" s="1585"/>
      <c r="W542" s="1585"/>
      <c r="X542" s="1585"/>
      <c r="Y542" s="1586"/>
      <c r="Z542" s="1585"/>
      <c r="AA542" s="1585"/>
      <c r="AB542" s="1585"/>
      <c r="AC542" s="1586"/>
      <c r="AD542" s="1585"/>
      <c r="AE542" s="1585"/>
      <c r="AF542" s="1585"/>
      <c r="AG542" s="1586"/>
      <c r="AH542" s="1587"/>
      <c r="AI542" s="1587"/>
      <c r="AJ542" s="1587"/>
      <c r="AK542" s="1588"/>
      <c r="AL542" s="1587"/>
      <c r="AM542" s="1587"/>
      <c r="AN542" s="1587"/>
      <c r="AO542" s="1588"/>
      <c r="AP542" s="1587"/>
      <c r="AQ542" s="1587"/>
      <c r="AR542" s="1587"/>
      <c r="AS542" s="1588"/>
      <c r="AT542" s="1587"/>
      <c r="AU542" s="1587"/>
      <c r="AV542" s="1587"/>
      <c r="AW542" s="1588"/>
      <c r="AX542" s="1587"/>
      <c r="AY542" s="1587"/>
      <c r="AZ542" s="1587"/>
      <c r="BA542" s="1588"/>
      <c r="BB542" s="1588"/>
      <c r="BC542" s="1589"/>
      <c r="BD542" s="1652"/>
      <c r="BE542" s="1652">
        <v>5.0000000000000001E-3</v>
      </c>
      <c r="BF542" s="1652"/>
      <c r="BG542" s="1652"/>
      <c r="BH542" s="1652"/>
      <c r="BI542" s="1652"/>
      <c r="BJ542" s="1652"/>
      <c r="BK542" s="1652"/>
      <c r="BL542" s="1647"/>
      <c r="BM542" s="1647"/>
      <c r="BN542" s="1647"/>
      <c r="BO542" s="1647"/>
      <c r="BP542" s="1647"/>
      <c r="BR542" s="1595"/>
      <c r="BS542" s="1595"/>
      <c r="BT542" s="1595"/>
      <c r="BU542" s="1596"/>
    </row>
    <row r="543" spans="1:73" s="1594" customFormat="1" ht="12" hidden="1" customHeight="1" outlineLevel="2">
      <c r="A543" s="1610" t="s">
        <v>137</v>
      </c>
      <c r="B543" s="1585"/>
      <c r="C543" s="1585"/>
      <c r="D543" s="1585"/>
      <c r="E543" s="1586"/>
      <c r="F543" s="1585"/>
      <c r="G543" s="1585"/>
      <c r="H543" s="1585"/>
      <c r="I543" s="1586"/>
      <c r="J543" s="1585"/>
      <c r="K543" s="1585"/>
      <c r="L543" s="1585"/>
      <c r="M543" s="1586"/>
      <c r="N543" s="1585"/>
      <c r="O543" s="1585"/>
      <c r="P543" s="1585"/>
      <c r="Q543" s="1586"/>
      <c r="R543" s="1585"/>
      <c r="S543" s="1585"/>
      <c r="T543" s="1585"/>
      <c r="U543" s="1586"/>
      <c r="V543" s="1585"/>
      <c r="W543" s="1585"/>
      <c r="X543" s="1585"/>
      <c r="Y543" s="1586"/>
      <c r="Z543" s="1585"/>
      <c r="AA543" s="1585"/>
      <c r="AB543" s="1585"/>
      <c r="AC543" s="1586"/>
      <c r="AD543" s="1585"/>
      <c r="AE543" s="1585"/>
      <c r="AF543" s="1585"/>
      <c r="AG543" s="1586"/>
      <c r="AH543" s="1587"/>
      <c r="AI543" s="1587"/>
      <c r="AJ543" s="1587"/>
      <c r="AK543" s="1588"/>
      <c r="AL543" s="1587"/>
      <c r="AM543" s="1587"/>
      <c r="AN543" s="1587"/>
      <c r="AO543" s="1588"/>
      <c r="AP543" s="1587"/>
      <c r="AQ543" s="1587"/>
      <c r="AR543" s="1587"/>
      <c r="AS543" s="1588"/>
      <c r="AT543" s="1587"/>
      <c r="AU543" s="1587"/>
      <c r="AV543" s="1587"/>
      <c r="AW543" s="1588"/>
      <c r="AX543" s="1587"/>
      <c r="AY543" s="1587"/>
      <c r="AZ543" s="1587"/>
      <c r="BA543" s="1588"/>
      <c r="BB543" s="1588"/>
      <c r="BC543" s="1589"/>
      <c r="BD543" s="1652"/>
      <c r="BE543" s="1652">
        <v>3.0000000000000001E-3</v>
      </c>
      <c r="BF543" s="1652"/>
      <c r="BG543" s="1652"/>
      <c r="BH543" s="1652"/>
      <c r="BI543" s="1652"/>
      <c r="BJ543" s="1652"/>
      <c r="BK543" s="1652"/>
      <c r="BL543" s="1647"/>
      <c r="BM543" s="1647"/>
      <c r="BN543" s="1647"/>
      <c r="BO543" s="1647"/>
      <c r="BP543" s="1647"/>
      <c r="BR543" s="1595"/>
      <c r="BS543" s="1595"/>
      <c r="BT543" s="1595"/>
      <c r="BU543" s="1596"/>
    </row>
    <row r="544" spans="1:73" s="1594" customFormat="1" ht="12" hidden="1" customHeight="1" outlineLevel="2">
      <c r="A544" s="1610" t="s">
        <v>138</v>
      </c>
      <c r="B544" s="1585"/>
      <c r="C544" s="1585"/>
      <c r="D544" s="1585"/>
      <c r="E544" s="1586"/>
      <c r="F544" s="1585"/>
      <c r="G544" s="1585"/>
      <c r="H544" s="1585"/>
      <c r="I544" s="1586"/>
      <c r="J544" s="1585"/>
      <c r="K544" s="1585"/>
      <c r="L544" s="1585"/>
      <c r="M544" s="1586"/>
      <c r="N544" s="1585"/>
      <c r="O544" s="1585"/>
      <c r="P544" s="1585"/>
      <c r="Q544" s="1586"/>
      <c r="R544" s="1585"/>
      <c r="S544" s="1585"/>
      <c r="T544" s="1585"/>
      <c r="U544" s="1586"/>
      <c r="V544" s="1585"/>
      <c r="W544" s="1585"/>
      <c r="X544" s="1585"/>
      <c r="Y544" s="1586"/>
      <c r="Z544" s="1585"/>
      <c r="AA544" s="1585"/>
      <c r="AB544" s="1585"/>
      <c r="AC544" s="1586"/>
      <c r="AD544" s="1585"/>
      <c r="AE544" s="1585"/>
      <c r="AF544" s="1585"/>
      <c r="AG544" s="1586"/>
      <c r="AH544" s="1587"/>
      <c r="AI544" s="1587"/>
      <c r="AJ544" s="1587"/>
      <c r="AK544" s="1588"/>
      <c r="AL544" s="1587"/>
      <c r="AM544" s="1587"/>
      <c r="AN544" s="1587"/>
      <c r="AO544" s="1588"/>
      <c r="AP544" s="1587"/>
      <c r="AQ544" s="1587"/>
      <c r="AR544" s="1587"/>
      <c r="AS544" s="1588"/>
      <c r="AT544" s="1587"/>
      <c r="AU544" s="1587"/>
      <c r="AV544" s="1587"/>
      <c r="AW544" s="1588"/>
      <c r="AX544" s="1587"/>
      <c r="AY544" s="1587"/>
      <c r="AZ544" s="1587"/>
      <c r="BA544" s="1588"/>
      <c r="BB544" s="1588"/>
      <c r="BC544" s="1589"/>
      <c r="BD544" s="1652"/>
      <c r="BE544" s="1652">
        <v>3.0000000000000001E-3</v>
      </c>
      <c r="BF544" s="1652"/>
      <c r="BG544" s="1652"/>
      <c r="BH544" s="1652"/>
      <c r="BI544" s="1652"/>
      <c r="BJ544" s="1652"/>
      <c r="BK544" s="1652"/>
      <c r="BL544" s="1647"/>
      <c r="BM544" s="1647"/>
      <c r="BN544" s="1647"/>
      <c r="BO544" s="1647"/>
      <c r="BP544" s="1647"/>
      <c r="BR544" s="1595"/>
      <c r="BS544" s="1595"/>
      <c r="BT544" s="1595"/>
      <c r="BU544" s="1596"/>
    </row>
    <row r="545" spans="1:73" s="1594" customFormat="1" ht="12" hidden="1" customHeight="1" outlineLevel="2">
      <c r="A545" s="1610" t="s">
        <v>131</v>
      </c>
      <c r="B545" s="1585"/>
      <c r="C545" s="1585"/>
      <c r="D545" s="1585"/>
      <c r="E545" s="1586"/>
      <c r="F545" s="1585"/>
      <c r="G545" s="1585"/>
      <c r="H545" s="1585"/>
      <c r="I545" s="1586"/>
      <c r="J545" s="1585"/>
      <c r="K545" s="1585"/>
      <c r="L545" s="1585"/>
      <c r="M545" s="1586"/>
      <c r="N545" s="1585"/>
      <c r="O545" s="1585"/>
      <c r="P545" s="1585"/>
      <c r="Q545" s="1586"/>
      <c r="R545" s="1585"/>
      <c r="S545" s="1585"/>
      <c r="T545" s="1585"/>
      <c r="U545" s="1586"/>
      <c r="V545" s="1585"/>
      <c r="W545" s="1585"/>
      <c r="X545" s="1585"/>
      <c r="Y545" s="1586"/>
      <c r="Z545" s="1585"/>
      <c r="AA545" s="1585"/>
      <c r="AB545" s="1585"/>
      <c r="AC545" s="1586"/>
      <c r="AD545" s="1585"/>
      <c r="AE545" s="1585"/>
      <c r="AF545" s="1585"/>
      <c r="AG545" s="1586"/>
      <c r="AH545" s="1587"/>
      <c r="AI545" s="1587"/>
      <c r="AJ545" s="1587"/>
      <c r="AK545" s="1588"/>
      <c r="AL545" s="1587"/>
      <c r="AM545" s="1587"/>
      <c r="AN545" s="1587"/>
      <c r="AO545" s="1588"/>
      <c r="AP545" s="1587"/>
      <c r="AQ545" s="1587"/>
      <c r="AR545" s="1587"/>
      <c r="AS545" s="1588"/>
      <c r="AT545" s="1587"/>
      <c r="AU545" s="1587"/>
      <c r="AV545" s="1587"/>
      <c r="AW545" s="1588"/>
      <c r="AX545" s="1587"/>
      <c r="AY545" s="1587"/>
      <c r="AZ545" s="1587"/>
      <c r="BA545" s="1588"/>
      <c r="BB545" s="1588"/>
      <c r="BC545" s="1589"/>
      <c r="BD545" s="1652">
        <v>0.215</v>
      </c>
      <c r="BE545" s="1652">
        <v>0.215</v>
      </c>
      <c r="BF545" s="1652"/>
      <c r="BG545" s="1652"/>
      <c r="BH545" s="1652"/>
      <c r="BI545" s="1652"/>
      <c r="BJ545" s="1652"/>
      <c r="BK545" s="1652"/>
      <c r="BL545" s="1647"/>
      <c r="BM545" s="1647"/>
      <c r="BN545" s="1647"/>
      <c r="BO545" s="1647"/>
      <c r="BP545" s="1647"/>
      <c r="BR545" s="1595"/>
      <c r="BS545" s="1595"/>
      <c r="BT545" s="1595"/>
      <c r="BU545" s="1596"/>
    </row>
    <row r="546" spans="1:73" s="1594" customFormat="1" ht="12" hidden="1" customHeight="1" outlineLevel="2">
      <c r="A546" s="1610"/>
      <c r="B546" s="1585"/>
      <c r="C546" s="1585"/>
      <c r="D546" s="1585"/>
      <c r="E546" s="1586"/>
      <c r="F546" s="1585"/>
      <c r="G546" s="1585"/>
      <c r="H546" s="1585"/>
      <c r="I546" s="1586"/>
      <c r="J546" s="1585"/>
      <c r="K546" s="1585"/>
      <c r="L546" s="1585"/>
      <c r="M546" s="1586"/>
      <c r="N546" s="1585"/>
      <c r="O546" s="1585"/>
      <c r="P546" s="1585"/>
      <c r="Q546" s="1586"/>
      <c r="R546" s="1585"/>
      <c r="S546" s="1585"/>
      <c r="T546" s="1585"/>
      <c r="U546" s="1586"/>
      <c r="V546" s="1585"/>
      <c r="W546" s="1585"/>
      <c r="X546" s="1585"/>
      <c r="Y546" s="1586"/>
      <c r="Z546" s="1585"/>
      <c r="AA546" s="1585"/>
      <c r="AB546" s="1585"/>
      <c r="AC546" s="1586"/>
      <c r="AD546" s="1585"/>
      <c r="AE546" s="1585"/>
      <c r="AF546" s="1585"/>
      <c r="AG546" s="1586"/>
      <c r="AH546" s="1587"/>
      <c r="AI546" s="1587"/>
      <c r="AJ546" s="1587"/>
      <c r="AK546" s="1588"/>
      <c r="AL546" s="1587"/>
      <c r="AM546" s="1587"/>
      <c r="AN546" s="1587"/>
      <c r="AO546" s="1588"/>
      <c r="AP546" s="1587"/>
      <c r="AQ546" s="1587"/>
      <c r="AR546" s="1587"/>
      <c r="AS546" s="1588"/>
      <c r="AT546" s="1587"/>
      <c r="AU546" s="1587"/>
      <c r="AV546" s="1587"/>
      <c r="AW546" s="1588"/>
      <c r="AX546" s="1587"/>
      <c r="AY546" s="1587"/>
      <c r="AZ546" s="1587"/>
      <c r="BA546" s="1588"/>
      <c r="BB546" s="1588"/>
      <c r="BC546" s="1589"/>
      <c r="BD546" s="1652"/>
      <c r="BE546" s="1652"/>
      <c r="BF546" s="1652"/>
      <c r="BG546" s="1652"/>
      <c r="BH546" s="1652"/>
      <c r="BI546" s="1652"/>
      <c r="BJ546" s="1652"/>
      <c r="BK546" s="1652"/>
      <c r="BL546" s="1621"/>
      <c r="BM546" s="1621"/>
      <c r="BN546" s="1621"/>
      <c r="BO546" s="1621"/>
      <c r="BP546" s="1621"/>
      <c r="BR546" s="1595"/>
      <c r="BS546" s="1595"/>
      <c r="BT546" s="1595"/>
      <c r="BU546" s="1596"/>
    </row>
    <row r="547" spans="1:73" s="1594" customFormat="1" ht="12" hidden="1" customHeight="1" outlineLevel="2">
      <c r="A547" s="1610" t="s">
        <v>132</v>
      </c>
      <c r="B547" s="1585"/>
      <c r="C547" s="1585"/>
      <c r="D547" s="1585"/>
      <c r="E547" s="1586"/>
      <c r="F547" s="1585"/>
      <c r="G547" s="1585"/>
      <c r="H547" s="1585"/>
      <c r="I547" s="1586"/>
      <c r="J547" s="1585"/>
      <c r="K547" s="1585"/>
      <c r="L547" s="1585"/>
      <c r="M547" s="1586"/>
      <c r="N547" s="1585"/>
      <c r="O547" s="1585"/>
      <c r="P547" s="1585"/>
      <c r="Q547" s="1586"/>
      <c r="R547" s="1585"/>
      <c r="S547" s="1585"/>
      <c r="T547" s="1585"/>
      <c r="U547" s="1586"/>
      <c r="V547" s="1585"/>
      <c r="W547" s="1585"/>
      <c r="X547" s="1585"/>
      <c r="Y547" s="1586"/>
      <c r="Z547" s="1585"/>
      <c r="AA547" s="1585"/>
      <c r="AB547" s="1585"/>
      <c r="AC547" s="1586"/>
      <c r="AD547" s="1585"/>
      <c r="AE547" s="1585"/>
      <c r="AF547" s="1585"/>
      <c r="AG547" s="1586"/>
      <c r="AH547" s="1587"/>
      <c r="AI547" s="1587"/>
      <c r="AJ547" s="1587"/>
      <c r="AK547" s="1588"/>
      <c r="AL547" s="1587"/>
      <c r="AM547" s="1587"/>
      <c r="AN547" s="1587"/>
      <c r="AO547" s="1588"/>
      <c r="AP547" s="1587"/>
      <c r="AQ547" s="1587"/>
      <c r="AR547" s="1587"/>
      <c r="AS547" s="1588"/>
      <c r="AT547" s="1587"/>
      <c r="AU547" s="1587"/>
      <c r="AV547" s="1587"/>
      <c r="AW547" s="1588"/>
      <c r="AX547" s="1587"/>
      <c r="AY547" s="1587"/>
      <c r="AZ547" s="1587"/>
      <c r="BA547" s="1588"/>
      <c r="BB547" s="1588"/>
      <c r="BC547" s="1589"/>
      <c r="BD547" s="1652">
        <v>6.9000000000000006E-2</v>
      </c>
      <c r="BE547" s="1652">
        <v>8.7999999999999995E-2</v>
      </c>
      <c r="BF547" s="1652">
        <v>4.9000000000000002E-2</v>
      </c>
      <c r="BG547" s="1652">
        <v>5.6000000000000001E-2</v>
      </c>
      <c r="BH547" s="1652"/>
      <c r="BI547" s="1652"/>
      <c r="BJ547" s="1652"/>
      <c r="BK547" s="1652"/>
      <c r="BL547" s="1621"/>
      <c r="BM547" s="1621"/>
      <c r="BN547" s="1621"/>
      <c r="BO547" s="1621"/>
      <c r="BP547" s="1621"/>
      <c r="BR547" s="1595"/>
      <c r="BS547" s="1595"/>
      <c r="BT547" s="1595"/>
      <c r="BU547" s="1596"/>
    </row>
    <row r="548" spans="1:73" s="1594" customFormat="1" ht="12" hidden="1" customHeight="1" outlineLevel="2">
      <c r="A548" s="1610" t="s">
        <v>133</v>
      </c>
      <c r="B548" s="1585"/>
      <c r="C548" s="1585"/>
      <c r="D548" s="1585"/>
      <c r="E548" s="1586"/>
      <c r="F548" s="1585"/>
      <c r="G548" s="1585"/>
      <c r="H548" s="1585"/>
      <c r="I548" s="1586"/>
      <c r="J548" s="1585"/>
      <c r="K548" s="1585"/>
      <c r="L548" s="1585"/>
      <c r="M548" s="1586"/>
      <c r="N548" s="1585"/>
      <c r="O548" s="1585"/>
      <c r="P548" s="1585"/>
      <c r="Q548" s="1586"/>
      <c r="R548" s="1585"/>
      <c r="S548" s="1585"/>
      <c r="T548" s="1585"/>
      <c r="U548" s="1586"/>
      <c r="V548" s="1585"/>
      <c r="W548" s="1585"/>
      <c r="X548" s="1585"/>
      <c r="Y548" s="1586"/>
      <c r="Z548" s="1585"/>
      <c r="AA548" s="1585"/>
      <c r="AB548" s="1585"/>
      <c r="AC548" s="1586"/>
      <c r="AD548" s="1585"/>
      <c r="AE548" s="1585"/>
      <c r="AF548" s="1585"/>
      <c r="AG548" s="1586"/>
      <c r="AH548" s="1587"/>
      <c r="AI548" s="1587"/>
      <c r="AJ548" s="1587"/>
      <c r="AK548" s="1588"/>
      <c r="AL548" s="1587"/>
      <c r="AM548" s="1587"/>
      <c r="AN548" s="1587"/>
      <c r="AO548" s="1588"/>
      <c r="AP548" s="1587"/>
      <c r="AQ548" s="1587"/>
      <c r="AR548" s="1587"/>
      <c r="AS548" s="1588"/>
      <c r="AT548" s="1587"/>
      <c r="AU548" s="1587"/>
      <c r="AV548" s="1587"/>
      <c r="AW548" s="1588"/>
      <c r="AX548" s="1587"/>
      <c r="AY548" s="1587"/>
      <c r="AZ548" s="1587"/>
      <c r="BA548" s="1588"/>
      <c r="BB548" s="1588"/>
      <c r="BC548" s="1589"/>
      <c r="BD548" s="1652">
        <v>0.8</v>
      </c>
      <c r="BE548" s="1652">
        <v>1.4</v>
      </c>
      <c r="BF548" s="1652">
        <v>1.9</v>
      </c>
      <c r="BG548" s="1652">
        <v>2.2999999999999998</v>
      </c>
      <c r="BH548" s="1652"/>
      <c r="BI548" s="1652"/>
      <c r="BJ548" s="1652"/>
      <c r="BK548" s="1652"/>
      <c r="BL548" s="1647"/>
      <c r="BM548" s="1647"/>
      <c r="BN548" s="1647"/>
      <c r="BO548" s="1647"/>
      <c r="BP548" s="1647"/>
      <c r="BR548" s="1595"/>
      <c r="BS548" s="1595"/>
      <c r="BT548" s="1595"/>
      <c r="BU548" s="1596"/>
    </row>
    <row r="549" spans="1:73" s="1594" customFormat="1" ht="12" hidden="1" customHeight="1" outlineLevel="2">
      <c r="A549" s="1610" t="s">
        <v>134</v>
      </c>
      <c r="B549" s="1585"/>
      <c r="C549" s="1585"/>
      <c r="D549" s="1585"/>
      <c r="E549" s="1586"/>
      <c r="F549" s="1585"/>
      <c r="G549" s="1585"/>
      <c r="H549" s="1585"/>
      <c r="I549" s="1586"/>
      <c r="J549" s="1585"/>
      <c r="K549" s="1585"/>
      <c r="L549" s="1585"/>
      <c r="M549" s="1586"/>
      <c r="N549" s="1585"/>
      <c r="O549" s="1585"/>
      <c r="P549" s="1585"/>
      <c r="Q549" s="1586"/>
      <c r="R549" s="1585"/>
      <c r="S549" s="1585"/>
      <c r="T549" s="1585"/>
      <c r="U549" s="1586"/>
      <c r="V549" s="1585"/>
      <c r="W549" s="1585"/>
      <c r="X549" s="1585"/>
      <c r="Y549" s="1586"/>
      <c r="Z549" s="1585"/>
      <c r="AA549" s="1585"/>
      <c r="AB549" s="1585"/>
      <c r="AC549" s="1586"/>
      <c r="AD549" s="1585"/>
      <c r="AE549" s="1585"/>
      <c r="AF549" s="1585"/>
      <c r="AG549" s="1586"/>
      <c r="AH549" s="1587"/>
      <c r="AI549" s="1587"/>
      <c r="AJ549" s="1587"/>
      <c r="AK549" s="1588"/>
      <c r="AL549" s="1587"/>
      <c r="AM549" s="1587"/>
      <c r="AN549" s="1587"/>
      <c r="AO549" s="1588"/>
      <c r="AP549" s="1587"/>
      <c r="AQ549" s="1587"/>
      <c r="AR549" s="1587"/>
      <c r="AS549" s="1588"/>
      <c r="AT549" s="1587"/>
      <c r="AU549" s="1587"/>
      <c r="AV549" s="1587"/>
      <c r="AW549" s="1588"/>
      <c r="AX549" s="1587"/>
      <c r="AY549" s="1587"/>
      <c r="AZ549" s="1587"/>
      <c r="BA549" s="1588"/>
      <c r="BB549" s="1588"/>
      <c r="BC549" s="1589"/>
      <c r="BD549" s="1652">
        <v>0.79</v>
      </c>
      <c r="BE549" s="1652">
        <v>0.81</v>
      </c>
      <c r="BF549" s="1652">
        <v>0.79</v>
      </c>
      <c r="BG549" s="1652">
        <v>0.79</v>
      </c>
      <c r="BH549" s="1652"/>
      <c r="BI549" s="1652"/>
      <c r="BJ549" s="1652"/>
      <c r="BK549" s="1652"/>
      <c r="BL549" s="1647"/>
      <c r="BM549" s="1647"/>
      <c r="BN549" s="1647"/>
      <c r="BO549" s="1647"/>
      <c r="BP549" s="1647"/>
      <c r="BR549" s="1595"/>
      <c r="BS549" s="1595"/>
      <c r="BT549" s="1595"/>
      <c r="BU549" s="1596"/>
    </row>
    <row r="550" spans="1:73" s="1594" customFormat="1" ht="12" hidden="1" customHeight="1" outlineLevel="2">
      <c r="A550" s="1610" t="s">
        <v>139</v>
      </c>
      <c r="B550" s="1585"/>
      <c r="C550" s="1585"/>
      <c r="D550" s="1585"/>
      <c r="E550" s="1586"/>
      <c r="F550" s="1585"/>
      <c r="G550" s="1585"/>
      <c r="H550" s="1585"/>
      <c r="I550" s="1586"/>
      <c r="J550" s="1585"/>
      <c r="K550" s="1585"/>
      <c r="L550" s="1585"/>
      <c r="M550" s="1586"/>
      <c r="N550" s="1585"/>
      <c r="O550" s="1585"/>
      <c r="P550" s="1585"/>
      <c r="Q550" s="1586"/>
      <c r="R550" s="1585"/>
      <c r="S550" s="1585"/>
      <c r="T550" s="1585"/>
      <c r="U550" s="1586"/>
      <c r="V550" s="1585"/>
      <c r="W550" s="1585"/>
      <c r="X550" s="1585"/>
      <c r="Y550" s="1586"/>
      <c r="Z550" s="1585"/>
      <c r="AA550" s="1585"/>
      <c r="AB550" s="1585"/>
      <c r="AC550" s="1586"/>
      <c r="AD550" s="1585"/>
      <c r="AE550" s="1585"/>
      <c r="AF550" s="1585"/>
      <c r="AG550" s="1586"/>
      <c r="AH550" s="1587"/>
      <c r="AI550" s="1587"/>
      <c r="AJ550" s="1587"/>
      <c r="AK550" s="1588"/>
      <c r="AL550" s="1587"/>
      <c r="AM550" s="1587"/>
      <c r="AN550" s="1587"/>
      <c r="AO550" s="1588"/>
      <c r="AP550" s="1587"/>
      <c r="AQ550" s="1587"/>
      <c r="AR550" s="1587"/>
      <c r="AS550" s="1588"/>
      <c r="AT550" s="1587"/>
      <c r="AU550" s="1587"/>
      <c r="AV550" s="1587"/>
      <c r="AW550" s="1588"/>
      <c r="AX550" s="1587"/>
      <c r="AY550" s="1587"/>
      <c r="AZ550" s="1587"/>
      <c r="BA550" s="1588"/>
      <c r="BB550" s="1588"/>
      <c r="BC550" s="1589"/>
      <c r="BD550" s="1652"/>
      <c r="BE550" s="1652"/>
      <c r="BF550" s="1652">
        <v>8.5000000000000006E-2</v>
      </c>
      <c r="BG550" s="1652">
        <v>8.5000000000000006E-2</v>
      </c>
      <c r="BH550" s="1652"/>
      <c r="BI550" s="1652"/>
      <c r="BJ550" s="1652"/>
      <c r="BK550" s="1652"/>
      <c r="BL550" s="1647"/>
      <c r="BM550" s="1647"/>
      <c r="BN550" s="1647"/>
      <c r="BO550" s="1647"/>
      <c r="BP550" s="1647"/>
      <c r="BR550" s="1595"/>
      <c r="BS550" s="1595"/>
      <c r="BT550" s="1595"/>
      <c r="BU550" s="1596"/>
    </row>
    <row r="551" spans="1:73" s="1594" customFormat="1" ht="12" hidden="1" customHeight="1" outlineLevel="2" collapsed="1">
      <c r="A551" s="1610"/>
      <c r="B551" s="1585"/>
      <c r="C551" s="1585"/>
      <c r="D551" s="1585"/>
      <c r="E551" s="1586"/>
      <c r="F551" s="1585"/>
      <c r="G551" s="1585"/>
      <c r="H551" s="1585"/>
      <c r="I551" s="1586"/>
      <c r="J551" s="1585"/>
      <c r="K551" s="1585"/>
      <c r="L551" s="1585"/>
      <c r="M551" s="1586"/>
      <c r="N551" s="1585"/>
      <c r="O551" s="1585"/>
      <c r="P551" s="1585"/>
      <c r="Q551" s="1586"/>
      <c r="R551" s="1585"/>
      <c r="S551" s="1585"/>
      <c r="T551" s="1585"/>
      <c r="U551" s="1586"/>
      <c r="V551" s="1585"/>
      <c r="W551" s="1585"/>
      <c r="X551" s="1585"/>
      <c r="Y551" s="1586"/>
      <c r="Z551" s="1585"/>
      <c r="AA551" s="1585"/>
      <c r="AB551" s="1585"/>
      <c r="AC551" s="1586"/>
      <c r="AD551" s="1585"/>
      <c r="AE551" s="1585"/>
      <c r="AF551" s="1585"/>
      <c r="AG551" s="1586"/>
      <c r="AH551" s="1587"/>
      <c r="AI551" s="1587"/>
      <c r="AJ551" s="1587"/>
      <c r="AK551" s="1588"/>
      <c r="AL551" s="1587"/>
      <c r="AM551" s="1587"/>
      <c r="AN551" s="1587"/>
      <c r="AO551" s="1588"/>
      <c r="AP551" s="1587"/>
      <c r="AQ551" s="1587"/>
      <c r="AR551" s="1587"/>
      <c r="AS551" s="1588"/>
      <c r="AT551" s="1587"/>
      <c r="AU551" s="1587"/>
      <c r="AV551" s="1587"/>
      <c r="AW551" s="1588"/>
      <c r="AX551" s="1587"/>
      <c r="AY551" s="1587"/>
      <c r="AZ551" s="1587"/>
      <c r="BA551" s="1588"/>
      <c r="BB551" s="1588"/>
      <c r="BC551" s="1589"/>
      <c r="BD551" s="1652"/>
      <c r="BE551" s="1652"/>
      <c r="BF551" s="1652"/>
      <c r="BG551" s="1652"/>
      <c r="BH551" s="1652"/>
      <c r="BI551" s="1652"/>
      <c r="BJ551" s="1652"/>
      <c r="BK551" s="1652"/>
      <c r="BL551" s="1647"/>
      <c r="BM551" s="1647"/>
      <c r="BN551" s="1647"/>
      <c r="BO551" s="1647"/>
      <c r="BP551" s="1647"/>
      <c r="BR551" s="1595"/>
      <c r="BS551" s="1595"/>
      <c r="BT551" s="1595"/>
      <c r="BU551" s="1596"/>
    </row>
    <row r="552" spans="1:73" ht="12" customHeight="1" collapsed="1">
      <c r="A552" s="1180" t="s">
        <v>86</v>
      </c>
      <c r="B552" s="1181"/>
      <c r="C552" s="1181"/>
      <c r="D552" s="1181"/>
      <c r="E552" s="1181"/>
      <c r="F552" s="1181"/>
      <c r="G552" s="1181"/>
      <c r="H552" s="1181"/>
      <c r="I552" s="1182"/>
      <c r="J552" s="1182"/>
      <c r="K552" s="1182"/>
      <c r="L552" s="1182"/>
      <c r="M552" s="1182"/>
      <c r="N552" s="1182"/>
      <c r="O552" s="1182"/>
      <c r="P552" s="1182"/>
      <c r="Q552" s="1182"/>
      <c r="R552" s="1182"/>
      <c r="S552" s="1182"/>
      <c r="T552" s="1182"/>
      <c r="U552" s="1182"/>
      <c r="V552" s="1182"/>
      <c r="W552" s="1182"/>
      <c r="X552" s="1182"/>
      <c r="Y552" s="1182"/>
      <c r="Z552" s="1182"/>
      <c r="AA552" s="1182"/>
      <c r="AB552" s="1182"/>
      <c r="AC552" s="1182"/>
      <c r="AD552" s="1182"/>
      <c r="AE552" s="1182"/>
      <c r="AF552" s="1182"/>
      <c r="AG552" s="1182"/>
      <c r="AH552" s="1182"/>
      <c r="AI552" s="1182"/>
      <c r="AJ552" s="1182"/>
      <c r="AK552" s="1182"/>
      <c r="AL552" s="1182"/>
      <c r="AM552" s="1182"/>
      <c r="AN552" s="1182"/>
      <c r="AO552" s="1182"/>
      <c r="AP552" s="1182"/>
      <c r="AQ552" s="1182"/>
      <c r="AR552" s="1182"/>
      <c r="AS552" s="1182"/>
      <c r="AT552" s="1182"/>
      <c r="AU552" s="1182"/>
      <c r="AV552" s="1182"/>
      <c r="AW552" s="1182"/>
      <c r="AX552" s="1182"/>
      <c r="AY552" s="1182"/>
      <c r="AZ552" s="1182"/>
      <c r="BA552" s="1182"/>
      <c r="BB552" s="861"/>
      <c r="BC552" s="1182"/>
      <c r="BD552" s="1182"/>
      <c r="BE552" s="1182"/>
      <c r="BF552" s="1182"/>
      <c r="BG552" s="1182"/>
      <c r="BH552" s="1182"/>
      <c r="BI552" s="1182"/>
      <c r="BJ552" s="1182"/>
      <c r="BK552" s="1182"/>
      <c r="BL552" s="1182"/>
      <c r="BM552" s="1182"/>
      <c r="BN552" s="1182"/>
      <c r="BO552" s="1182"/>
      <c r="BP552" s="1182"/>
      <c r="BU552" s="1265"/>
    </row>
    <row r="553" spans="1:73" ht="12" customHeight="1">
      <c r="A553" s="1234"/>
      <c r="B553" s="1872"/>
      <c r="C553" s="1872"/>
      <c r="D553" s="1872"/>
      <c r="E553" s="1872"/>
      <c r="F553" s="1872"/>
      <c r="G553" s="1872"/>
      <c r="H553" s="1872"/>
      <c r="I553" s="859"/>
      <c r="J553" s="859"/>
      <c r="K553" s="859"/>
      <c r="L553" s="859"/>
      <c r="M553" s="859"/>
      <c r="N553" s="859"/>
      <c r="O553" s="859"/>
      <c r="P553" s="859"/>
      <c r="Q553" s="859"/>
      <c r="R553" s="859"/>
      <c r="S553" s="859"/>
      <c r="T553" s="859"/>
      <c r="U553" s="859"/>
      <c r="V553" s="859"/>
      <c r="W553" s="859"/>
      <c r="X553" s="859"/>
      <c r="Y553" s="859"/>
      <c r="Z553" s="859"/>
      <c r="AA553" s="859"/>
      <c r="AB553" s="859"/>
      <c r="AC553" s="859"/>
      <c r="AD553" s="859"/>
      <c r="AE553" s="859"/>
      <c r="AF553" s="859"/>
      <c r="AG553" s="859"/>
      <c r="AH553" s="859"/>
      <c r="AI553" s="859"/>
      <c r="AJ553" s="859"/>
      <c r="AK553" s="859"/>
      <c r="AL553" s="859"/>
      <c r="AM553" s="859"/>
      <c r="AN553" s="859"/>
      <c r="AO553" s="859"/>
      <c r="AP553" s="859"/>
      <c r="AQ553" s="859"/>
      <c r="AR553" s="859"/>
      <c r="AS553" s="859"/>
      <c r="AT553" s="859"/>
      <c r="AU553" s="859"/>
      <c r="AV553" s="859"/>
      <c r="AW553" s="859"/>
      <c r="AX553" s="859"/>
      <c r="AY553" s="859"/>
      <c r="AZ553" s="859"/>
      <c r="BA553" s="859"/>
      <c r="BB553" s="861"/>
      <c r="BC553" s="859"/>
      <c r="BD553" s="859"/>
      <c r="BE553" s="859"/>
      <c r="BF553" s="859"/>
      <c r="BG553" s="859"/>
      <c r="BH553" s="859"/>
      <c r="BI553" s="859"/>
      <c r="BJ553" s="859"/>
      <c r="BK553" s="859"/>
      <c r="BL553" s="859"/>
      <c r="BM553" s="859"/>
      <c r="BN553" s="859"/>
      <c r="BO553" s="859"/>
      <c r="BP553" s="859"/>
      <c r="BU553" s="1265"/>
    </row>
    <row r="554" spans="1:73" s="288" customFormat="1" ht="12" customHeight="1">
      <c r="A554" s="733"/>
      <c r="B554" s="2160">
        <f>+B390</f>
        <v>0</v>
      </c>
      <c r="C554" s="2160"/>
      <c r="D554" s="2160"/>
      <c r="E554" s="2161"/>
      <c r="F554" s="2160">
        <f>+F390</f>
        <v>0</v>
      </c>
      <c r="G554" s="2160"/>
      <c r="H554" s="2160"/>
      <c r="I554" s="2161"/>
      <c r="J554" s="2160">
        <f>+J390</f>
        <v>0</v>
      </c>
      <c r="K554" s="2160"/>
      <c r="L554" s="2160"/>
      <c r="M554" s="2161"/>
      <c r="N554" s="2160">
        <f>+N390</f>
        <v>0</v>
      </c>
      <c r="O554" s="2160"/>
      <c r="P554" s="2160"/>
      <c r="Q554" s="2161"/>
      <c r="R554" s="2160">
        <f>+R390</f>
        <v>0</v>
      </c>
      <c r="S554" s="2160"/>
      <c r="T554" s="2160"/>
      <c r="U554" s="2161"/>
      <c r="V554" s="2162" t="str">
        <f>V226</f>
        <v>Fiscal 2021</v>
      </c>
      <c r="W554" s="2163"/>
      <c r="X554" s="2163"/>
      <c r="Y554" s="2164"/>
      <c r="Z554" s="2162" t="str">
        <f>Z226</f>
        <v>Fiscal 2022</v>
      </c>
      <c r="AA554" s="2163"/>
      <c r="AB554" s="2163"/>
      <c r="AC554" s="2164"/>
      <c r="AD554" s="2162" t="str">
        <f>AD226</f>
        <v>Fiscal 2023</v>
      </c>
      <c r="AE554" s="2163"/>
      <c r="AF554" s="2163"/>
      <c r="AG554" s="2164"/>
      <c r="AH554" s="2162" t="str">
        <f>AH226</f>
        <v>Fiscal 2024</v>
      </c>
      <c r="AI554" s="2163"/>
      <c r="AJ554" s="2163"/>
      <c r="AK554" s="2164"/>
      <c r="AL554" s="2162" t="str">
        <f>AL226</f>
        <v>Fiscal 2025</v>
      </c>
      <c r="AM554" s="2163"/>
      <c r="AN554" s="2163"/>
      <c r="AO554" s="2164"/>
      <c r="AP554" s="2162" t="str">
        <f>AP226</f>
        <v>Fiscal 2026</v>
      </c>
      <c r="AQ554" s="2163"/>
      <c r="AR554" s="2163"/>
      <c r="AS554" s="2164"/>
      <c r="AT554" s="2162" t="str">
        <f>AT226</f>
        <v>Fiscal 2027</v>
      </c>
      <c r="AU554" s="2163"/>
      <c r="AV554" s="2163"/>
      <c r="AW554" s="2164"/>
      <c r="AX554" s="2162" t="str">
        <f>AX226</f>
        <v>Fiscal 2028</v>
      </c>
      <c r="AY554" s="2163"/>
      <c r="AZ554" s="2163"/>
      <c r="BA554" s="2164"/>
      <c r="BB554" s="285"/>
      <c r="BC554" s="2157"/>
      <c r="BD554" s="2158"/>
      <c r="BE554" s="2158"/>
      <c r="BF554" s="2158"/>
      <c r="BG554" s="2158"/>
      <c r="BH554" s="2158"/>
      <c r="BI554" s="2158"/>
      <c r="BJ554" s="2158"/>
      <c r="BK554" s="2158"/>
      <c r="BL554" s="2158"/>
      <c r="BM554" s="2158"/>
      <c r="BN554" s="2158"/>
      <c r="BO554" s="2158"/>
      <c r="BP554" s="2159"/>
      <c r="BQ554" s="1029"/>
      <c r="BR554" s="1378"/>
      <c r="BS554" s="1378"/>
      <c r="BT554" s="1378"/>
      <c r="BU554" s="1259"/>
    </row>
    <row r="555" spans="1:73" s="305" customFormat="1" ht="12" customHeight="1">
      <c r="A555" s="1030"/>
      <c r="B555" s="177">
        <f>+B391</f>
        <v>0</v>
      </c>
      <c r="C555" s="177">
        <f>+C391</f>
        <v>0</v>
      </c>
      <c r="D555" s="177">
        <f>+D391</f>
        <v>0</v>
      </c>
      <c r="E555" s="295">
        <f>+E391</f>
        <v>0</v>
      </c>
      <c r="F555" s="1031">
        <f>+F391</f>
        <v>0</v>
      </c>
      <c r="G555" s="177">
        <f>+G391</f>
        <v>0</v>
      </c>
      <c r="H555" s="177">
        <f>+H391</f>
        <v>0</v>
      </c>
      <c r="I555" s="177">
        <f>+I391</f>
        <v>0</v>
      </c>
      <c r="J555" s="1031">
        <f>+J391</f>
        <v>0</v>
      </c>
      <c r="K555" s="177">
        <f>+K391</f>
        <v>0</v>
      </c>
      <c r="L555" s="177">
        <f>+L391</f>
        <v>0</v>
      </c>
      <c r="M555" s="295">
        <f>+M391</f>
        <v>0</v>
      </c>
      <c r="N555" s="177">
        <f>+N391</f>
        <v>0</v>
      </c>
      <c r="O555" s="177">
        <f>+O391</f>
        <v>0</v>
      </c>
      <c r="P555" s="177">
        <f>+P391</f>
        <v>0</v>
      </c>
      <c r="Q555" s="295">
        <f>+Q391</f>
        <v>0</v>
      </c>
      <c r="R555" s="177">
        <f>+R391</f>
        <v>0</v>
      </c>
      <c r="S555" s="177">
        <f>+S391</f>
        <v>0</v>
      </c>
      <c r="T555" s="177">
        <f>+T391</f>
        <v>0</v>
      </c>
      <c r="U555" s="178">
        <f>+U391</f>
        <v>0</v>
      </c>
      <c r="V555" s="290">
        <f t="shared" ref="V555:BA555" si="3224">V4</f>
        <v>44135</v>
      </c>
      <c r="W555" s="177" t="str">
        <f t="shared" si="3224"/>
        <v>Jan-21</v>
      </c>
      <c r="X555" s="177" t="str">
        <f t="shared" si="3224"/>
        <v>Apr-21</v>
      </c>
      <c r="Y555" s="178" t="str">
        <f t="shared" si="3224"/>
        <v>Jul-21</v>
      </c>
      <c r="Z555" s="290" t="str">
        <f t="shared" si="3224"/>
        <v>Oct-21</v>
      </c>
      <c r="AA555" s="177" t="str">
        <f t="shared" si="3224"/>
        <v>Jan-22</v>
      </c>
      <c r="AB555" s="177" t="str">
        <f t="shared" si="3224"/>
        <v>Apr-22</v>
      </c>
      <c r="AC555" s="178" t="str">
        <f t="shared" si="3224"/>
        <v>Jul-22</v>
      </c>
      <c r="AD555" s="400" t="str">
        <f t="shared" si="3224"/>
        <v>Oct-22</v>
      </c>
      <c r="AE555" s="398" t="str">
        <f t="shared" si="3224"/>
        <v>Jan-23</v>
      </c>
      <c r="AF555" s="398" t="str">
        <f t="shared" si="3224"/>
        <v>Apr-23</v>
      </c>
      <c r="AG555" s="399" t="str">
        <f t="shared" si="3224"/>
        <v>Jul-23</v>
      </c>
      <c r="AH555" s="400" t="str">
        <f t="shared" si="3224"/>
        <v>Oct-23</v>
      </c>
      <c r="AI555" s="398" t="str">
        <f t="shared" si="3224"/>
        <v>Jan-24</v>
      </c>
      <c r="AJ555" s="398" t="str">
        <f t="shared" si="3224"/>
        <v>Apr-24</v>
      </c>
      <c r="AK555" s="399" t="str">
        <f t="shared" si="3224"/>
        <v>Jul-24</v>
      </c>
      <c r="AL555" s="400" t="str">
        <f t="shared" si="3224"/>
        <v>Oct-24</v>
      </c>
      <c r="AM555" s="398" t="str">
        <f t="shared" si="3224"/>
        <v>Jan-25</v>
      </c>
      <c r="AN555" s="398" t="str">
        <f t="shared" si="3224"/>
        <v>Apr-25</v>
      </c>
      <c r="AO555" s="399" t="str">
        <f t="shared" si="3224"/>
        <v>Jul-25</v>
      </c>
      <c r="AP555" s="400" t="str">
        <f t="shared" si="3224"/>
        <v>Oct-25</v>
      </c>
      <c r="AQ555" s="398" t="str">
        <f t="shared" ref="AQ555" si="3225">AQ4</f>
        <v>Jan-26</v>
      </c>
      <c r="AR555" s="398" t="str">
        <f t="shared" si="3224"/>
        <v>Apr-26E</v>
      </c>
      <c r="AS555" s="399" t="str">
        <f t="shared" si="3224"/>
        <v>Jul-26E</v>
      </c>
      <c r="AT555" s="400" t="str">
        <f t="shared" si="3224"/>
        <v>Oct-26E</v>
      </c>
      <c r="AU555" s="398" t="str">
        <f t="shared" si="3224"/>
        <v>Jan-27E</v>
      </c>
      <c r="AV555" s="398" t="str">
        <f t="shared" si="3224"/>
        <v>Apr-27E</v>
      </c>
      <c r="AW555" s="399" t="str">
        <f t="shared" si="3224"/>
        <v>Jul-27E</v>
      </c>
      <c r="AX555" s="400" t="str">
        <f t="shared" si="3224"/>
        <v>Oct-27E</v>
      </c>
      <c r="AY555" s="398" t="str">
        <f t="shared" si="3224"/>
        <v>Jan-28E</v>
      </c>
      <c r="AZ555" s="398" t="str">
        <f t="shared" si="3224"/>
        <v>Apr-28E</v>
      </c>
      <c r="BA555" s="399" t="str">
        <f t="shared" si="3224"/>
        <v>Jul-28E</v>
      </c>
      <c r="BB555" s="1055"/>
      <c r="BC555" s="1767" t="str">
        <f t="shared" ref="BC555:BH555" si="3226">+BC4</f>
        <v>FY15</v>
      </c>
      <c r="BD555" s="1767" t="str">
        <f t="shared" si="3226"/>
        <v>FY16</v>
      </c>
      <c r="BE555" s="1767" t="str">
        <f t="shared" si="3226"/>
        <v>FY17</v>
      </c>
      <c r="BF555" s="1767" t="str">
        <f t="shared" si="3226"/>
        <v>FY18</v>
      </c>
      <c r="BG555" s="1767" t="str">
        <f t="shared" si="3226"/>
        <v>FY19</v>
      </c>
      <c r="BH555" s="1767" t="str">
        <f t="shared" si="3226"/>
        <v>FY20</v>
      </c>
      <c r="BI555" s="1767" t="str">
        <f>+BI4</f>
        <v>FY21</v>
      </c>
      <c r="BJ555" s="1767" t="str">
        <f>+BJ4</f>
        <v>FY22</v>
      </c>
      <c r="BK555" s="1767" t="str">
        <f>+BK4</f>
        <v>FY23</v>
      </c>
      <c r="BL555" s="404" t="str">
        <f t="shared" ref="BL555:BP555" si="3227">+BL4</f>
        <v>FY24</v>
      </c>
      <c r="BM555" s="404" t="str">
        <f t="shared" si="3227"/>
        <v>FY25</v>
      </c>
      <c r="BN555" s="1362" t="str">
        <f t="shared" si="3227"/>
        <v>FY26E</v>
      </c>
      <c r="BO555" s="1362" t="str">
        <f t="shared" si="3227"/>
        <v>FY27E</v>
      </c>
      <c r="BP555" s="1362" t="str">
        <f t="shared" si="3227"/>
        <v>FY28E</v>
      </c>
      <c r="BR555" s="1379"/>
      <c r="BS555" s="1379"/>
      <c r="BT555" s="1379"/>
      <c r="BU555" s="1260"/>
    </row>
    <row r="556" spans="1:73" s="305" customFormat="1" ht="12" customHeight="1">
      <c r="A556" s="1156" t="s">
        <v>386</v>
      </c>
      <c r="B556" s="1154"/>
      <c r="C556" s="1154"/>
      <c r="D556" s="1154"/>
      <c r="E556" s="1155"/>
      <c r="F556" s="1154"/>
      <c r="G556" s="1154"/>
      <c r="H556" s="1154"/>
      <c r="I556" s="1155"/>
      <c r="J556" s="1154"/>
      <c r="K556" s="1154"/>
      <c r="L556" s="1154"/>
      <c r="M556" s="1155"/>
      <c r="N556" s="1154"/>
      <c r="O556" s="1154"/>
      <c r="P556" s="1154"/>
      <c r="Q556" s="1155"/>
      <c r="R556" s="1154"/>
      <c r="S556" s="1154"/>
      <c r="T556" s="1154"/>
      <c r="U556" s="1155"/>
      <c r="V556" s="1154"/>
      <c r="W556" s="1154"/>
      <c r="X556" s="1154"/>
      <c r="Y556" s="1155"/>
      <c r="Z556" s="1154"/>
      <c r="AA556" s="1154"/>
      <c r="AB556" s="1154"/>
      <c r="AC556" s="1155"/>
      <c r="AD556" s="1154"/>
      <c r="AE556" s="1154"/>
      <c r="AF556" s="1154"/>
      <c r="AG556" s="1155"/>
      <c r="AH556" s="1157"/>
      <c r="AI556" s="1157"/>
      <c r="AJ556" s="1157"/>
      <c r="AK556" s="1158"/>
      <c r="AL556" s="1157"/>
      <c r="AM556" s="1157"/>
      <c r="AN556" s="1157"/>
      <c r="AO556" s="1158"/>
      <c r="AP556" s="1157"/>
      <c r="AQ556" s="1157"/>
      <c r="AR556" s="1157"/>
      <c r="AS556" s="1158"/>
      <c r="AT556" s="1157"/>
      <c r="AU556" s="1157"/>
      <c r="AV556" s="1157"/>
      <c r="AW556" s="1158"/>
      <c r="AX556" s="1157"/>
      <c r="AY556" s="1157"/>
      <c r="AZ556" s="1157"/>
      <c r="BA556" s="1158"/>
      <c r="BB556" s="401"/>
      <c r="BC556" s="1161"/>
      <c r="BD556" s="1161"/>
      <c r="BE556" s="1166"/>
      <c r="BF556" s="1167"/>
      <c r="BG556" s="1167"/>
      <c r="BH556" s="1167"/>
      <c r="BI556" s="1167"/>
      <c r="BJ556" s="1166"/>
      <c r="BK556" s="1768"/>
      <c r="BL556" s="1166"/>
      <c r="BM556" s="1166"/>
      <c r="BN556" s="1166"/>
      <c r="BO556" s="1166"/>
      <c r="BP556" s="1166"/>
      <c r="BR556" s="1379"/>
      <c r="BS556" s="1379"/>
      <c r="BT556" s="1379"/>
      <c r="BU556" s="1260"/>
    </row>
    <row r="557" spans="1:73" s="304" customFormat="1" ht="11.65" customHeight="1">
      <c r="A557" s="1547" t="s">
        <v>595</v>
      </c>
      <c r="B557" s="836"/>
      <c r="C557" s="837"/>
      <c r="D557" s="837"/>
      <c r="E557" s="838"/>
      <c r="F557" s="837"/>
      <c r="G557" s="837"/>
      <c r="H557" s="837"/>
      <c r="I557" s="838"/>
      <c r="J557" s="837"/>
      <c r="K557" s="837"/>
      <c r="L557" s="837"/>
      <c r="M557" s="838"/>
      <c r="N557" s="836"/>
      <c r="O557" s="836"/>
      <c r="P557" s="836"/>
      <c r="Q557" s="1041"/>
      <c r="R557" s="836"/>
      <c r="S557" s="1294"/>
      <c r="T557" s="1294"/>
      <c r="U557" s="1557"/>
      <c r="V557" s="1294"/>
      <c r="W557" s="1294"/>
      <c r="X557" s="1294"/>
      <c r="Y557" s="1557"/>
      <c r="Z557" s="1294"/>
      <c r="AA557" s="1294"/>
      <c r="AB557" s="1294"/>
      <c r="AC557" s="1557"/>
      <c r="AD557" s="1294"/>
      <c r="AE557" s="1294"/>
      <c r="AF557" s="1294"/>
      <c r="AG557" s="1557"/>
      <c r="AH557" s="1294"/>
      <c r="AI557" s="1294"/>
      <c r="AJ557" s="1294"/>
      <c r="AK557" s="1557"/>
      <c r="AL557" s="1294"/>
      <c r="AM557" s="1294"/>
      <c r="AN557" s="398"/>
      <c r="AO557" s="401"/>
      <c r="AP557" s="1294"/>
      <c r="AQ557" s="398"/>
      <c r="AR557" s="398"/>
      <c r="AS557" s="401"/>
      <c r="AT557" s="398"/>
      <c r="AU557" s="398"/>
      <c r="AV557" s="398"/>
      <c r="AW557" s="401"/>
      <c r="AX557" s="398"/>
      <c r="AY557" s="398"/>
      <c r="AZ557" s="398"/>
      <c r="BA557" s="401"/>
      <c r="BB557" s="398"/>
      <c r="BC557" s="1674"/>
      <c r="BD557" s="1674"/>
      <c r="BE557" s="1674"/>
      <c r="BF557" s="1674"/>
      <c r="BG557" s="1674"/>
      <c r="BH557" s="1674"/>
      <c r="BI557" s="1674"/>
      <c r="BJ557" s="1546"/>
      <c r="BK557" s="1674"/>
      <c r="BL557" s="1674"/>
      <c r="BM557" s="1674"/>
      <c r="BN557" s="1674"/>
      <c r="BO557" s="1674"/>
      <c r="BP557" s="1674"/>
      <c r="BR557" s="1483"/>
      <c r="BS557" s="1483"/>
      <c r="BT557" s="1483"/>
      <c r="BU557" s="1675"/>
    </row>
    <row r="558" spans="1:73" s="304" customFormat="1" ht="11.65" customHeight="1">
      <c r="A558" s="1677" t="s">
        <v>596</v>
      </c>
      <c r="B558" s="836"/>
      <c r="C558" s="837"/>
      <c r="D558" s="837"/>
      <c r="E558" s="838"/>
      <c r="F558" s="837"/>
      <c r="G558" s="837"/>
      <c r="H558" s="837"/>
      <c r="I558" s="838"/>
      <c r="J558" s="837"/>
      <c r="K558" s="837"/>
      <c r="L558" s="837"/>
      <c r="M558" s="838"/>
      <c r="N558" s="836"/>
      <c r="O558" s="836"/>
      <c r="P558" s="836"/>
      <c r="Q558" s="1041"/>
      <c r="R558" s="836"/>
      <c r="S558" s="1294"/>
      <c r="T558" s="1294"/>
      <c r="U558" s="1557"/>
      <c r="V558" s="1294"/>
      <c r="W558" s="1294"/>
      <c r="X558" s="1294"/>
      <c r="Y558" s="1557"/>
      <c r="Z558" s="1294"/>
      <c r="AA558" s="1294"/>
      <c r="AB558" s="1294"/>
      <c r="AC558" s="1557"/>
      <c r="AD558" s="1294"/>
      <c r="AE558" s="1294"/>
      <c r="AF558" s="1294"/>
      <c r="AG558" s="1557"/>
      <c r="AH558" s="1294"/>
      <c r="AI558" s="1294"/>
      <c r="AJ558" s="1294"/>
      <c r="AK558" s="1557"/>
      <c r="AL558" s="1294"/>
      <c r="AM558" s="1294"/>
      <c r="AN558" s="398"/>
      <c r="AO558" s="401"/>
      <c r="AP558" s="1294"/>
      <c r="AQ558" s="398"/>
      <c r="AR558" s="398"/>
      <c r="AS558" s="401"/>
      <c r="AT558" s="398"/>
      <c r="AU558" s="398"/>
      <c r="AV558" s="398"/>
      <c r="AW558" s="401"/>
      <c r="AX558" s="398"/>
      <c r="AY558" s="398"/>
      <c r="AZ558" s="398"/>
      <c r="BA558" s="401"/>
      <c r="BB558" s="398"/>
      <c r="BC558" s="1674"/>
      <c r="BD558" s="1674"/>
      <c r="BE558" s="1674"/>
      <c r="BF558" s="1674"/>
      <c r="BG558" s="1674"/>
      <c r="BH558" s="1674"/>
      <c r="BI558" s="1674" t="s">
        <v>641</v>
      </c>
      <c r="BJ558" s="1674" t="s">
        <v>641</v>
      </c>
      <c r="BK558" s="1674" t="s">
        <v>641</v>
      </c>
      <c r="BL558" s="1674" t="s">
        <v>620</v>
      </c>
      <c r="BM558" s="1674" t="s">
        <v>724</v>
      </c>
      <c r="BN558" s="1674" t="s">
        <v>724</v>
      </c>
      <c r="BO558" s="1674"/>
      <c r="BP558" s="1674"/>
      <c r="BR558" s="1483"/>
      <c r="BS558" s="1483"/>
      <c r="BT558" s="1483"/>
      <c r="BU558" s="1675"/>
    </row>
    <row r="559" spans="1:73" s="304" customFormat="1" ht="11.65" customHeight="1">
      <c r="A559" s="1684" t="s">
        <v>621</v>
      </c>
      <c r="B559" s="836"/>
      <c r="C559" s="837"/>
      <c r="D559" s="837"/>
      <c r="E559" s="838"/>
      <c r="F559" s="837"/>
      <c r="G559" s="837"/>
      <c r="H559" s="837"/>
      <c r="I559" s="838"/>
      <c r="J559" s="837"/>
      <c r="K559" s="837"/>
      <c r="L559" s="837"/>
      <c r="M559" s="838"/>
      <c r="N559" s="836"/>
      <c r="O559" s="836"/>
      <c r="P559" s="836"/>
      <c r="Q559" s="1041"/>
      <c r="R559" s="836"/>
      <c r="S559" s="1294"/>
      <c r="T559" s="1294"/>
      <c r="U559" s="1557"/>
      <c r="V559" s="1294"/>
      <c r="W559" s="1294"/>
      <c r="X559" s="1294"/>
      <c r="Y559" s="1557"/>
      <c r="Z559" s="1294"/>
      <c r="AA559" s="1294"/>
      <c r="AB559" s="1294"/>
      <c r="AC559" s="1557"/>
      <c r="AD559" s="1294"/>
      <c r="AE559" s="1294"/>
      <c r="AF559" s="1294"/>
      <c r="AG559" s="1557"/>
      <c r="AH559" s="1294"/>
      <c r="AI559" s="1294"/>
      <c r="AJ559" s="1294"/>
      <c r="AK559" s="1557"/>
      <c r="AL559" s="1294"/>
      <c r="AM559" s="1294"/>
      <c r="AN559" s="398"/>
      <c r="AO559" s="401"/>
      <c r="AP559" s="1294"/>
      <c r="AQ559" s="398"/>
      <c r="AR559" s="398"/>
      <c r="AS559" s="401"/>
      <c r="AT559" s="398"/>
      <c r="AU559" s="398"/>
      <c r="AV559" s="398"/>
      <c r="AW559" s="401"/>
      <c r="AX559" s="398"/>
      <c r="AY559" s="398"/>
      <c r="AZ559" s="398"/>
      <c r="BA559" s="401"/>
      <c r="BB559" s="398"/>
      <c r="BC559" s="1674"/>
      <c r="BD559" s="1674"/>
      <c r="BE559" s="1674"/>
      <c r="BF559" s="1674"/>
      <c r="BG559" s="1674"/>
      <c r="BH559" s="1674"/>
      <c r="BI559" s="1674"/>
      <c r="BJ559" s="1674"/>
      <c r="BK559" s="1674"/>
      <c r="BL559" s="1674" t="s">
        <v>598</v>
      </c>
      <c r="BM559" s="1674"/>
      <c r="BN559" s="1674"/>
      <c r="BO559" s="1674"/>
      <c r="BP559" s="1674"/>
      <c r="BR559" s="1483"/>
      <c r="BS559" s="1483"/>
      <c r="BT559" s="1483"/>
      <c r="BU559" s="1675"/>
    </row>
    <row r="560" spans="1:73" s="304" customFormat="1" ht="11.65" customHeight="1">
      <c r="A560" s="1684" t="s">
        <v>642</v>
      </c>
      <c r="B560" s="836"/>
      <c r="C560" s="837"/>
      <c r="D560" s="837"/>
      <c r="E560" s="838"/>
      <c r="F560" s="837"/>
      <c r="G560" s="837"/>
      <c r="H560" s="837"/>
      <c r="I560" s="838"/>
      <c r="J560" s="837"/>
      <c r="K560" s="837"/>
      <c r="L560" s="837"/>
      <c r="M560" s="838"/>
      <c r="N560" s="836"/>
      <c r="O560" s="836"/>
      <c r="P560" s="836"/>
      <c r="Q560" s="1041"/>
      <c r="R560" s="836"/>
      <c r="S560" s="1294"/>
      <c r="T560" s="1294"/>
      <c r="U560" s="1557"/>
      <c r="V560" s="1294"/>
      <c r="W560" s="1294"/>
      <c r="X560" s="1294"/>
      <c r="Y560" s="1557"/>
      <c r="Z560" s="1294"/>
      <c r="AA560" s="1294"/>
      <c r="AB560" s="1294"/>
      <c r="AC560" s="1557"/>
      <c r="AD560" s="1294"/>
      <c r="AE560" s="1294"/>
      <c r="AF560" s="1294"/>
      <c r="AG560" s="1557"/>
      <c r="AH560" s="1294"/>
      <c r="AI560" s="1294"/>
      <c r="AJ560" s="1294"/>
      <c r="AK560" s="1557"/>
      <c r="AL560" s="1294"/>
      <c r="AM560" s="1294"/>
      <c r="AN560" s="398"/>
      <c r="AO560" s="401"/>
      <c r="AP560" s="1294"/>
      <c r="AQ560" s="398"/>
      <c r="AR560" s="398"/>
      <c r="AS560" s="401"/>
      <c r="AT560" s="398"/>
      <c r="AU560" s="398"/>
      <c r="AV560" s="398"/>
      <c r="AW560" s="401"/>
      <c r="AX560" s="398"/>
      <c r="AY560" s="398"/>
      <c r="AZ560" s="398"/>
      <c r="BA560" s="401"/>
      <c r="BB560" s="398"/>
      <c r="BC560" s="1674"/>
      <c r="BD560" s="1119"/>
      <c r="BE560" s="1119"/>
      <c r="BF560" s="1119"/>
      <c r="BG560" s="1119"/>
      <c r="BH560" s="1119"/>
      <c r="BI560" s="1674" t="s">
        <v>645</v>
      </c>
      <c r="BJ560" s="1674" t="s">
        <v>645</v>
      </c>
      <c r="BK560" s="1674" t="s">
        <v>645</v>
      </c>
      <c r="BL560" s="1119"/>
      <c r="BM560" s="1119"/>
      <c r="BN560" s="1119"/>
      <c r="BO560" s="1119"/>
      <c r="BP560" s="1119"/>
      <c r="BR560" s="1483"/>
      <c r="BS560" s="1483"/>
      <c r="BT560" s="1483"/>
      <c r="BU560" s="1675"/>
    </row>
    <row r="561" spans="1:73" s="304" customFormat="1" ht="11.65" customHeight="1">
      <c r="A561" s="1684" t="s">
        <v>643</v>
      </c>
      <c r="B561" s="836"/>
      <c r="C561" s="837"/>
      <c r="D561" s="837"/>
      <c r="E561" s="838"/>
      <c r="F561" s="837"/>
      <c r="G561" s="837"/>
      <c r="H561" s="837"/>
      <c r="I561" s="838"/>
      <c r="J561" s="837"/>
      <c r="K561" s="837"/>
      <c r="L561" s="837"/>
      <c r="M561" s="838"/>
      <c r="N561" s="836"/>
      <c r="O561" s="836"/>
      <c r="P561" s="836"/>
      <c r="Q561" s="1041"/>
      <c r="R561" s="836"/>
      <c r="S561" s="1294"/>
      <c r="T561" s="1294"/>
      <c r="U561" s="1557"/>
      <c r="V561" s="1294"/>
      <c r="W561" s="1294"/>
      <c r="X561" s="1294"/>
      <c r="Y561" s="1557"/>
      <c r="Z561" s="1294"/>
      <c r="AA561" s="1294"/>
      <c r="AB561" s="1294"/>
      <c r="AC561" s="1557"/>
      <c r="AD561" s="1294"/>
      <c r="AE561" s="1294"/>
      <c r="AF561" s="1294"/>
      <c r="AG561" s="1557"/>
      <c r="AH561" s="1294"/>
      <c r="AI561" s="1294"/>
      <c r="AJ561" s="1294"/>
      <c r="AK561" s="1557"/>
      <c r="AL561" s="1294"/>
      <c r="AM561" s="1294"/>
      <c r="AN561" s="398"/>
      <c r="AO561" s="401"/>
      <c r="AP561" s="1294"/>
      <c r="AQ561" s="398"/>
      <c r="AR561" s="398"/>
      <c r="AS561" s="401"/>
      <c r="AT561" s="398"/>
      <c r="AU561" s="398"/>
      <c r="AV561" s="398"/>
      <c r="AW561" s="401"/>
      <c r="AX561" s="398"/>
      <c r="AY561" s="398"/>
      <c r="AZ561" s="398"/>
      <c r="BA561" s="398"/>
      <c r="BB561" s="1799"/>
      <c r="BC561" s="1119"/>
      <c r="BD561" s="1119"/>
      <c r="BE561" s="1119"/>
      <c r="BF561" s="1119"/>
      <c r="BG561" s="1119"/>
      <c r="BH561" s="1119"/>
      <c r="BI561" s="1674" t="s">
        <v>659</v>
      </c>
      <c r="BJ561" s="1674" t="s">
        <v>659</v>
      </c>
      <c r="BK561" s="1674" t="s">
        <v>646</v>
      </c>
      <c r="BL561" s="1119"/>
      <c r="BM561" s="1119"/>
      <c r="BN561" s="1119"/>
      <c r="BO561" s="1119"/>
      <c r="BP561" s="1119"/>
      <c r="BR561" s="1483"/>
      <c r="BS561" s="1483"/>
      <c r="BT561" s="1483"/>
      <c r="BU561" s="1675"/>
    </row>
    <row r="562" spans="1:73" s="304" customFormat="1" ht="11.65" customHeight="1">
      <c r="A562" s="1684" t="s">
        <v>658</v>
      </c>
      <c r="B562" s="836"/>
      <c r="C562" s="837"/>
      <c r="D562" s="837"/>
      <c r="E562" s="838"/>
      <c r="F562" s="837"/>
      <c r="G562" s="837"/>
      <c r="H562" s="837"/>
      <c r="I562" s="838"/>
      <c r="J562" s="837"/>
      <c r="K562" s="837"/>
      <c r="L562" s="837"/>
      <c r="M562" s="838"/>
      <c r="N562" s="836"/>
      <c r="O562" s="836"/>
      <c r="P562" s="836"/>
      <c r="Q562" s="1041"/>
      <c r="R562" s="836"/>
      <c r="S562" s="1294"/>
      <c r="T562" s="1294"/>
      <c r="U562" s="1557"/>
      <c r="V562" s="1294"/>
      <c r="W562" s="1294"/>
      <c r="X562" s="1294"/>
      <c r="Y562" s="1557"/>
      <c r="Z562" s="1294"/>
      <c r="AA562" s="1294"/>
      <c r="AB562" s="1294"/>
      <c r="AC562" s="1557"/>
      <c r="AD562" s="1294"/>
      <c r="AE562" s="1294"/>
      <c r="AF562" s="1294"/>
      <c r="AG562" s="1557"/>
      <c r="AH562" s="1294"/>
      <c r="AI562" s="1294"/>
      <c r="AJ562" s="1294"/>
      <c r="AK562" s="1557"/>
      <c r="AL562" s="1294"/>
      <c r="AM562" s="1294"/>
      <c r="AN562" s="398"/>
      <c r="AO562" s="401"/>
      <c r="AP562" s="1294"/>
      <c r="AQ562" s="398"/>
      <c r="AR562" s="398"/>
      <c r="AS562" s="401"/>
      <c r="AT562" s="398"/>
      <c r="AU562" s="398"/>
      <c r="AV562" s="398"/>
      <c r="AW562" s="401"/>
      <c r="AX562" s="398"/>
      <c r="AY562" s="398"/>
      <c r="AZ562" s="398"/>
      <c r="BA562" s="398"/>
      <c r="BB562" s="1799"/>
      <c r="BC562" s="1119"/>
      <c r="BD562" s="1119"/>
      <c r="BE562" s="1119"/>
      <c r="BF562" s="1119"/>
      <c r="BG562" s="1119"/>
      <c r="BH562" s="1119"/>
      <c r="BI562" s="1674" t="s">
        <v>646</v>
      </c>
      <c r="BJ562" s="1674" t="s">
        <v>646</v>
      </c>
      <c r="BK562" s="1674"/>
      <c r="BL562" s="1119"/>
      <c r="BM562" s="1119"/>
      <c r="BN562" s="1119"/>
      <c r="BO562" s="1119"/>
      <c r="BP562" s="1119"/>
      <c r="BR562" s="1483"/>
      <c r="BS562" s="1483"/>
      <c r="BT562" s="1483"/>
      <c r="BU562" s="1675"/>
    </row>
    <row r="563" spans="1:73" s="304" customFormat="1" ht="11.65" customHeight="1">
      <c r="A563" s="1684" t="s">
        <v>644</v>
      </c>
      <c r="B563" s="836"/>
      <c r="C563" s="837"/>
      <c r="D563" s="837"/>
      <c r="E563" s="838"/>
      <c r="F563" s="837"/>
      <c r="G563" s="837"/>
      <c r="H563" s="837"/>
      <c r="I563" s="838"/>
      <c r="J563" s="837"/>
      <c r="K563" s="837"/>
      <c r="L563" s="837"/>
      <c r="M563" s="838"/>
      <c r="N563" s="836"/>
      <c r="O563" s="836"/>
      <c r="P563" s="836"/>
      <c r="Q563" s="1041"/>
      <c r="R563" s="836"/>
      <c r="S563" s="1294"/>
      <c r="T563" s="1294"/>
      <c r="U563" s="1557"/>
      <c r="V563" s="1294"/>
      <c r="W563" s="1294"/>
      <c r="X563" s="1294"/>
      <c r="Y563" s="1557"/>
      <c r="Z563" s="1294"/>
      <c r="AA563" s="1294"/>
      <c r="AB563" s="1294"/>
      <c r="AC563" s="1557"/>
      <c r="AD563" s="1294"/>
      <c r="AE563" s="1294"/>
      <c r="AF563" s="1294"/>
      <c r="AG563" s="1557"/>
      <c r="AH563" s="1294"/>
      <c r="AI563" s="1294"/>
      <c r="AJ563" s="1294"/>
      <c r="AK563" s="1557"/>
      <c r="AL563" s="1294"/>
      <c r="AM563" s="1294"/>
      <c r="AN563" s="398"/>
      <c r="AO563" s="401"/>
      <c r="AP563" s="1294"/>
      <c r="AQ563" s="398"/>
      <c r="AR563" s="398"/>
      <c r="AS563" s="401"/>
      <c r="AT563" s="398"/>
      <c r="AU563" s="398"/>
      <c r="AV563" s="398"/>
      <c r="AW563" s="401"/>
      <c r="AX563" s="398"/>
      <c r="AY563" s="398"/>
      <c r="AZ563" s="398"/>
      <c r="BA563" s="398"/>
      <c r="BB563" s="1799"/>
      <c r="BC563" s="1119"/>
      <c r="BD563" s="1119"/>
      <c r="BE563" s="1119"/>
      <c r="BF563" s="1119"/>
      <c r="BG563" s="1119"/>
      <c r="BH563" s="1119"/>
      <c r="BI563" s="1674" t="s">
        <v>657</v>
      </c>
      <c r="BJ563" s="1674" t="s">
        <v>657</v>
      </c>
      <c r="BK563" s="1674" t="s">
        <v>647</v>
      </c>
      <c r="BL563" s="1119"/>
      <c r="BM563" s="1119"/>
      <c r="BN563" s="1119"/>
      <c r="BO563" s="1119"/>
      <c r="BP563" s="1119"/>
      <c r="BR563" s="1483"/>
      <c r="BS563" s="1483"/>
      <c r="BT563" s="1483"/>
      <c r="BU563" s="1675"/>
    </row>
    <row r="564" spans="1:73" s="305" customFormat="1" ht="12" customHeight="1">
      <c r="A564" s="1085"/>
      <c r="B564" s="837"/>
      <c r="C564" s="837"/>
      <c r="D564" s="837"/>
      <c r="E564" s="838"/>
      <c r="F564" s="837"/>
      <c r="G564" s="837"/>
      <c r="H564" s="837"/>
      <c r="I564" s="838"/>
      <c r="J564" s="837"/>
      <c r="K564" s="837"/>
      <c r="L564" s="837"/>
      <c r="M564" s="838"/>
      <c r="N564" s="836"/>
      <c r="O564" s="836"/>
      <c r="P564" s="836"/>
      <c r="Q564" s="1041"/>
      <c r="R564" s="836"/>
      <c r="S564" s="836"/>
      <c r="T564" s="836"/>
      <c r="U564" s="1041"/>
      <c r="V564" s="836"/>
      <c r="W564" s="836"/>
      <c r="X564" s="836"/>
      <c r="Y564" s="838"/>
      <c r="Z564" s="836"/>
      <c r="AA564" s="836"/>
      <c r="AB564" s="836"/>
      <c r="AC564" s="1041"/>
      <c r="AD564" s="836"/>
      <c r="AE564" s="836"/>
      <c r="AF564" s="836"/>
      <c r="AG564" s="1041"/>
      <c r="AH564" s="398"/>
      <c r="AI564" s="398"/>
      <c r="AJ564" s="398"/>
      <c r="AK564" s="401"/>
      <c r="AL564" s="398"/>
      <c r="AM564" s="398"/>
      <c r="AN564" s="398"/>
      <c r="AO564" s="401"/>
      <c r="AP564" s="398"/>
      <c r="AQ564" s="398"/>
      <c r="AR564" s="398"/>
      <c r="AS564" s="401"/>
      <c r="AT564" s="398"/>
      <c r="AU564" s="398"/>
      <c r="AV564" s="398"/>
      <c r="AW564" s="401"/>
      <c r="AX564" s="398"/>
      <c r="AY564" s="398"/>
      <c r="AZ564" s="398"/>
      <c r="BA564" s="398"/>
      <c r="BB564" s="1799"/>
      <c r="BC564" s="296"/>
      <c r="BD564" s="296"/>
      <c r="BE564" s="296"/>
      <c r="BF564" s="296"/>
      <c r="BG564" s="296"/>
      <c r="BH564" s="296"/>
      <c r="BI564" s="296"/>
      <c r="BJ564" s="296"/>
      <c r="BK564" s="1769"/>
      <c r="BL564" s="296"/>
      <c r="BM564" s="296"/>
      <c r="BN564" s="296"/>
      <c r="BO564" s="296"/>
      <c r="BP564" s="296"/>
      <c r="BR564" s="1379"/>
      <c r="BS564" s="1379"/>
      <c r="BT564" s="1379"/>
      <c r="BU564" s="1260"/>
    </row>
    <row r="565" spans="1:73" s="1033" customFormat="1" ht="12" hidden="1" customHeight="1" outlineLevel="1">
      <c r="A565" s="940" t="s">
        <v>381</v>
      </c>
      <c r="B565" s="1125"/>
      <c r="C565" s="1125"/>
      <c r="D565" s="1125"/>
      <c r="E565" s="1126"/>
      <c r="F565" s="1125"/>
      <c r="G565" s="1125"/>
      <c r="H565" s="1125"/>
      <c r="I565" s="1126"/>
      <c r="J565" s="1125"/>
      <c r="K565" s="1125"/>
      <c r="L565" s="1125"/>
      <c r="M565" s="1126"/>
      <c r="N565" s="1127"/>
      <c r="O565" s="1127"/>
      <c r="P565" s="1127"/>
      <c r="Q565" s="1128"/>
      <c r="R565" s="1127"/>
      <c r="S565" s="1127"/>
      <c r="T565" s="1127"/>
      <c r="U565" s="1128"/>
      <c r="V565" s="1127"/>
      <c r="W565" s="1127"/>
      <c r="X565" s="1127"/>
      <c r="Y565" s="1126"/>
      <c r="Z565" s="1127"/>
      <c r="AA565" s="1127"/>
      <c r="AB565" s="1127"/>
      <c r="AC565" s="1128"/>
      <c r="AD565" s="1127"/>
      <c r="AE565" s="1127"/>
      <c r="AF565" s="1127"/>
      <c r="AG565" s="1128"/>
      <c r="AH565" s="1042"/>
      <c r="AI565" s="1042"/>
      <c r="AJ565" s="1042"/>
      <c r="AK565" s="1129"/>
      <c r="AL565" s="1042"/>
      <c r="AM565" s="1042"/>
      <c r="AN565" s="1042"/>
      <c r="AO565" s="1129"/>
      <c r="AP565" s="1042"/>
      <c r="AQ565" s="1042"/>
      <c r="AR565" s="1042"/>
      <c r="AS565" s="1129"/>
      <c r="AT565" s="1042"/>
      <c r="AU565" s="1042"/>
      <c r="AV565" s="1042"/>
      <c r="AW565" s="1129"/>
      <c r="AX565" s="1042"/>
      <c r="AY565" s="1042"/>
      <c r="AZ565" s="1042"/>
      <c r="BA565" s="1042"/>
      <c r="BB565" s="1800"/>
      <c r="BC565" s="1322">
        <f t="shared" ref="BC565:BF565" si="3228">+BC649*BC656*1000</f>
        <v>2110.6799999999998</v>
      </c>
      <c r="BD565" s="1130">
        <f t="shared" si="3228"/>
        <v>2045</v>
      </c>
      <c r="BE565" s="1130">
        <f t="shared" si="3228"/>
        <v>2201</v>
      </c>
      <c r="BF565" s="1130">
        <f t="shared" si="3228"/>
        <v>2508</v>
      </c>
      <c r="BG565" s="1130">
        <f>+BG649*BG656*1000</f>
        <v>2775</v>
      </c>
      <c r="BH565" s="1130">
        <f>+BH649*BH656*1000</f>
        <v>3135.9999999999995</v>
      </c>
      <c r="BI565" s="1130">
        <f>+BI649*BI656*1000</f>
        <v>3563.0000000000005</v>
      </c>
      <c r="BJ565" s="1130">
        <f t="shared" ref="BJ565:BM565" si="3229">+BJ649*BJ656*1000</f>
        <v>3914.9999999999995</v>
      </c>
      <c r="BK565" s="1689">
        <f t="shared" si="3229"/>
        <v>4135</v>
      </c>
      <c r="BL565" s="1130">
        <f t="shared" si="3229"/>
        <v>4444.9999999999991</v>
      </c>
      <c r="BM565" s="1130">
        <f t="shared" si="3229"/>
        <v>5517.2686136363754</v>
      </c>
      <c r="BN565" s="1130">
        <f t="shared" ref="BN565:BO565" si="3230">+BN649*BN656*1000</f>
        <v>5894.7946940956872</v>
      </c>
      <c r="BO565" s="1130">
        <f t="shared" si="3230"/>
        <v>6292.7045637769188</v>
      </c>
      <c r="BP565" s="1130">
        <f t="shared" ref="BP565" si="3231">+BP649*BP656*1000</f>
        <v>6711.9897898783447</v>
      </c>
      <c r="BR565" s="1435"/>
      <c r="BS565" s="1435"/>
      <c r="BT565" s="1435"/>
      <c r="BU565" s="1260"/>
    </row>
    <row r="566" spans="1:73" s="1033" customFormat="1" ht="12" hidden="1" customHeight="1" outlineLevel="1">
      <c r="A566" s="940" t="s">
        <v>383</v>
      </c>
      <c r="B566" s="1125"/>
      <c r="C566" s="1125"/>
      <c r="D566" s="1125"/>
      <c r="E566" s="1126"/>
      <c r="F566" s="1125"/>
      <c r="G566" s="1125"/>
      <c r="H566" s="1125"/>
      <c r="I566" s="1126"/>
      <c r="J566" s="1125"/>
      <c r="K566" s="1125"/>
      <c r="L566" s="1125"/>
      <c r="M566" s="1126"/>
      <c r="N566" s="1127"/>
      <c r="O566" s="1127"/>
      <c r="P566" s="1127"/>
      <c r="Q566" s="1128"/>
      <c r="R566" s="1127"/>
      <c r="S566" s="1127"/>
      <c r="T566" s="1127"/>
      <c r="U566" s="1128"/>
      <c r="V566" s="1127"/>
      <c r="W566" s="1127"/>
      <c r="X566" s="1127"/>
      <c r="Y566" s="1126"/>
      <c r="Z566" s="1127"/>
      <c r="AA566" s="1127"/>
      <c r="AB566" s="1127"/>
      <c r="AC566" s="1128"/>
      <c r="AD566" s="1127"/>
      <c r="AE566" s="1127"/>
      <c r="AF566" s="1127"/>
      <c r="AG566" s="1128"/>
      <c r="AH566" s="1042"/>
      <c r="AI566" s="1042"/>
      <c r="AJ566" s="1042"/>
      <c r="AK566" s="1129"/>
      <c r="AL566" s="1042"/>
      <c r="AM566" s="1042"/>
      <c r="AN566" s="1042"/>
      <c r="AO566" s="1129"/>
      <c r="AP566" s="1042"/>
      <c r="AQ566" s="1042"/>
      <c r="AR566" s="1042"/>
      <c r="AS566" s="1129"/>
      <c r="AT566" s="1042"/>
      <c r="AU566" s="1042"/>
      <c r="AV566" s="1042"/>
      <c r="AW566" s="1129"/>
      <c r="AX566" s="1042"/>
      <c r="AY566" s="1042"/>
      <c r="AZ566" s="1042"/>
      <c r="BA566" s="1042"/>
      <c r="BB566" s="1800"/>
      <c r="BC566" s="1322"/>
      <c r="BD566" s="1130">
        <f>+BD178</f>
        <v>2045</v>
      </c>
      <c r="BE566" s="1130">
        <f>+BE178</f>
        <v>2201</v>
      </c>
      <c r="BF566" s="1130">
        <f>+BF178</f>
        <v>2508</v>
      </c>
      <c r="BG566" s="1130">
        <f>+BG178</f>
        <v>2775</v>
      </c>
      <c r="BH566" s="1130">
        <f>+BH178</f>
        <v>3136</v>
      </c>
      <c r="BI566" s="1087"/>
      <c r="BJ566" s="1087"/>
      <c r="BK566" s="1770"/>
      <c r="BL566" s="1087"/>
      <c r="BM566" s="1087"/>
      <c r="BN566" s="1087"/>
      <c r="BO566" s="1087"/>
      <c r="BP566" s="1087"/>
      <c r="BR566" s="1435"/>
      <c r="BS566" s="1435"/>
      <c r="BT566" s="1435"/>
      <c r="BU566" s="1260"/>
    </row>
    <row r="567" spans="1:73" s="1033" customFormat="1" ht="12" hidden="1" customHeight="1" outlineLevel="1">
      <c r="A567" s="940" t="s">
        <v>369</v>
      </c>
      <c r="B567" s="1125"/>
      <c r="C567" s="1125"/>
      <c r="D567" s="1125"/>
      <c r="E567" s="1126"/>
      <c r="F567" s="1125"/>
      <c r="G567" s="1125"/>
      <c r="H567" s="1125"/>
      <c r="I567" s="1126"/>
      <c r="J567" s="1125"/>
      <c r="K567" s="1125"/>
      <c r="L567" s="1125"/>
      <c r="M567" s="1126"/>
      <c r="N567" s="1127"/>
      <c r="O567" s="1127"/>
      <c r="P567" s="1127"/>
      <c r="Q567" s="1128"/>
      <c r="R567" s="1127"/>
      <c r="S567" s="1127"/>
      <c r="T567" s="1127"/>
      <c r="U567" s="1128"/>
      <c r="V567" s="1058"/>
      <c r="Y567" s="1061"/>
      <c r="Z567" s="1060"/>
      <c r="AA567" s="1060"/>
      <c r="AB567" s="1060"/>
      <c r="AC567" s="1061"/>
      <c r="AD567" s="1127"/>
      <c r="AE567" s="1127"/>
      <c r="AF567" s="1127"/>
      <c r="AG567" s="1128"/>
      <c r="AH567" s="1042"/>
      <c r="AI567" s="1042"/>
      <c r="AJ567" s="1042"/>
      <c r="AK567" s="1129"/>
      <c r="AL567" s="1042"/>
      <c r="AM567" s="1042"/>
      <c r="AN567" s="1042"/>
      <c r="AO567" s="1129"/>
      <c r="AP567" s="1042"/>
      <c r="AQ567" s="1042"/>
      <c r="AR567" s="1042"/>
      <c r="AS567" s="1129"/>
      <c r="AT567" s="1042"/>
      <c r="AU567" s="1042"/>
      <c r="AV567" s="1042"/>
      <c r="AW567" s="1129"/>
      <c r="AX567" s="1042"/>
      <c r="AY567" s="1042"/>
      <c r="AZ567" s="1042"/>
      <c r="BA567" s="1042"/>
      <c r="BB567" s="1800"/>
      <c r="BC567" s="1322"/>
      <c r="BD567" s="1130"/>
      <c r="BE567" s="1130">
        <f t="shared" ref="BE567:BH567" si="3232">+BE565-BE566</f>
        <v>0</v>
      </c>
      <c r="BF567" s="1130">
        <f t="shared" si="3232"/>
        <v>0</v>
      </c>
      <c r="BG567" s="1130">
        <f t="shared" si="3232"/>
        <v>0</v>
      </c>
      <c r="BH567" s="1130">
        <f t="shared" si="3232"/>
        <v>0</v>
      </c>
      <c r="BI567" s="1131">
        <f>+AVERAGE(BC567:BH567)</f>
        <v>0</v>
      </c>
      <c r="BJ567" s="1131">
        <f>+BI567</f>
        <v>0</v>
      </c>
      <c r="BK567" s="1771">
        <f t="shared" ref="BK567:BP567" si="3233">+BJ567</f>
        <v>0</v>
      </c>
      <c r="BL567" s="1131">
        <f t="shared" si="3233"/>
        <v>0</v>
      </c>
      <c r="BM567" s="1131">
        <f t="shared" si="3233"/>
        <v>0</v>
      </c>
      <c r="BN567" s="1131">
        <f t="shared" si="3233"/>
        <v>0</v>
      </c>
      <c r="BO567" s="1131">
        <f t="shared" si="3233"/>
        <v>0</v>
      </c>
      <c r="BP567" s="1131">
        <f t="shared" si="3233"/>
        <v>0</v>
      </c>
      <c r="BR567" s="1435"/>
      <c r="BS567" s="1435"/>
      <c r="BT567" s="1435"/>
      <c r="BU567" s="1260"/>
    </row>
    <row r="568" spans="1:73" s="1032" customFormat="1" ht="12" customHeight="1" collapsed="1">
      <c r="A568" s="1123" t="s">
        <v>479</v>
      </c>
      <c r="B568" s="1135">
        <f t="shared" ref="B568:AO568" si="3234">+B178</f>
        <v>73</v>
      </c>
      <c r="C568" s="1136">
        <f t="shared" si="3234"/>
        <v>292</v>
      </c>
      <c r="D568" s="1136">
        <f t="shared" si="3234"/>
        <v>1621</v>
      </c>
      <c r="E568" s="1137">
        <f t="shared" si="3234"/>
        <v>59</v>
      </c>
      <c r="F568" s="1135">
        <f t="shared" si="3234"/>
        <v>73</v>
      </c>
      <c r="G568" s="1136">
        <f t="shared" si="3234"/>
        <v>299</v>
      </c>
      <c r="H568" s="1136">
        <f t="shared" si="3234"/>
        <v>1769</v>
      </c>
      <c r="I568" s="1137">
        <f t="shared" si="3234"/>
        <v>60</v>
      </c>
      <c r="J568" s="1135">
        <f t="shared" si="3234"/>
        <v>74</v>
      </c>
      <c r="K568" s="1136">
        <f t="shared" si="3234"/>
        <v>416</v>
      </c>
      <c r="L568" s="1136">
        <f t="shared" si="3234"/>
        <v>1949</v>
      </c>
      <c r="M568" s="1137">
        <f t="shared" si="3234"/>
        <v>69</v>
      </c>
      <c r="N568" s="1135">
        <f t="shared" si="3234"/>
        <v>90</v>
      </c>
      <c r="O568" s="1136">
        <f t="shared" si="3234"/>
        <v>461</v>
      </c>
      <c r="P568" s="1136">
        <f t="shared" si="3234"/>
        <v>2150</v>
      </c>
      <c r="Q568" s="1137">
        <f t="shared" si="3234"/>
        <v>74</v>
      </c>
      <c r="R568" s="1135">
        <f t="shared" si="3234"/>
        <v>100</v>
      </c>
      <c r="S568" s="1136">
        <f t="shared" si="3234"/>
        <v>499</v>
      </c>
      <c r="T568" s="1136">
        <f t="shared" si="3234"/>
        <v>1827</v>
      </c>
      <c r="U568" s="1137">
        <f t="shared" si="3234"/>
        <v>710</v>
      </c>
      <c r="V568" s="1135">
        <f t="shared" si="3234"/>
        <v>119</v>
      </c>
      <c r="W568" s="1136">
        <f t="shared" si="3234"/>
        <v>147</v>
      </c>
      <c r="X568" s="1136">
        <f t="shared" si="3234"/>
        <v>2445</v>
      </c>
      <c r="Y568" s="1137">
        <f t="shared" si="3234"/>
        <v>852</v>
      </c>
      <c r="Z568" s="1135">
        <f t="shared" si="3234"/>
        <v>120</v>
      </c>
      <c r="AA568" s="1136">
        <f t="shared" si="3234"/>
        <v>411</v>
      </c>
      <c r="AB568" s="1136">
        <f t="shared" si="3234"/>
        <v>3239</v>
      </c>
      <c r="AC568" s="1137">
        <f t="shared" si="3234"/>
        <v>145</v>
      </c>
      <c r="AD568" s="1135">
        <f t="shared" si="3234"/>
        <v>150</v>
      </c>
      <c r="AE568" s="1136">
        <f t="shared" si="3234"/>
        <v>516</v>
      </c>
      <c r="AF568" s="1136">
        <f t="shared" si="3234"/>
        <v>3341</v>
      </c>
      <c r="AG568" s="1137">
        <f t="shared" si="3234"/>
        <v>128</v>
      </c>
      <c r="AH568" s="1135">
        <f t="shared" si="3234"/>
        <v>187</v>
      </c>
      <c r="AI568" s="1136">
        <f t="shared" si="3234"/>
        <v>492</v>
      </c>
      <c r="AJ568" s="1136">
        <f t="shared" si="3234"/>
        <v>3653</v>
      </c>
      <c r="AK568" s="1137">
        <f t="shared" si="3234"/>
        <v>113</v>
      </c>
      <c r="AL568" s="1135">
        <f t="shared" si="3234"/>
        <v>176</v>
      </c>
      <c r="AM568" s="1136">
        <f t="shared" si="3234"/>
        <v>509</v>
      </c>
      <c r="AN568" s="1136">
        <f t="shared" si="3234"/>
        <v>4048</v>
      </c>
      <c r="AO568" s="1137">
        <f t="shared" si="3234"/>
        <v>137</v>
      </c>
      <c r="AP568" s="1135">
        <f t="shared" ref="AP568:AQ568" si="3235">+AP178</f>
        <v>185</v>
      </c>
      <c r="AQ568" s="1136">
        <f t="shared" si="3235"/>
        <v>568</v>
      </c>
      <c r="AR568" s="1138">
        <v>4360</v>
      </c>
      <c r="AS568" s="1139">
        <v>140</v>
      </c>
      <c r="AT568" s="1138">
        <v>235</v>
      </c>
      <c r="AU568" s="1138">
        <v>600</v>
      </c>
      <c r="AV568" s="1138">
        <v>4650</v>
      </c>
      <c r="AW568" s="1139">
        <v>155</v>
      </c>
      <c r="AX568" s="1138">
        <v>245</v>
      </c>
      <c r="AY568" s="1138">
        <v>650</v>
      </c>
      <c r="AZ568" s="1138">
        <v>5000</v>
      </c>
      <c r="BA568" s="1138">
        <v>170</v>
      </c>
      <c r="BB568" s="1801"/>
      <c r="BC568" s="1057"/>
      <c r="BD568" s="1057"/>
      <c r="BE568" s="1057"/>
      <c r="BF568" s="1057"/>
      <c r="BG568" s="1057"/>
      <c r="BH568" s="1057"/>
      <c r="BI568" s="1124">
        <f>+BI565-BI567</f>
        <v>3563.0000000000005</v>
      </c>
      <c r="BJ568" s="1124">
        <f>+BJ565-BJ567</f>
        <v>3914.9999999999995</v>
      </c>
      <c r="BK568" s="1772">
        <f>SUM(AD568:AG568)</f>
        <v>4135</v>
      </c>
      <c r="BL568" s="1124">
        <f t="shared" ref="BL568" si="3236">+BL565-BL567</f>
        <v>4444.9999999999991</v>
      </c>
      <c r="BM568" s="1124">
        <f>SUM(AL568:AO568)</f>
        <v>4870</v>
      </c>
      <c r="BN568" s="1124">
        <f>SUM(AP568:AS568)</f>
        <v>5253</v>
      </c>
      <c r="BO568" s="1124">
        <f>SUM(AT568:AW568)</f>
        <v>5640</v>
      </c>
      <c r="BP568" s="1124">
        <f>SUM(AX568:BA568)</f>
        <v>6065</v>
      </c>
      <c r="BR568" s="1436"/>
      <c r="BS568" s="1436"/>
      <c r="BT568" s="1436"/>
      <c r="BU568" s="1260"/>
    </row>
    <row r="569" spans="1:73" s="1032" customFormat="1" ht="12" customHeight="1">
      <c r="A569" s="983" t="s">
        <v>181</v>
      </c>
      <c r="B569" s="984" t="str">
        <f t="shared" ref="B569" si="3237">IF(ISERROR(B568/#REF!-1),"NA",B568/#REF!-1)</f>
        <v>NA</v>
      </c>
      <c r="C569" s="984" t="str">
        <f t="shared" ref="C569" si="3238">IF(ISERROR(C568/#REF!-1),"NA",C568/#REF!-1)</f>
        <v>NA</v>
      </c>
      <c r="D569" s="984" t="str">
        <f t="shared" ref="D569" si="3239">IF(ISERROR(D568/#REF!-1),"NA",D568/#REF!-1)</f>
        <v>NA</v>
      </c>
      <c r="E569" s="985" t="str">
        <f t="shared" ref="E569" si="3240">IF(ISERROR(E568/A568-1),"NA",E568/A568-1)</f>
        <v>NA</v>
      </c>
      <c r="F569" s="984">
        <f t="shared" ref="F569" si="3241">IF(ISERROR(F568/B568-1),"NA",F568/B568-1)</f>
        <v>0</v>
      </c>
      <c r="G569" s="984">
        <f t="shared" ref="G569" si="3242">IF(ISERROR(G568/C568-1),"NA",G568/C568-1)</f>
        <v>2.3972602739726012E-2</v>
      </c>
      <c r="H569" s="984">
        <f t="shared" ref="H569" si="3243">IF(ISERROR(H568/D568-1),"NA",H568/D568-1)</f>
        <v>9.1301665638494844E-2</v>
      </c>
      <c r="I569" s="985">
        <f t="shared" ref="I569" si="3244">IF(ISERROR(I568/E568-1),"NA",I568/E568-1)</f>
        <v>1.6949152542372836E-2</v>
      </c>
      <c r="J569" s="984">
        <f t="shared" ref="J569" si="3245">IF(ISERROR(J568/F568-1),"NA",J568/F568-1)</f>
        <v>1.3698630136986356E-2</v>
      </c>
      <c r="K569" s="984">
        <f t="shared" ref="K569" si="3246">IF(ISERROR(K568/G568-1),"NA",K568/G568-1)</f>
        <v>0.39130434782608692</v>
      </c>
      <c r="L569" s="984">
        <f t="shared" ref="L569" si="3247">IF(ISERROR(L568/H568-1),"NA",L568/H568-1)</f>
        <v>0.1017524024872809</v>
      </c>
      <c r="M569" s="985">
        <f t="shared" ref="M569" si="3248">IF(ISERROR(M568/I568-1),"NA",M568/I568-1)</f>
        <v>0.14999999999999991</v>
      </c>
      <c r="N569" s="984">
        <f t="shared" ref="N569" si="3249">IF(ISERROR(N568/J568-1),"NA",N568/J568-1)</f>
        <v>0.21621621621621623</v>
      </c>
      <c r="O569" s="984">
        <f t="shared" ref="O569" si="3250">IF(ISERROR(O568/K568-1),"NA",O568/K568-1)</f>
        <v>0.10817307692307687</v>
      </c>
      <c r="P569" s="984">
        <f t="shared" ref="P569" si="3251">IF(ISERROR(P568/L568-1),"NA",P568/L568-1)</f>
        <v>0.10312981015905587</v>
      </c>
      <c r="Q569" s="985">
        <f t="shared" ref="Q569" si="3252">IF(ISERROR(Q568/M568-1),"NA",Q568/M568-1)</f>
        <v>7.2463768115942129E-2</v>
      </c>
      <c r="R569" s="984">
        <f t="shared" ref="R569" si="3253">IF(ISERROR(R568/N568-1),"NA",R568/N568-1)</f>
        <v>0.11111111111111116</v>
      </c>
      <c r="S569" s="984">
        <f t="shared" ref="S569" si="3254">IF(ISERROR(S568/O568-1),"NA",S568/O568-1)</f>
        <v>8.2429501084598789E-2</v>
      </c>
      <c r="T569" s="984">
        <f t="shared" ref="T569" si="3255">IF(ISERROR(T568/P568-1),"NA",T568/P568-1)</f>
        <v>-0.15023255813953484</v>
      </c>
      <c r="U569" s="985">
        <f t="shared" ref="U569" si="3256">IF(ISERROR(U568/Q568-1),"NA",U568/Q568-1)</f>
        <v>8.5945945945945947</v>
      </c>
      <c r="V569" s="984">
        <f t="shared" ref="V569:AA569" si="3257">IF(ISERROR(V568/R568-1),"NA",V568/R568-1)</f>
        <v>0.18999999999999995</v>
      </c>
      <c r="W569" s="984">
        <f t="shared" si="3257"/>
        <v>-0.70541082164328661</v>
      </c>
      <c r="X569" s="984">
        <f t="shared" si="3257"/>
        <v>0.3382594417077176</v>
      </c>
      <c r="Y569" s="985">
        <f t="shared" si="3257"/>
        <v>0.19999999999999996</v>
      </c>
      <c r="Z569" s="984">
        <f t="shared" si="3257"/>
        <v>8.4033613445377853E-3</v>
      </c>
      <c r="AA569" s="984">
        <f t="shared" si="3257"/>
        <v>1.795918367346939</v>
      </c>
      <c r="AB569" s="984">
        <f t="shared" ref="AB569" si="3258">IF(ISERROR(AB568/X568-1),"NA",AB568/X568-1)</f>
        <v>0.32474437627811858</v>
      </c>
      <c r="AC569" s="985">
        <f t="shared" ref="AC569" si="3259">IF(ISERROR(AC568/Y568-1),"NA",AC568/Y568-1)</f>
        <v>-0.82981220657276999</v>
      </c>
      <c r="AD569" s="984">
        <f t="shared" ref="AD569" si="3260">IF(ISERROR(AD568/Z568-1),"NA",AD568/Z568-1)</f>
        <v>0.25</v>
      </c>
      <c r="AE569" s="984">
        <f t="shared" ref="AE569" si="3261">IF(ISERROR(AE568/AA568-1),"NA",AE568/AA568-1)</f>
        <v>0.25547445255474455</v>
      </c>
      <c r="AF569" s="984">
        <f t="shared" ref="AF569" si="3262">IF(ISERROR(AF568/AB568-1),"NA",AF568/AB568-1)</f>
        <v>3.1491200987959322E-2</v>
      </c>
      <c r="AG569" s="985">
        <f t="shared" ref="AG569" si="3263">IF(ISERROR(AG568/AC568-1),"NA",AG568/AC568-1)</f>
        <v>-0.11724137931034484</v>
      </c>
      <c r="AH569" s="984">
        <f t="shared" ref="AH569" si="3264">IF(ISERROR(AH568/AD568-1),"NA",AH568/AD568-1)</f>
        <v>0.24666666666666659</v>
      </c>
      <c r="AI569" s="984">
        <f t="shared" ref="AI569" si="3265">IF(ISERROR(AI568/AE568-1),"NA",AI568/AE568-1)</f>
        <v>-4.6511627906976716E-2</v>
      </c>
      <c r="AJ569" s="984">
        <f t="shared" ref="AJ569" si="3266">IF(ISERROR(AJ568/AF568-1),"NA",AJ568/AF568-1)</f>
        <v>9.3385214007781991E-2</v>
      </c>
      <c r="AK569" s="985">
        <f t="shared" ref="AK569" si="3267">IF(ISERROR(AK568/AG568-1),"NA",AK568/AG568-1)</f>
        <v>-0.1171875</v>
      </c>
      <c r="AL569" s="984">
        <f t="shared" ref="AL569" si="3268">IF(ISERROR(AL568/AH568-1),"NA",AL568/AH568-1)</f>
        <v>-5.8823529411764719E-2</v>
      </c>
      <c r="AM569" s="984">
        <f t="shared" ref="AM569:AN569" si="3269">IF(ISERROR(AM568/AI568-1),"NA",AM568/AI568-1)</f>
        <v>3.4552845528455389E-2</v>
      </c>
      <c r="AN569" s="984">
        <f t="shared" si="3269"/>
        <v>0.10813030385984113</v>
      </c>
      <c r="AO569" s="985">
        <f t="shared" ref="AO569:AQ569" si="3270">IF(ISERROR(AO568/AK568-1),"NA",AO568/AK568-1)</f>
        <v>0.21238938053097356</v>
      </c>
      <c r="AP569" s="984">
        <f t="shared" si="3270"/>
        <v>5.1136363636363535E-2</v>
      </c>
      <c r="AQ569" s="984">
        <f t="shared" si="3270"/>
        <v>0.11591355599214137</v>
      </c>
      <c r="AR569" s="984">
        <f t="shared" ref="AR569" si="3271">IF(ISERROR(AR568/AN568-1),"NA",AR568/AN568-1)</f>
        <v>7.7075098814229248E-2</v>
      </c>
      <c r="AS569" s="985">
        <f t="shared" ref="AS569" si="3272">IF(ISERROR(AS568/AO568-1),"NA",AS568/AO568-1)</f>
        <v>2.1897810218978186E-2</v>
      </c>
      <c r="AT569" s="984">
        <f t="shared" ref="AT569" si="3273">IF(ISERROR(AT568/AP568-1),"NA",AT568/AP568-1)</f>
        <v>0.27027027027027017</v>
      </c>
      <c r="AU569" s="984">
        <f t="shared" ref="AU569" si="3274">IF(ISERROR(AU568/AQ568-1),"NA",AU568/AQ568-1)</f>
        <v>5.6338028169014009E-2</v>
      </c>
      <c r="AV569" s="984">
        <f t="shared" ref="AV569" si="3275">IF(ISERROR(AV568/AR568-1),"NA",AV568/AR568-1)</f>
        <v>6.6513761467889898E-2</v>
      </c>
      <c r="AW569" s="985">
        <f t="shared" ref="AW569" si="3276">IF(ISERROR(AW568/AS568-1),"NA",AW568/AS568-1)</f>
        <v>0.10714285714285721</v>
      </c>
      <c r="AX569" s="984">
        <f t="shared" ref="AX569" si="3277">IF(ISERROR(AX568/AT568-1),"NA",AX568/AT568-1)</f>
        <v>4.2553191489361764E-2</v>
      </c>
      <c r="AY569" s="984">
        <f t="shared" ref="AY569" si="3278">IF(ISERROR(AY568/AU568-1),"NA",AY568/AU568-1)</f>
        <v>8.3333333333333259E-2</v>
      </c>
      <c r="AZ569" s="984">
        <f t="shared" ref="AZ569" si="3279">IF(ISERROR(AZ568/AV568-1),"NA",AZ568/AV568-1)</f>
        <v>7.5268817204301008E-2</v>
      </c>
      <c r="BA569" s="984">
        <f t="shared" ref="BA569" si="3280">IF(ISERROR(BA568/AW568-1),"NA",BA568/AW568-1)</f>
        <v>9.6774193548387011E-2</v>
      </c>
      <c r="BB569" s="1801"/>
      <c r="BC569" s="1057"/>
      <c r="BD569" s="1057"/>
      <c r="BE569" s="1057"/>
      <c r="BF569" s="1057"/>
      <c r="BG569" s="1057"/>
      <c r="BH569" s="1057"/>
      <c r="BI569" s="842" t="str">
        <f t="shared" ref="BI569:BP569" si="3281">IF(ISERROR(BI568/BH568-1),"NA",BI568/BH568-1)</f>
        <v>NA</v>
      </c>
      <c r="BJ569" s="842">
        <f t="shared" si="3281"/>
        <v>9.8793151838338256E-2</v>
      </c>
      <c r="BK569" s="1659">
        <f t="shared" si="3281"/>
        <v>5.6194125159642505E-2</v>
      </c>
      <c r="BL569" s="842">
        <f t="shared" si="3281"/>
        <v>7.4969770253929591E-2</v>
      </c>
      <c r="BM569" s="842">
        <f t="shared" si="3281"/>
        <v>9.5613048368954123E-2</v>
      </c>
      <c r="BN569" s="842">
        <f t="shared" si="3281"/>
        <v>7.864476386036956E-2</v>
      </c>
      <c r="BO569" s="842">
        <f t="shared" si="3281"/>
        <v>7.3672187321530469E-2</v>
      </c>
      <c r="BP569" s="842">
        <f t="shared" si="3281"/>
        <v>7.5354609929078054E-2</v>
      </c>
      <c r="BR569" s="1436"/>
      <c r="BS569" s="1436"/>
      <c r="BT569" s="1436"/>
      <c r="BU569" s="1260"/>
    </row>
    <row r="570" spans="1:73" s="1134" customFormat="1" ht="12" customHeight="1">
      <c r="A570" s="983" t="s">
        <v>384</v>
      </c>
      <c r="B570" s="836">
        <f>+B178/(SUM(B178:E178))</f>
        <v>3.5696821515892423E-2</v>
      </c>
      <c r="C570" s="836">
        <f>+C178/(SUM(B178:E178))</f>
        <v>0.14278728606356969</v>
      </c>
      <c r="D570" s="836">
        <f>+D178/(SUM(B178:E178))</f>
        <v>0.79266503667481658</v>
      </c>
      <c r="E570" s="1041">
        <f>+E178/(SUM(B178:E178))</f>
        <v>2.8850855745721271E-2</v>
      </c>
      <c r="F570" s="836">
        <f>+F178/(SUM(F178:I178))</f>
        <v>3.3166742389822805E-2</v>
      </c>
      <c r="G570" s="836">
        <f>+G178/(SUM(F178:I178))</f>
        <v>0.13584734211721944</v>
      </c>
      <c r="H570" s="836">
        <f>+H178/(SUM(F178:I178))</f>
        <v>0.8037255792821445</v>
      </c>
      <c r="I570" s="1041">
        <f>+I178/(SUM(F178:I178))</f>
        <v>2.7260336210813266E-2</v>
      </c>
      <c r="J570" s="836">
        <f>+J178/(SUM(J178:M178))</f>
        <v>2.9505582137161084E-2</v>
      </c>
      <c r="K570" s="836">
        <f>+K178/(SUM(J178:M178))</f>
        <v>0.16586921850079744</v>
      </c>
      <c r="L570" s="836">
        <f>+L178/(SUM(J178:M178))</f>
        <v>0.77711323763955342</v>
      </c>
      <c r="M570" s="1041">
        <f>+M178/(SUM(J178:M178))</f>
        <v>2.751196172248804E-2</v>
      </c>
      <c r="N570" s="836">
        <f>+N178/(SUM(N178:Q178))</f>
        <v>3.2432432432432434E-2</v>
      </c>
      <c r="O570" s="836">
        <f>+O178/(SUM(N178:Q178))</f>
        <v>0.16612612612612612</v>
      </c>
      <c r="P570" s="836">
        <f>+P178/(SUM(N178:Q178))</f>
        <v>0.77477477477477474</v>
      </c>
      <c r="Q570" s="1041">
        <f>+Q178/(SUM(N178:Q178))</f>
        <v>2.6666666666666668E-2</v>
      </c>
      <c r="R570" s="836">
        <f>+R178/(SUM(R178:U178))</f>
        <v>3.1887755102040817E-2</v>
      </c>
      <c r="S570" s="836">
        <f>+S178/(SUM(R178:U178))</f>
        <v>0.15911989795918369</v>
      </c>
      <c r="T570" s="836">
        <f>+T178/(SUM(R178:U178))</f>
        <v>0.5825892857142857</v>
      </c>
      <c r="U570" s="1041">
        <f>+U178/(SUM(R178:U178))</f>
        <v>0.2264030612244898</v>
      </c>
      <c r="V570" s="836">
        <f>+V178/(SUM(V178:Y178))</f>
        <v>3.3398821218074658E-2</v>
      </c>
      <c r="W570" s="836">
        <f>+W178/(SUM(V178:Y178))</f>
        <v>4.1257367387033402E-2</v>
      </c>
      <c r="X570" s="836">
        <f>+X178/(SUM(V178:Y178))</f>
        <v>0.68621947796800453</v>
      </c>
      <c r="Y570" s="1041">
        <f>+Y178/(SUM(V178:Y178))</f>
        <v>0.23912433342688746</v>
      </c>
      <c r="Z570" s="836">
        <f>+Z178/(SUM(Z178:AC178))</f>
        <v>3.0651340996168581E-2</v>
      </c>
      <c r="AA570" s="836">
        <f>+AA178/(SUM(Z178:AC178))</f>
        <v>0.1049808429118774</v>
      </c>
      <c r="AB570" s="836">
        <f>+AB178/(SUM(Z178:AC178))</f>
        <v>0.82733077905491703</v>
      </c>
      <c r="AC570" s="1041">
        <f>+AC178/(SUM(Z178:AC178))</f>
        <v>3.7037037037037035E-2</v>
      </c>
      <c r="AD570" s="836">
        <f>+AD178/(SUM(AD178:AG178))</f>
        <v>3.6275695284159616E-2</v>
      </c>
      <c r="AE570" s="836">
        <f>+AE178/(SUM(AD178:AG178))</f>
        <v>0.12478839177750907</v>
      </c>
      <c r="AF570" s="836">
        <f>+AF178/(SUM(AD178:AG178))</f>
        <v>0.80798065296251509</v>
      </c>
      <c r="AG570" s="1041">
        <f>+AG178/(SUM(AD178:AG178))</f>
        <v>3.0955259975816204E-2</v>
      </c>
      <c r="AH570" s="836">
        <f>+AH178/(SUM(AH178:AK178))</f>
        <v>4.2069741282339708E-2</v>
      </c>
      <c r="AI570" s="836">
        <f>+AI178/(SUM(AH178:AK178))</f>
        <v>0.11068616422947132</v>
      </c>
      <c r="AJ570" s="836">
        <f>+AJ178/(SUM(AH178:AK178))</f>
        <v>0.82182227221597304</v>
      </c>
      <c r="AK570" s="1041">
        <f>+AK178/(SUM(AH178:AK178))</f>
        <v>2.5421822272215972E-2</v>
      </c>
      <c r="AL570" s="836">
        <f>+AL178/(SUM(AL178:AO178))</f>
        <v>3.6139630390143736E-2</v>
      </c>
      <c r="AM570" s="836">
        <f>+AM178/(SUM(AL178:AO178))</f>
        <v>0.10451745379876796</v>
      </c>
      <c r="AN570" s="836">
        <f>+AN178/(SUM(AM178:AP178))</f>
        <v>0.82967821274851405</v>
      </c>
      <c r="AO570" s="1041">
        <f>+AO178/(SUM(AL178:AO178))</f>
        <v>2.8131416837782339E-2</v>
      </c>
      <c r="AP570" s="836">
        <f>+AP178/(SUM(AP178:AS178))</f>
        <v>3.5217970683418996E-2</v>
      </c>
      <c r="AQ570" s="836">
        <f>+AQ178/(SUM(AP178:AS178))</f>
        <v>0.1081286883685513</v>
      </c>
      <c r="AR570" s="836">
        <f>+AR178/(SUM(AP178:AS178))</f>
        <v>0.83000190367409099</v>
      </c>
      <c r="AS570" s="1041">
        <f>+AS178/(SUM(AP178:AS178))</f>
        <v>2.6651437273938702E-2</v>
      </c>
      <c r="AT570" s="836">
        <f>+AT178/(SUM(AT178:AW178))</f>
        <v>4.1666666666666664E-2</v>
      </c>
      <c r="AU570" s="836">
        <f>+AU178/(SUM(AT178:AW178))</f>
        <v>0.10638297872340426</v>
      </c>
      <c r="AV570" s="836">
        <f>+AV178/(SUM(AT178:AW178))</f>
        <v>0.82446808510638303</v>
      </c>
      <c r="AW570" s="1041">
        <f>+AW178/(SUM(AT178:AW178))</f>
        <v>2.7482269503546101E-2</v>
      </c>
      <c r="AX570" s="836">
        <f>+AX178/(SUM(AX178:BA178))</f>
        <v>4.0395713107996702E-2</v>
      </c>
      <c r="AY570" s="836">
        <f>+AY178/(SUM(AX178:BA178))</f>
        <v>0.10717230008244023</v>
      </c>
      <c r="AZ570" s="836">
        <f>+AZ178/(SUM(AX178:BA178))</f>
        <v>0.82440230832646333</v>
      </c>
      <c r="BA570" s="836">
        <f>+BA178/(SUM(AX178:BA178))</f>
        <v>2.8029678483099753E-2</v>
      </c>
      <c r="BB570" s="1802"/>
      <c r="BC570" s="1132"/>
      <c r="BD570" s="1132"/>
      <c r="BE570" s="1132"/>
      <c r="BF570" s="1132"/>
      <c r="BG570" s="1132"/>
      <c r="BH570" s="1132"/>
      <c r="BI570" s="1133"/>
      <c r="BJ570" s="1133"/>
      <c r="BK570" s="1773"/>
      <c r="BL570" s="1133"/>
      <c r="BM570" s="1133"/>
      <c r="BN570" s="1133"/>
      <c r="BO570" s="1133"/>
      <c r="BP570" s="1133"/>
      <c r="BR570" s="1437"/>
      <c r="BS570" s="1437"/>
      <c r="BT570" s="1437"/>
      <c r="BU570" s="1260"/>
    </row>
    <row r="571" spans="1:73" s="305" customFormat="1" ht="12" customHeight="1">
      <c r="A571" s="1085"/>
      <c r="B571" s="837"/>
      <c r="C571" s="837"/>
      <c r="D571" s="837"/>
      <c r="E571" s="838"/>
      <c r="F571" s="837"/>
      <c r="G571" s="837"/>
      <c r="H571" s="837"/>
      <c r="I571" s="838"/>
      <c r="J571" s="837"/>
      <c r="K571" s="837"/>
      <c r="L571" s="837"/>
      <c r="M571" s="838"/>
      <c r="N571" s="836"/>
      <c r="O571" s="836"/>
      <c r="P571" s="836"/>
      <c r="Q571" s="1041"/>
      <c r="R571" s="836"/>
      <c r="S571" s="836"/>
      <c r="T571" s="836"/>
      <c r="U571" s="1041"/>
      <c r="V571" s="836"/>
      <c r="W571" s="836"/>
      <c r="X571" s="836"/>
      <c r="Y571" s="838"/>
      <c r="Z571" s="836"/>
      <c r="AA571" s="836"/>
      <c r="AB571" s="836"/>
      <c r="AC571" s="1041"/>
      <c r="AD571" s="836"/>
      <c r="AE571" s="836"/>
      <c r="AF571" s="836"/>
      <c r="AG571" s="1041"/>
      <c r="AH571" s="398"/>
      <c r="AI571" s="398"/>
      <c r="AJ571" s="398"/>
      <c r="AK571" s="401"/>
      <c r="AL571" s="398"/>
      <c r="AM571" s="398"/>
      <c r="AN571" s="398"/>
      <c r="AO571" s="401"/>
      <c r="AP571" s="398"/>
      <c r="AQ571" s="398"/>
      <c r="AR571" s="398"/>
      <c r="AS571" s="401"/>
      <c r="AT571" s="398"/>
      <c r="AU571" s="398"/>
      <c r="AV571" s="398"/>
      <c r="AW571" s="401"/>
      <c r="AX571" s="398"/>
      <c r="AY571" s="398"/>
      <c r="AZ571" s="398"/>
      <c r="BA571" s="398"/>
      <c r="BB571" s="1799"/>
      <c r="BC571" s="296"/>
      <c r="BD571" s="296"/>
      <c r="BE571" s="296"/>
      <c r="BF571" s="296"/>
      <c r="BG571" s="296"/>
      <c r="BH571" s="296"/>
      <c r="BI571" s="296"/>
      <c r="BJ571" s="296"/>
      <c r="BK571" s="1769"/>
      <c r="BL571" s="296"/>
      <c r="BM571" s="296"/>
      <c r="BN571" s="296"/>
      <c r="BO571" s="296"/>
      <c r="BP571" s="296"/>
      <c r="BR571" s="1379"/>
      <c r="BS571" s="1379"/>
      <c r="BT571" s="1379"/>
      <c r="BU571" s="1260"/>
    </row>
    <row r="572" spans="1:73" s="304" customFormat="1" ht="12" customHeight="1">
      <c r="A572" s="1509" t="s">
        <v>516</v>
      </c>
      <c r="B572" s="1108"/>
      <c r="C572" s="1108"/>
      <c r="D572" s="1108"/>
      <c r="E572" s="1109"/>
      <c r="F572" s="1108"/>
      <c r="G572" s="1108"/>
      <c r="H572" s="1108"/>
      <c r="I572" s="1109"/>
      <c r="J572" s="1108"/>
      <c r="K572" s="1108"/>
      <c r="L572" s="1108"/>
      <c r="M572" s="1528">
        <v>153</v>
      </c>
      <c r="N572" s="1529"/>
      <c r="O572" s="1529"/>
      <c r="P572" s="1529"/>
      <c r="Q572" s="1530">
        <v>154</v>
      </c>
      <c r="R572" s="1529"/>
      <c r="S572" s="1529"/>
      <c r="T572" s="1529"/>
      <c r="U572" s="1530">
        <v>160</v>
      </c>
      <c r="V572" s="1529"/>
      <c r="W572" s="1529"/>
      <c r="X572" s="1529"/>
      <c r="Y572" s="1528">
        <v>164</v>
      </c>
      <c r="Z572" s="1529"/>
      <c r="AA572" s="1529"/>
      <c r="AB572" s="1529"/>
      <c r="AC572" s="1530">
        <v>160</v>
      </c>
      <c r="AD572" s="1529"/>
      <c r="AE572" s="1529"/>
      <c r="AF572" s="1529"/>
      <c r="AG572" s="1530">
        <v>157</v>
      </c>
      <c r="AH572" s="1531"/>
      <c r="AI572" s="1531"/>
      <c r="AJ572" s="1531"/>
      <c r="AK572" s="1532">
        <v>158</v>
      </c>
      <c r="AL572" s="398"/>
      <c r="AM572" s="398"/>
      <c r="AN572" s="1879"/>
      <c r="AO572" s="1532">
        <v>160</v>
      </c>
      <c r="AP572" s="398"/>
      <c r="AQ572" s="398"/>
      <c r="AR572" s="1879"/>
      <c r="AS572" s="1532">
        <f>+AO572*(1+AS573)</f>
        <v>161.6</v>
      </c>
      <c r="AT572" s="398"/>
      <c r="AU572" s="398"/>
      <c r="AV572" s="1879"/>
      <c r="AW572" s="1532">
        <f>+AS572*(1+AW573)</f>
        <v>163.21600000000001</v>
      </c>
      <c r="AX572" s="398"/>
      <c r="AY572" s="398"/>
      <c r="AZ572" s="1879"/>
      <c r="BA572" s="1531">
        <f>+AW572*(1+BA573)</f>
        <v>164.84816000000001</v>
      </c>
      <c r="BB572" s="1799"/>
      <c r="BC572" s="1532">
        <v>149</v>
      </c>
      <c r="BD572" s="1532">
        <v>151</v>
      </c>
      <c r="BE572" s="1532">
        <v>150</v>
      </c>
      <c r="BF572" s="1532">
        <f>+M572</f>
        <v>153</v>
      </c>
      <c r="BG572" s="1532">
        <f>+Q572</f>
        <v>154</v>
      </c>
      <c r="BH572" s="1532">
        <f>+U572</f>
        <v>160</v>
      </c>
      <c r="BI572" s="1532">
        <f>+Y572</f>
        <v>164</v>
      </c>
      <c r="BJ572" s="1532">
        <f>+AC572</f>
        <v>160</v>
      </c>
      <c r="BK572" s="1774">
        <f>+AG572</f>
        <v>157</v>
      </c>
      <c r="BL572" s="1532">
        <f>+AK572</f>
        <v>158</v>
      </c>
      <c r="BM572" s="1532">
        <f>+AO572</f>
        <v>160</v>
      </c>
      <c r="BN572" s="1532">
        <f>+AS572</f>
        <v>161.6</v>
      </c>
      <c r="BO572" s="1532">
        <f>+AW572</f>
        <v>163.21600000000001</v>
      </c>
      <c r="BP572" s="1532">
        <f>+BA572</f>
        <v>164.84816000000001</v>
      </c>
      <c r="BR572" s="1483"/>
      <c r="BS572" s="1483"/>
      <c r="BT572" s="1483"/>
    </row>
    <row r="573" spans="1:73" s="304" customFormat="1" ht="12" customHeight="1">
      <c r="A573" s="1510" t="s">
        <v>181</v>
      </c>
      <c r="B573" s="837"/>
      <c r="C573" s="837"/>
      <c r="D573" s="837"/>
      <c r="E573" s="838"/>
      <c r="F573" s="837"/>
      <c r="G573" s="837"/>
      <c r="H573" s="837"/>
      <c r="I573" s="838"/>
      <c r="J573" s="837"/>
      <c r="K573" s="837"/>
      <c r="L573" s="837"/>
      <c r="M573" s="838"/>
      <c r="N573" s="836"/>
      <c r="O573" s="836"/>
      <c r="P573" s="836"/>
      <c r="Q573" s="1514">
        <f>+(Q572/M572)-1</f>
        <v>6.5359477124182774E-3</v>
      </c>
      <c r="R573" s="836"/>
      <c r="S573" s="836"/>
      <c r="T573" s="836"/>
      <c r="U573" s="1514">
        <f>+(U572/Q572)-1</f>
        <v>3.8961038961038863E-2</v>
      </c>
      <c r="V573" s="836"/>
      <c r="W573" s="836"/>
      <c r="X573" s="836"/>
      <c r="Y573" s="1514">
        <f>+(Y572/U572)-1</f>
        <v>2.4999999999999911E-2</v>
      </c>
      <c r="Z573" s="836"/>
      <c r="AA573" s="836"/>
      <c r="AB573" s="836"/>
      <c r="AC573" s="1514">
        <f>+(AC572/Y572)-1</f>
        <v>-2.4390243902439046E-2</v>
      </c>
      <c r="AD573" s="836"/>
      <c r="AE573" s="836"/>
      <c r="AF573" s="836"/>
      <c r="AG573" s="1514">
        <f>+(AG572/AC572)-1</f>
        <v>-1.8750000000000044E-2</v>
      </c>
      <c r="AH573" s="398"/>
      <c r="AI573" s="398"/>
      <c r="AJ573" s="398"/>
      <c r="AK573" s="1514">
        <f>+(AK572/AG572)-1</f>
        <v>6.3694267515923553E-3</v>
      </c>
      <c r="AL573" s="398"/>
      <c r="AM573" s="398"/>
      <c r="AN573" s="1863"/>
      <c r="AO573" s="1514">
        <f>+(AO572/AK572)-1</f>
        <v>1.2658227848101333E-2</v>
      </c>
      <c r="AP573" s="398"/>
      <c r="AQ573" s="398"/>
      <c r="AR573" s="1863"/>
      <c r="AS573" s="1517">
        <v>0.01</v>
      </c>
      <c r="AT573" s="398"/>
      <c r="AU573" s="398"/>
      <c r="AV573" s="1863"/>
      <c r="AW573" s="1517">
        <v>0.01</v>
      </c>
      <c r="AX573" s="398"/>
      <c r="AY573" s="398"/>
      <c r="AZ573" s="1863"/>
      <c r="BA573" s="1793">
        <v>0.01</v>
      </c>
      <c r="BB573" s="1799"/>
      <c r="BC573" s="1517"/>
      <c r="BD573" s="1514">
        <f>+BD572/BC572-1</f>
        <v>1.3422818791946289E-2</v>
      </c>
      <c r="BE573" s="1514">
        <f t="shared" ref="BE573:BL573" si="3282">+BE572/BD572-1</f>
        <v>-6.6225165562914245E-3</v>
      </c>
      <c r="BF573" s="1514">
        <f t="shared" si="3282"/>
        <v>2.0000000000000018E-2</v>
      </c>
      <c r="BG573" s="1514">
        <f t="shared" si="3282"/>
        <v>6.5359477124182774E-3</v>
      </c>
      <c r="BH573" s="1514">
        <f t="shared" si="3282"/>
        <v>3.8961038961038863E-2</v>
      </c>
      <c r="BI573" s="1514">
        <f t="shared" si="3282"/>
        <v>2.4999999999999911E-2</v>
      </c>
      <c r="BJ573" s="1514">
        <f t="shared" si="3282"/>
        <v>-2.4390243902439046E-2</v>
      </c>
      <c r="BK573" s="1775">
        <f t="shared" si="3282"/>
        <v>-1.8750000000000044E-2</v>
      </c>
      <c r="BL573" s="1514">
        <f t="shared" si="3282"/>
        <v>6.3694267515923553E-3</v>
      </c>
      <c r="BM573" s="1517">
        <f>+AO573</f>
        <v>1.2658227848101333E-2</v>
      </c>
      <c r="BN573" s="1517">
        <f>+AS573</f>
        <v>0.01</v>
      </c>
      <c r="BO573" s="1517">
        <f>+AW573</f>
        <v>0.01</v>
      </c>
      <c r="BP573" s="1517">
        <f>+BA573</f>
        <v>0.01</v>
      </c>
      <c r="BR573" s="1483"/>
      <c r="BS573" s="1483"/>
      <c r="BT573" s="1483"/>
    </row>
    <row r="574" spans="1:73" s="304" customFormat="1" ht="12" customHeight="1">
      <c r="A574" s="1510" t="s">
        <v>517</v>
      </c>
      <c r="B574" s="837"/>
      <c r="C574" s="837"/>
      <c r="D574" s="837"/>
      <c r="E574" s="838"/>
      <c r="F574" s="837"/>
      <c r="G574" s="837"/>
      <c r="H574" s="837"/>
      <c r="I574" s="838"/>
      <c r="J574" s="837"/>
      <c r="K574" s="837"/>
      <c r="L574" s="837"/>
      <c r="M574" s="838"/>
      <c r="N574" s="836"/>
      <c r="O574" s="836"/>
      <c r="P574" s="836"/>
      <c r="Q574" s="1515">
        <v>1</v>
      </c>
      <c r="R574" s="836"/>
      <c r="S574" s="836"/>
      <c r="T574" s="836"/>
      <c r="U574" s="1515">
        <v>1</v>
      </c>
      <c r="V574" s="836"/>
      <c r="W574" s="836"/>
      <c r="X574" s="836"/>
      <c r="Y574" s="1515">
        <v>1</v>
      </c>
      <c r="Z574" s="836"/>
      <c r="AA574" s="836"/>
      <c r="AB574" s="836"/>
      <c r="AC574" s="1515">
        <v>1</v>
      </c>
      <c r="AD574" s="836"/>
      <c r="AE574" s="836"/>
      <c r="AF574" s="836"/>
      <c r="AG574" s="1515">
        <v>1</v>
      </c>
      <c r="AH574" s="398"/>
      <c r="AI574" s="398"/>
      <c r="AJ574" s="398"/>
      <c r="AK574" s="1515">
        <v>1</v>
      </c>
      <c r="AL574" s="398"/>
      <c r="AM574" s="398"/>
      <c r="AN574" s="1863"/>
      <c r="AO574" s="1515">
        <v>1</v>
      </c>
      <c r="AP574" s="398"/>
      <c r="AQ574" s="398"/>
      <c r="AR574" s="1863"/>
      <c r="AS574" s="1515">
        <v>1</v>
      </c>
      <c r="AT574" s="398"/>
      <c r="AU574" s="398"/>
      <c r="AV574" s="1863"/>
      <c r="AW574" s="1515">
        <v>1</v>
      </c>
      <c r="AX574" s="398"/>
      <c r="AY574" s="398"/>
      <c r="AZ574" s="1863"/>
      <c r="BA574" s="1794">
        <v>1</v>
      </c>
      <c r="BB574" s="1799"/>
      <c r="BC574" s="1745">
        <v>1</v>
      </c>
      <c r="BD574" s="1745">
        <f>+BC574</f>
        <v>1</v>
      </c>
      <c r="BE574" s="1745">
        <f t="shared" ref="BE574:BL574" si="3283">+BD574</f>
        <v>1</v>
      </c>
      <c r="BF574" s="1745">
        <f t="shared" si="3283"/>
        <v>1</v>
      </c>
      <c r="BG574" s="1745">
        <f t="shared" si="3283"/>
        <v>1</v>
      </c>
      <c r="BH574" s="1745">
        <f t="shared" si="3283"/>
        <v>1</v>
      </c>
      <c r="BI574" s="1745">
        <f t="shared" si="3283"/>
        <v>1</v>
      </c>
      <c r="BJ574" s="1745">
        <f t="shared" si="3283"/>
        <v>1</v>
      </c>
      <c r="BK574" s="1776">
        <f t="shared" si="3283"/>
        <v>1</v>
      </c>
      <c r="BL574" s="1745">
        <f t="shared" si="3283"/>
        <v>1</v>
      </c>
      <c r="BM574" s="1515">
        <f>+AO574</f>
        <v>1</v>
      </c>
      <c r="BN574" s="1515">
        <f>+AS574</f>
        <v>1</v>
      </c>
      <c r="BO574" s="1515">
        <f>+AW574</f>
        <v>1</v>
      </c>
      <c r="BP574" s="1515">
        <f>+BA574</f>
        <v>1</v>
      </c>
      <c r="BR574" s="1483"/>
      <c r="BS574" s="1483"/>
      <c r="BT574" s="1483"/>
    </row>
    <row r="575" spans="1:73" s="304" customFormat="1" ht="12" customHeight="1">
      <c r="A575" s="1510" t="s">
        <v>518</v>
      </c>
      <c r="B575" s="837"/>
      <c r="C575" s="837"/>
      <c r="D575" s="837"/>
      <c r="E575" s="838"/>
      <c r="F575" s="837"/>
      <c r="G575" s="837"/>
      <c r="H575" s="837"/>
      <c r="I575" s="838"/>
      <c r="J575" s="837"/>
      <c r="K575" s="837"/>
      <c r="L575" s="837"/>
      <c r="M575" s="838"/>
      <c r="N575" s="836"/>
      <c r="O575" s="836"/>
      <c r="P575" s="836"/>
      <c r="Q575" s="1514">
        <f>+Q574*Q573</f>
        <v>6.5359477124182774E-3</v>
      </c>
      <c r="R575" s="836"/>
      <c r="S575" s="836"/>
      <c r="T575" s="836"/>
      <c r="U575" s="1514">
        <f>+U574*U573</f>
        <v>3.8961038961038863E-2</v>
      </c>
      <c r="V575" s="836"/>
      <c r="W575" s="836"/>
      <c r="X575" s="836"/>
      <c r="Y575" s="1514">
        <f>+Y574*Y573</f>
        <v>2.4999999999999911E-2</v>
      </c>
      <c r="Z575" s="836"/>
      <c r="AA575" s="836"/>
      <c r="AB575" s="836"/>
      <c r="AC575" s="1514">
        <f>+AC574*AC573</f>
        <v>-2.4390243902439046E-2</v>
      </c>
      <c r="AD575" s="836"/>
      <c r="AE575" s="836"/>
      <c r="AF575" s="836"/>
      <c r="AG575" s="1514">
        <f>+AG574*AG573</f>
        <v>-1.8750000000000044E-2</v>
      </c>
      <c r="AH575" s="398"/>
      <c r="AI575" s="398"/>
      <c r="AJ575" s="398"/>
      <c r="AK575" s="1514">
        <f>+AK574*AK573</f>
        <v>6.3694267515923553E-3</v>
      </c>
      <c r="AL575" s="398"/>
      <c r="AM575" s="398"/>
      <c r="AN575" s="1863"/>
      <c r="AO575" s="1514">
        <f>+AO574*AO573</f>
        <v>1.2658227848101333E-2</v>
      </c>
      <c r="AP575" s="398"/>
      <c r="AQ575" s="398"/>
      <c r="AR575" s="1863"/>
      <c r="AS575" s="1514">
        <f>+AS574*AS573</f>
        <v>0.01</v>
      </c>
      <c r="AT575" s="398"/>
      <c r="AU575" s="398"/>
      <c r="AV575" s="1863"/>
      <c r="AW575" s="1514">
        <f>+AW574*AW573</f>
        <v>0.01</v>
      </c>
      <c r="AX575" s="398"/>
      <c r="AY575" s="398"/>
      <c r="AZ575" s="1863"/>
      <c r="BA575" s="1748">
        <f>+BA574*BA573</f>
        <v>0.01</v>
      </c>
      <c r="BB575" s="1799"/>
      <c r="BC575" s="1514"/>
      <c r="BD575" s="1514">
        <f t="shared" ref="BD575:BP575" si="3284">+BD574*BD573</f>
        <v>1.3422818791946289E-2</v>
      </c>
      <c r="BE575" s="1514">
        <f t="shared" si="3284"/>
        <v>-6.6225165562914245E-3</v>
      </c>
      <c r="BF575" s="1514">
        <f t="shared" si="3284"/>
        <v>2.0000000000000018E-2</v>
      </c>
      <c r="BG575" s="1514">
        <f t="shared" si="3284"/>
        <v>6.5359477124182774E-3</v>
      </c>
      <c r="BH575" s="1514">
        <f t="shared" si="3284"/>
        <v>3.8961038961038863E-2</v>
      </c>
      <c r="BI575" s="1514">
        <f t="shared" si="3284"/>
        <v>2.4999999999999911E-2</v>
      </c>
      <c r="BJ575" s="1514">
        <f t="shared" si="3284"/>
        <v>-2.4390243902439046E-2</v>
      </c>
      <c r="BK575" s="1775">
        <f t="shared" si="3284"/>
        <v>-1.8750000000000044E-2</v>
      </c>
      <c r="BL575" s="1514">
        <f t="shared" si="3284"/>
        <v>6.3694267515923553E-3</v>
      </c>
      <c r="BM575" s="1514">
        <f t="shared" si="3284"/>
        <v>1.2658227848101333E-2</v>
      </c>
      <c r="BN575" s="1514">
        <f t="shared" si="3284"/>
        <v>0.01</v>
      </c>
      <c r="BO575" s="1514">
        <f t="shared" si="3284"/>
        <v>0.01</v>
      </c>
      <c r="BP575" s="1514">
        <f t="shared" si="3284"/>
        <v>0.01</v>
      </c>
      <c r="BR575" s="1483"/>
      <c r="BS575" s="1483"/>
      <c r="BT575" s="1483"/>
    </row>
    <row r="576" spans="1:73" s="304" customFormat="1" ht="12" customHeight="1">
      <c r="A576" s="1509" t="s">
        <v>603</v>
      </c>
      <c r="B576" s="1108"/>
      <c r="C576" s="1108"/>
      <c r="D576" s="1108"/>
      <c r="E576" s="1109"/>
      <c r="F576" s="1108"/>
      <c r="G576" s="1108"/>
      <c r="H576" s="1108"/>
      <c r="I576" s="1109"/>
      <c r="J576" s="1108"/>
      <c r="K576" s="1108"/>
      <c r="L576" s="1108"/>
      <c r="M576" s="1528"/>
      <c r="N576" s="1529"/>
      <c r="O576" s="1529"/>
      <c r="P576" s="1529"/>
      <c r="Q576" s="1530"/>
      <c r="R576" s="1529"/>
      <c r="S576" s="1529"/>
      <c r="T576" s="1529"/>
      <c r="U576" s="1530"/>
      <c r="V576" s="1529"/>
      <c r="W576" s="1529"/>
      <c r="X576" s="1529"/>
      <c r="Y576" s="1528"/>
      <c r="Z576" s="1529"/>
      <c r="AA576" s="1529"/>
      <c r="AB576" s="1529"/>
      <c r="AC576" s="1530">
        <f>BJ576</f>
        <v>86</v>
      </c>
      <c r="AD576" s="1529"/>
      <c r="AE576" s="1529"/>
      <c r="AF576" s="1529"/>
      <c r="AG576" s="1530">
        <f>BK576</f>
        <v>85</v>
      </c>
      <c r="AH576" s="1531"/>
      <c r="AI576" s="1531"/>
      <c r="AJ576" s="1531"/>
      <c r="AK576" s="1532">
        <f>BL576</f>
        <v>85</v>
      </c>
      <c r="AL576" s="398"/>
      <c r="AM576" s="398"/>
      <c r="AN576" s="1879"/>
      <c r="AO576" s="1532">
        <f>BM576</f>
        <v>86</v>
      </c>
      <c r="AP576" s="398"/>
      <c r="AQ576" s="398"/>
      <c r="AR576" s="1879"/>
      <c r="AS576" s="1532"/>
      <c r="AT576" s="398"/>
      <c r="AU576" s="398"/>
      <c r="AV576" s="1879"/>
      <c r="AW576" s="1532"/>
      <c r="AX576" s="398"/>
      <c r="AY576" s="398"/>
      <c r="AZ576" s="1879"/>
      <c r="BA576" s="1531"/>
      <c r="BB576" s="1799"/>
      <c r="BC576" s="1749">
        <v>85</v>
      </c>
      <c r="BD576" s="1749">
        <v>85</v>
      </c>
      <c r="BE576" s="1749">
        <v>84</v>
      </c>
      <c r="BF576" s="1749">
        <v>86</v>
      </c>
      <c r="BG576" s="1749">
        <v>85</v>
      </c>
      <c r="BH576" s="1749">
        <v>85</v>
      </c>
      <c r="BI576" s="1749">
        <v>87</v>
      </c>
      <c r="BJ576" s="1749">
        <v>86</v>
      </c>
      <c r="BK576" s="1777">
        <v>85</v>
      </c>
      <c r="BL576" s="1749">
        <v>85</v>
      </c>
      <c r="BM576" s="1749">
        <v>86</v>
      </c>
      <c r="BN576" s="1532"/>
      <c r="BO576" s="1532"/>
      <c r="BP576" s="1532"/>
      <c r="BR576" s="1483"/>
      <c r="BS576" s="1483"/>
      <c r="BT576" s="1483"/>
    </row>
    <row r="577" spans="1:72" s="1881" customFormat="1" ht="12" customHeight="1">
      <c r="A577" s="1510" t="s">
        <v>605</v>
      </c>
      <c r="B577" s="837"/>
      <c r="C577" s="837"/>
      <c r="D577" s="837"/>
      <c r="E577" s="838"/>
      <c r="F577" s="837"/>
      <c r="G577" s="837"/>
      <c r="H577" s="837"/>
      <c r="I577" s="838"/>
      <c r="J577" s="837"/>
      <c r="K577" s="837"/>
      <c r="L577" s="837"/>
      <c r="M577" s="1750"/>
      <c r="N577" s="1549"/>
      <c r="O577" s="1549"/>
      <c r="P577" s="1549"/>
      <c r="Q577" s="1520"/>
      <c r="R577" s="1549"/>
      <c r="S577" s="1549"/>
      <c r="T577" s="1549"/>
      <c r="U577" s="1520"/>
      <c r="V577" s="1549"/>
      <c r="W577" s="1549"/>
      <c r="X577" s="1549"/>
      <c r="Y577" s="1750"/>
      <c r="Z577" s="1549"/>
      <c r="AA577" s="1549"/>
      <c r="AB577" s="1549"/>
      <c r="AC577" s="1520"/>
      <c r="AD577" s="1549"/>
      <c r="AE577" s="1549"/>
      <c r="AF577" s="1549"/>
      <c r="AG577" s="1514">
        <f>+(AG576/AC576)-1</f>
        <v>-1.1627906976744207E-2</v>
      </c>
      <c r="AH577" s="398"/>
      <c r="AI577" s="398"/>
      <c r="AJ577" s="398"/>
      <c r="AK577" s="1514">
        <f>+(AK576/AG576)-1</f>
        <v>0</v>
      </c>
      <c r="AL577" s="1040"/>
      <c r="AM577" s="1040"/>
      <c r="AN577" s="1880"/>
      <c r="AO577" s="1514">
        <f>+(AO576/AK576)-1</f>
        <v>1.1764705882352899E-2</v>
      </c>
      <c r="AP577" s="1040"/>
      <c r="AQ577" s="1040"/>
      <c r="AR577" s="1880"/>
      <c r="AS577" s="1751"/>
      <c r="AT577" s="1040"/>
      <c r="AU577" s="1040"/>
      <c r="AV577" s="1880"/>
      <c r="AW577" s="1751"/>
      <c r="AX577" s="1040"/>
      <c r="AY577" s="1040"/>
      <c r="AZ577" s="1880"/>
      <c r="BA577" s="1795"/>
      <c r="BB577" s="1803"/>
      <c r="BC577" s="1753">
        <f>+BC576/BC572</f>
        <v>0.57046979865771807</v>
      </c>
      <c r="BD577" s="1753">
        <f t="shared" ref="BD577:BM577" si="3285">+BD576/BD572</f>
        <v>0.5629139072847682</v>
      </c>
      <c r="BE577" s="1753">
        <f t="shared" si="3285"/>
        <v>0.56000000000000005</v>
      </c>
      <c r="BF577" s="1753">
        <f t="shared" si="3285"/>
        <v>0.56209150326797386</v>
      </c>
      <c r="BG577" s="1753">
        <f t="shared" si="3285"/>
        <v>0.55194805194805197</v>
      </c>
      <c r="BH577" s="1753">
        <f t="shared" si="3285"/>
        <v>0.53125</v>
      </c>
      <c r="BI577" s="1753">
        <f t="shared" si="3285"/>
        <v>0.53048780487804881</v>
      </c>
      <c r="BJ577" s="1753">
        <f t="shared" si="3285"/>
        <v>0.53749999999999998</v>
      </c>
      <c r="BK577" s="1778">
        <f t="shared" si="3285"/>
        <v>0.54140127388535031</v>
      </c>
      <c r="BL577" s="1753">
        <f t="shared" si="3285"/>
        <v>0.53797468354430378</v>
      </c>
      <c r="BM577" s="1753">
        <f t="shared" si="3285"/>
        <v>0.53749999999999998</v>
      </c>
      <c r="BN577" s="1751"/>
      <c r="BO577" s="1751"/>
      <c r="BP577" s="1751"/>
      <c r="BR577" s="1882"/>
      <c r="BS577" s="1882"/>
      <c r="BT577" s="1882"/>
    </row>
    <row r="578" spans="1:72" s="304" customFormat="1" ht="12" customHeight="1">
      <c r="A578" s="1509" t="s">
        <v>604</v>
      </c>
      <c r="B578" s="1108"/>
      <c r="C578" s="1108"/>
      <c r="D578" s="1108"/>
      <c r="E578" s="1109"/>
      <c r="F578" s="1108"/>
      <c r="G578" s="1108"/>
      <c r="H578" s="1108"/>
      <c r="I578" s="1109"/>
      <c r="J578" s="1108"/>
      <c r="K578" s="1108"/>
      <c r="L578" s="1108"/>
      <c r="M578" s="1528"/>
      <c r="N578" s="1529"/>
      <c r="O578" s="1529"/>
      <c r="P578" s="1529"/>
      <c r="Q578" s="1530"/>
      <c r="R578" s="1529"/>
      <c r="S578" s="1529"/>
      <c r="T578" s="1529"/>
      <c r="U578" s="1530"/>
      <c r="V578" s="1529"/>
      <c r="W578" s="1529"/>
      <c r="X578" s="1529"/>
      <c r="Y578" s="1528"/>
      <c r="Z578" s="1529"/>
      <c r="AA578" s="1529"/>
      <c r="AB578" s="1529"/>
      <c r="AC578" s="1530">
        <f>BJ578</f>
        <v>75</v>
      </c>
      <c r="AD578" s="1529"/>
      <c r="AE578" s="1529"/>
      <c r="AF578" s="1529"/>
      <c r="AG578" s="1530">
        <f>BK578</f>
        <v>72</v>
      </c>
      <c r="AH578" s="1531"/>
      <c r="AI578" s="1531"/>
      <c r="AJ578" s="1531"/>
      <c r="AK578" s="1532">
        <f>BL578</f>
        <v>73</v>
      </c>
      <c r="AL578" s="398"/>
      <c r="AM578" s="398"/>
      <c r="AN578" s="1879"/>
      <c r="AO578" s="1532">
        <f>BM578</f>
        <v>74</v>
      </c>
      <c r="AP578" s="398"/>
      <c r="AQ578" s="398"/>
      <c r="AR578" s="1879"/>
      <c r="AS578" s="1532"/>
      <c r="AT578" s="398"/>
      <c r="AU578" s="398"/>
      <c r="AV578" s="1879"/>
      <c r="AW578" s="1532"/>
      <c r="AX578" s="398"/>
      <c r="AY578" s="398"/>
      <c r="AZ578" s="1879"/>
      <c r="BA578" s="1531"/>
      <c r="BB578" s="1799"/>
      <c r="BC578" s="1749">
        <v>63</v>
      </c>
      <c r="BD578" s="1749">
        <v>66</v>
      </c>
      <c r="BE578" s="1749">
        <v>66</v>
      </c>
      <c r="BF578" s="1749">
        <v>68</v>
      </c>
      <c r="BG578" s="1749">
        <v>69</v>
      </c>
      <c r="BH578" s="1749">
        <v>75</v>
      </c>
      <c r="BI578" s="1749">
        <v>77</v>
      </c>
      <c r="BJ578" s="1749">
        <v>75</v>
      </c>
      <c r="BK578" s="1777">
        <v>72</v>
      </c>
      <c r="BL578" s="1749">
        <v>73</v>
      </c>
      <c r="BM578" s="1749">
        <v>74</v>
      </c>
      <c r="BN578" s="1532"/>
      <c r="BO578" s="1532"/>
      <c r="BP578" s="1532"/>
      <c r="BR578" s="1483"/>
      <c r="BS578" s="1483"/>
      <c r="BT578" s="1483"/>
    </row>
    <row r="579" spans="1:72" s="1881" customFormat="1" ht="12" customHeight="1">
      <c r="A579" s="1510" t="s">
        <v>605</v>
      </c>
      <c r="B579" s="837"/>
      <c r="C579" s="837"/>
      <c r="D579" s="837"/>
      <c r="E579" s="838"/>
      <c r="F579" s="837"/>
      <c r="G579" s="837"/>
      <c r="H579" s="837"/>
      <c r="I579" s="838"/>
      <c r="J579" s="837"/>
      <c r="K579" s="837"/>
      <c r="L579" s="837"/>
      <c r="M579" s="1750"/>
      <c r="N579" s="1549"/>
      <c r="O579" s="1549"/>
      <c r="P579" s="1549"/>
      <c r="Q579" s="1520"/>
      <c r="R579" s="1549"/>
      <c r="S579" s="1549"/>
      <c r="T579" s="1549"/>
      <c r="U579" s="1520"/>
      <c r="V579" s="1549"/>
      <c r="W579" s="1549"/>
      <c r="X579" s="1549"/>
      <c r="Y579" s="1750"/>
      <c r="Z579" s="1549"/>
      <c r="AA579" s="1549"/>
      <c r="AB579" s="1549"/>
      <c r="AC579" s="1520"/>
      <c r="AD579" s="1549"/>
      <c r="AE579" s="1549"/>
      <c r="AF579" s="1549"/>
      <c r="AG579" s="1514">
        <f>+(AG578/AC578)-1</f>
        <v>-4.0000000000000036E-2</v>
      </c>
      <c r="AH579" s="398"/>
      <c r="AI579" s="398"/>
      <c r="AJ579" s="398"/>
      <c r="AK579" s="1514">
        <f>+(AK578/AG578)-1</f>
        <v>1.388888888888884E-2</v>
      </c>
      <c r="AL579" s="1040"/>
      <c r="AM579" s="1040"/>
      <c r="AN579" s="1880"/>
      <c r="AO579" s="1514">
        <f>+(AO578/AK578)-1</f>
        <v>1.3698630136986356E-2</v>
      </c>
      <c r="AP579" s="1040"/>
      <c r="AQ579" s="1040"/>
      <c r="AR579" s="1880"/>
      <c r="AS579" s="1751"/>
      <c r="AT579" s="1040"/>
      <c r="AU579" s="1040"/>
      <c r="AV579" s="1880"/>
      <c r="AW579" s="1751"/>
      <c r="AX579" s="1040"/>
      <c r="AY579" s="1040"/>
      <c r="AZ579" s="1880"/>
      <c r="BA579" s="1795"/>
      <c r="BB579" s="1803"/>
      <c r="BC579" s="1753">
        <f>+BC578/BC572</f>
        <v>0.42281879194630873</v>
      </c>
      <c r="BD579" s="1753">
        <f t="shared" ref="BD579:BL579" si="3286">+BD578/BD572</f>
        <v>0.4370860927152318</v>
      </c>
      <c r="BE579" s="1753">
        <f t="shared" si="3286"/>
        <v>0.44</v>
      </c>
      <c r="BF579" s="1753">
        <f t="shared" si="3286"/>
        <v>0.44444444444444442</v>
      </c>
      <c r="BG579" s="1753">
        <f t="shared" si="3286"/>
        <v>0.44805194805194803</v>
      </c>
      <c r="BH579" s="1753">
        <f t="shared" si="3286"/>
        <v>0.46875</v>
      </c>
      <c r="BI579" s="1753">
        <f t="shared" si="3286"/>
        <v>0.46951219512195119</v>
      </c>
      <c r="BJ579" s="1753">
        <f t="shared" si="3286"/>
        <v>0.46875</v>
      </c>
      <c r="BK579" s="1778">
        <f t="shared" si="3286"/>
        <v>0.45859872611464969</v>
      </c>
      <c r="BL579" s="1753">
        <f t="shared" si="3286"/>
        <v>0.46202531645569622</v>
      </c>
      <c r="BM579" s="1753">
        <f t="shared" ref="BM579" si="3287">+BM578/BM572</f>
        <v>0.46250000000000002</v>
      </c>
      <c r="BN579" s="1751"/>
      <c r="BO579" s="1751"/>
      <c r="BP579" s="1751"/>
      <c r="BR579" s="1882"/>
      <c r="BS579" s="1882"/>
      <c r="BT579" s="1882"/>
    </row>
    <row r="580" spans="1:72" s="304" customFormat="1" ht="12" customHeight="1">
      <c r="A580" s="1510"/>
      <c r="B580" s="837"/>
      <c r="C580" s="837"/>
      <c r="D580" s="837"/>
      <c r="E580" s="838"/>
      <c r="F580" s="837"/>
      <c r="G580" s="837"/>
      <c r="H580" s="837"/>
      <c r="I580" s="838"/>
      <c r="J580" s="837"/>
      <c r="K580" s="837"/>
      <c r="L580" s="837"/>
      <c r="M580" s="838"/>
      <c r="N580" s="836"/>
      <c r="O580" s="836"/>
      <c r="P580" s="836"/>
      <c r="Q580" s="1514"/>
      <c r="R580" s="836"/>
      <c r="S580" s="836"/>
      <c r="T580" s="836"/>
      <c r="U580" s="1514"/>
      <c r="V580" s="836"/>
      <c r="W580" s="836"/>
      <c r="X580" s="836"/>
      <c r="Y580" s="1514"/>
      <c r="Z580" s="836"/>
      <c r="AA580" s="836"/>
      <c r="AB580" s="836"/>
      <c r="AC580" s="1514"/>
      <c r="AD580" s="836"/>
      <c r="AE580" s="836"/>
      <c r="AF580" s="836"/>
      <c r="AG580" s="1514"/>
      <c r="AH580" s="398"/>
      <c r="AI580" s="398"/>
      <c r="AJ580" s="398"/>
      <c r="AK580" s="1514"/>
      <c r="AL580" s="398"/>
      <c r="AM580" s="398"/>
      <c r="AN580" s="1863"/>
      <c r="AO580" s="1514"/>
      <c r="AP580" s="398"/>
      <c r="AQ580" s="398"/>
      <c r="AR580" s="1863"/>
      <c r="AS580" s="1514"/>
      <c r="AT580" s="398"/>
      <c r="AU580" s="398"/>
      <c r="AV580" s="1863"/>
      <c r="AW580" s="1514"/>
      <c r="AX580" s="398"/>
      <c r="AY580" s="398"/>
      <c r="AZ580" s="1863"/>
      <c r="BA580" s="1748"/>
      <c r="BB580" s="1799"/>
      <c r="BC580" s="1514"/>
      <c r="BD580" s="1514"/>
      <c r="BE580" s="1514"/>
      <c r="BF580" s="1514"/>
      <c r="BG580" s="1514"/>
      <c r="BH580" s="1514"/>
      <c r="BI580" s="1514"/>
      <c r="BJ580" s="1514"/>
      <c r="BK580" s="1775"/>
      <c r="BL580" s="1514"/>
      <c r="BM580" s="1514"/>
      <c r="BN580" s="1514"/>
      <c r="BO580" s="1514"/>
      <c r="BP580" s="1514"/>
      <c r="BR580" s="1483"/>
      <c r="BS580" s="1483"/>
      <c r="BT580" s="1483"/>
    </row>
    <row r="581" spans="1:72" s="304" customFormat="1" ht="12" customHeight="1">
      <c r="A581" s="1509" t="s">
        <v>515</v>
      </c>
      <c r="B581" s="1108"/>
      <c r="C581" s="1108"/>
      <c r="D581" s="1108"/>
      <c r="E581" s="1109"/>
      <c r="F581" s="1108"/>
      <c r="G581" s="1108"/>
      <c r="H581" s="1108"/>
      <c r="I581" s="1109"/>
      <c r="J581" s="1108"/>
      <c r="K581" s="1108"/>
      <c r="L581" s="1108"/>
      <c r="M581" s="1528">
        <v>42</v>
      </c>
      <c r="N581" s="1529"/>
      <c r="O581" s="1529"/>
      <c r="P581" s="1529"/>
      <c r="Q581" s="1530">
        <v>43</v>
      </c>
      <c r="R581" s="1529"/>
      <c r="S581" s="1529"/>
      <c r="T581" s="1529"/>
      <c r="U581" s="1534">
        <v>48</v>
      </c>
      <c r="V581" s="1535"/>
      <c r="W581" s="1535"/>
      <c r="X581" s="1535"/>
      <c r="Y581" s="1536">
        <v>50</v>
      </c>
      <c r="Z581" s="1535"/>
      <c r="AA581" s="1535"/>
      <c r="AB581" s="1535"/>
      <c r="AC581" s="1534">
        <v>47</v>
      </c>
      <c r="AD581" s="1535"/>
      <c r="AE581" s="1535"/>
      <c r="AF581" s="1535"/>
      <c r="AG581" s="1534">
        <v>45</v>
      </c>
      <c r="AH581" s="1537"/>
      <c r="AI581" s="1537"/>
      <c r="AJ581" s="1537"/>
      <c r="AK581" s="1538">
        <v>44</v>
      </c>
      <c r="AL581" s="1522"/>
      <c r="AM581" s="1522"/>
      <c r="AN581" s="1883"/>
      <c r="AO581" s="1538">
        <v>43</v>
      </c>
      <c r="AP581" s="1522"/>
      <c r="AQ581" s="1522"/>
      <c r="AR581" s="1883"/>
      <c r="AS581" s="1538">
        <f>+AO581*(1+AS582)</f>
        <v>43</v>
      </c>
      <c r="AT581" s="1522"/>
      <c r="AU581" s="1522"/>
      <c r="AV581" s="1883"/>
      <c r="AW581" s="1538">
        <f>+AS581*(1+AW582)</f>
        <v>43</v>
      </c>
      <c r="AX581" s="1522"/>
      <c r="AY581" s="1522"/>
      <c r="AZ581" s="1883"/>
      <c r="BA581" s="1537">
        <f>+AW581*(1+BA582)</f>
        <v>43</v>
      </c>
      <c r="BB581" s="1799"/>
      <c r="BC581" s="1538">
        <v>35</v>
      </c>
      <c r="BD581" s="1538">
        <v>36</v>
      </c>
      <c r="BE581" s="1538">
        <v>40</v>
      </c>
      <c r="BF581" s="1538">
        <f>+M581</f>
        <v>42</v>
      </c>
      <c r="BG581" s="1538">
        <f>+Q581</f>
        <v>43</v>
      </c>
      <c r="BH581" s="1538">
        <f>+U581</f>
        <v>48</v>
      </c>
      <c r="BI581" s="1538">
        <f>+Y581</f>
        <v>50</v>
      </c>
      <c r="BJ581" s="1538">
        <f>+AC581</f>
        <v>47</v>
      </c>
      <c r="BK581" s="1779">
        <f>+AG581</f>
        <v>45</v>
      </c>
      <c r="BL581" s="1538">
        <f>+AK581</f>
        <v>44</v>
      </c>
      <c r="BM581" s="1538">
        <f>+AO581</f>
        <v>43</v>
      </c>
      <c r="BN581" s="1538">
        <f>+AS581</f>
        <v>43</v>
      </c>
      <c r="BO581" s="1538">
        <f>+AW581</f>
        <v>43</v>
      </c>
      <c r="BP581" s="1538">
        <f>+BA581</f>
        <v>43</v>
      </c>
      <c r="BR581" s="1483"/>
      <c r="BS581" s="1483"/>
      <c r="BT581" s="1483"/>
    </row>
    <row r="582" spans="1:72" s="304" customFormat="1" ht="12" customHeight="1">
      <c r="A582" s="1510" t="s">
        <v>181</v>
      </c>
      <c r="B582" s="837"/>
      <c r="C582" s="837"/>
      <c r="D582" s="837"/>
      <c r="E582" s="838"/>
      <c r="F582" s="837"/>
      <c r="G582" s="837"/>
      <c r="H582" s="837"/>
      <c r="I582" s="838"/>
      <c r="J582" s="837"/>
      <c r="K582" s="837"/>
      <c r="L582" s="837"/>
      <c r="M582" s="838"/>
      <c r="N582" s="836"/>
      <c r="O582" s="836"/>
      <c r="P582" s="836"/>
      <c r="Q582" s="1514">
        <f>+(Q581/M581)-1</f>
        <v>2.3809523809523725E-2</v>
      </c>
      <c r="R582" s="836"/>
      <c r="S582" s="836"/>
      <c r="T582" s="836"/>
      <c r="U582" s="1514">
        <f>+(U581/Q581)-1</f>
        <v>0.11627906976744184</v>
      </c>
      <c r="V582" s="836"/>
      <c r="W582" s="836"/>
      <c r="X582" s="836"/>
      <c r="Y582" s="1514">
        <f>+(Y581/U581)-1</f>
        <v>4.1666666666666741E-2</v>
      </c>
      <c r="Z582" s="836"/>
      <c r="AA582" s="836"/>
      <c r="AB582" s="836"/>
      <c r="AC582" s="1514">
        <f>+(AC581/Y581)-1</f>
        <v>-6.0000000000000053E-2</v>
      </c>
      <c r="AD582" s="836"/>
      <c r="AE582" s="836"/>
      <c r="AF582" s="836"/>
      <c r="AG582" s="1514">
        <f>+(AG581/AC581)-1</f>
        <v>-4.2553191489361653E-2</v>
      </c>
      <c r="AH582" s="398"/>
      <c r="AI582" s="398"/>
      <c r="AJ582" s="398"/>
      <c r="AK582" s="1514">
        <f>+(AK581/AG581)-1</f>
        <v>-2.2222222222222254E-2</v>
      </c>
      <c r="AL582" s="398"/>
      <c r="AM582" s="398"/>
      <c r="AN582" s="1863"/>
      <c r="AO582" s="1514">
        <f>+(AO581/AK581)-1</f>
        <v>-2.2727272727272707E-2</v>
      </c>
      <c r="AP582" s="398"/>
      <c r="AQ582" s="398"/>
      <c r="AR582" s="1863"/>
      <c r="AS582" s="1517">
        <v>0</v>
      </c>
      <c r="AT582" s="398"/>
      <c r="AU582" s="398"/>
      <c r="AV582" s="1863"/>
      <c r="AW582" s="1517">
        <v>0</v>
      </c>
      <c r="AX582" s="398"/>
      <c r="AY582" s="398"/>
      <c r="AZ582" s="1863"/>
      <c r="BA582" s="1793">
        <v>0</v>
      </c>
      <c r="BB582" s="1799"/>
      <c r="BC582" s="1517"/>
      <c r="BD582" s="1514">
        <f>+BD581/BC581-1</f>
        <v>2.857142857142847E-2</v>
      </c>
      <c r="BE582" s="1514">
        <f t="shared" ref="BE582" si="3288">+BE581/BD581-1</f>
        <v>0.11111111111111116</v>
      </c>
      <c r="BF582" s="1514">
        <f t="shared" ref="BF582" si="3289">+BF581/BE581-1</f>
        <v>5.0000000000000044E-2</v>
      </c>
      <c r="BG582" s="1514">
        <f t="shared" ref="BG582" si="3290">+BG581/BF581-1</f>
        <v>2.3809523809523725E-2</v>
      </c>
      <c r="BH582" s="1514">
        <f t="shared" ref="BH582" si="3291">+BH581/BG581-1</f>
        <v>0.11627906976744184</v>
      </c>
      <c r="BI582" s="1514">
        <f t="shared" ref="BI582" si="3292">+BI581/BH581-1</f>
        <v>4.1666666666666741E-2</v>
      </c>
      <c r="BJ582" s="1514">
        <f t="shared" ref="BJ582" si="3293">+BJ581/BI581-1</f>
        <v>-6.0000000000000053E-2</v>
      </c>
      <c r="BK582" s="1775">
        <f t="shared" ref="BK582" si="3294">+BK581/BJ581-1</f>
        <v>-4.2553191489361653E-2</v>
      </c>
      <c r="BL582" s="1514">
        <f t="shared" ref="BL582" si="3295">+BL581/BK581-1</f>
        <v>-2.2222222222222254E-2</v>
      </c>
      <c r="BM582" s="1517">
        <f>+AO582</f>
        <v>-2.2727272727272707E-2</v>
      </c>
      <c r="BN582" s="1517">
        <f>+AS582</f>
        <v>0</v>
      </c>
      <c r="BO582" s="1517">
        <f>+AW582</f>
        <v>0</v>
      </c>
      <c r="BP582" s="1517">
        <f>+BA582</f>
        <v>0</v>
      </c>
      <c r="BR582" s="1483"/>
      <c r="BS582" s="1483"/>
      <c r="BT582" s="1483"/>
    </row>
    <row r="583" spans="1:72" s="304" customFormat="1" ht="12" customHeight="1">
      <c r="A583" s="1510" t="s">
        <v>519</v>
      </c>
      <c r="B583" s="837"/>
      <c r="C583" s="837"/>
      <c r="D583" s="837"/>
      <c r="E583" s="838"/>
      <c r="F583" s="837"/>
      <c r="G583" s="837"/>
      <c r="H583" s="837"/>
      <c r="I583" s="838"/>
      <c r="J583" s="837"/>
      <c r="K583" s="837"/>
      <c r="L583" s="837"/>
      <c r="M583" s="1512">
        <f>+M581/M572</f>
        <v>0.27450980392156865</v>
      </c>
      <c r="N583" s="836"/>
      <c r="O583" s="836"/>
      <c r="P583" s="836"/>
      <c r="Q583" s="1512">
        <f>+Q581/Q572</f>
        <v>0.2792207792207792</v>
      </c>
      <c r="R583" s="836"/>
      <c r="S583" s="836"/>
      <c r="T583" s="836"/>
      <c r="U583" s="1512">
        <f>+U581/U572</f>
        <v>0.3</v>
      </c>
      <c r="V583" s="836"/>
      <c r="W583" s="836"/>
      <c r="X583" s="836"/>
      <c r="Y583" s="1512">
        <f>+Y581/Y572</f>
        <v>0.3048780487804878</v>
      </c>
      <c r="Z583" s="836"/>
      <c r="AA583" s="836"/>
      <c r="AB583" s="836"/>
      <c r="AC583" s="1512">
        <f>+AC581/AC572</f>
        <v>0.29375000000000001</v>
      </c>
      <c r="AD583" s="836"/>
      <c r="AE583" s="836"/>
      <c r="AF583" s="836"/>
      <c r="AG583" s="1512">
        <f>+AG581/AG572</f>
        <v>0.28662420382165604</v>
      </c>
      <c r="AH583" s="398"/>
      <c r="AI583" s="398"/>
      <c r="AJ583" s="398"/>
      <c r="AK583" s="1512">
        <f>+AK581/AK572</f>
        <v>0.27848101265822783</v>
      </c>
      <c r="AL583" s="398"/>
      <c r="AM583" s="398"/>
      <c r="AN583" s="1863"/>
      <c r="AO583" s="1512">
        <f>+AO581/AO572</f>
        <v>0.26874999999999999</v>
      </c>
      <c r="AP583" s="398"/>
      <c r="AQ583" s="398"/>
      <c r="AR583" s="1863"/>
      <c r="AS583" s="1512">
        <f>+AS581/AS572</f>
        <v>0.2660891089108911</v>
      </c>
      <c r="AT583" s="398"/>
      <c r="AU583" s="398"/>
      <c r="AV583" s="1863"/>
      <c r="AW583" s="1512">
        <f>+AW581/AW572</f>
        <v>0.26345456327810995</v>
      </c>
      <c r="AX583" s="398"/>
      <c r="AY583" s="398"/>
      <c r="AZ583" s="1863"/>
      <c r="BA583" s="1796">
        <f>+BA581/BA572</f>
        <v>0.26084610225555444</v>
      </c>
      <c r="BB583" s="1799"/>
      <c r="BC583" s="1512">
        <f t="shared" ref="BC583" si="3296">+BC581/BC572</f>
        <v>0.2348993288590604</v>
      </c>
      <c r="BD583" s="1512">
        <f>+BD581/BD572</f>
        <v>0.23841059602649006</v>
      </c>
      <c r="BE583" s="1512">
        <f t="shared" ref="BE583:BL583" si="3297">+BE581/BE572</f>
        <v>0.26666666666666666</v>
      </c>
      <c r="BF583" s="1512">
        <f t="shared" si="3297"/>
        <v>0.27450980392156865</v>
      </c>
      <c r="BG583" s="1512">
        <f t="shared" si="3297"/>
        <v>0.2792207792207792</v>
      </c>
      <c r="BH583" s="1512">
        <f t="shared" si="3297"/>
        <v>0.3</v>
      </c>
      <c r="BI583" s="1512">
        <f t="shared" si="3297"/>
        <v>0.3048780487804878</v>
      </c>
      <c r="BJ583" s="1512">
        <f t="shared" si="3297"/>
        <v>0.29375000000000001</v>
      </c>
      <c r="BK583" s="1780">
        <f t="shared" si="3297"/>
        <v>0.28662420382165604</v>
      </c>
      <c r="BL583" s="1512">
        <f t="shared" si="3297"/>
        <v>0.27848101265822783</v>
      </c>
      <c r="BM583" s="1512">
        <f>+AO583</f>
        <v>0.26874999999999999</v>
      </c>
      <c r="BN583" s="1512">
        <f>+AS583</f>
        <v>0.2660891089108911</v>
      </c>
      <c r="BO583" s="1512">
        <f>+AW583</f>
        <v>0.26345456327810995</v>
      </c>
      <c r="BP583" s="1512">
        <f>+BA583</f>
        <v>0.26084610225555444</v>
      </c>
      <c r="BR583" s="1483"/>
      <c r="BS583" s="1483"/>
      <c r="BT583" s="1483"/>
    </row>
    <row r="584" spans="1:72" s="304" customFormat="1" ht="12" customHeight="1">
      <c r="A584" s="1510" t="s">
        <v>517</v>
      </c>
      <c r="B584" s="837"/>
      <c r="C584" s="837"/>
      <c r="D584" s="837"/>
      <c r="E584" s="838"/>
      <c r="F584" s="837"/>
      <c r="G584" s="837"/>
      <c r="H584" s="837"/>
      <c r="I584" s="838"/>
      <c r="J584" s="837"/>
      <c r="K584" s="837"/>
      <c r="L584" s="837"/>
      <c r="M584" s="838"/>
      <c r="N584" s="836"/>
      <c r="O584" s="836"/>
      <c r="P584" s="836"/>
      <c r="Q584" s="1515">
        <v>3.5</v>
      </c>
      <c r="R584" s="836"/>
      <c r="S584" s="836"/>
      <c r="T584" s="836"/>
      <c r="U584" s="1515">
        <v>3.5</v>
      </c>
      <c r="V584" s="836"/>
      <c r="W584" s="836"/>
      <c r="X584" s="836"/>
      <c r="Y584" s="1515">
        <v>3.5</v>
      </c>
      <c r="Z584" s="836"/>
      <c r="AA584" s="836"/>
      <c r="AB584" s="836"/>
      <c r="AC584" s="1515">
        <v>3.5</v>
      </c>
      <c r="AD584" s="836"/>
      <c r="AE584" s="836"/>
      <c r="AF584" s="836"/>
      <c r="AG584" s="1515">
        <v>3.5</v>
      </c>
      <c r="AH584" s="398"/>
      <c r="AI584" s="398"/>
      <c r="AJ584" s="398"/>
      <c r="AK584" s="1515">
        <v>3.5</v>
      </c>
      <c r="AL584" s="398"/>
      <c r="AM584" s="398"/>
      <c r="AN584" s="1863"/>
      <c r="AO584" s="1515">
        <v>3.5</v>
      </c>
      <c r="AP584" s="398"/>
      <c r="AQ584" s="398"/>
      <c r="AR584" s="1863"/>
      <c r="AS584" s="1515">
        <v>3.5</v>
      </c>
      <c r="AT584" s="398"/>
      <c r="AU584" s="398"/>
      <c r="AV584" s="1863"/>
      <c r="AW584" s="1515">
        <v>3.5</v>
      </c>
      <c r="AX584" s="398"/>
      <c r="AY584" s="398"/>
      <c r="AZ584" s="1863"/>
      <c r="BA584" s="1794">
        <v>3.5</v>
      </c>
      <c r="BB584" s="1799"/>
      <c r="BC584" s="1745">
        <v>3.5</v>
      </c>
      <c r="BD584" s="1745">
        <v>3.5</v>
      </c>
      <c r="BE584" s="1745">
        <v>3.5</v>
      </c>
      <c r="BF584" s="1745">
        <v>3.5</v>
      </c>
      <c r="BG584" s="1745">
        <v>3.5</v>
      </c>
      <c r="BH584" s="1745">
        <v>3.5</v>
      </c>
      <c r="BI584" s="1745">
        <v>3.5</v>
      </c>
      <c r="BJ584" s="1745">
        <v>3.5</v>
      </c>
      <c r="BK584" s="1776">
        <v>3.5</v>
      </c>
      <c r="BL584" s="1745">
        <v>3.5</v>
      </c>
      <c r="BM584" s="1515">
        <f>+AO584</f>
        <v>3.5</v>
      </c>
      <c r="BN584" s="1515">
        <f>+AS584</f>
        <v>3.5</v>
      </c>
      <c r="BO584" s="1515">
        <f>+AW584</f>
        <v>3.5</v>
      </c>
      <c r="BP584" s="1515">
        <f>+BA584</f>
        <v>3.5</v>
      </c>
      <c r="BR584" s="1483"/>
      <c r="BS584" s="1483"/>
      <c r="BT584" s="1483"/>
    </row>
    <row r="585" spans="1:72" s="304" customFormat="1" ht="12" customHeight="1">
      <c r="A585" s="1510" t="s">
        <v>518</v>
      </c>
      <c r="B585" s="837"/>
      <c r="C585" s="837"/>
      <c r="D585" s="837"/>
      <c r="E585" s="838"/>
      <c r="F585" s="837"/>
      <c r="G585" s="837"/>
      <c r="H585" s="837"/>
      <c r="I585" s="838"/>
      <c r="J585" s="837"/>
      <c r="K585" s="837"/>
      <c r="L585" s="837"/>
      <c r="M585" s="838"/>
      <c r="N585" s="836"/>
      <c r="O585" s="836"/>
      <c r="P585" s="836"/>
      <c r="Q585" s="1514">
        <f>+(Q583-M583)*(Q584)</f>
        <v>1.648841354723693E-2</v>
      </c>
      <c r="R585" s="836"/>
      <c r="S585" s="836"/>
      <c r="T585" s="836"/>
      <c r="U585" s="1514">
        <f>+(U583-Q583)*(U584)</f>
        <v>7.2727272727272751E-2</v>
      </c>
      <c r="V585" s="836"/>
      <c r="W585" s="836"/>
      <c r="X585" s="836"/>
      <c r="Y585" s="1514">
        <f>+(Y583-U583)*(Y584)</f>
        <v>1.7073170731707332E-2</v>
      </c>
      <c r="Z585" s="836"/>
      <c r="AA585" s="836"/>
      <c r="AB585" s="836"/>
      <c r="AC585" s="1514">
        <f>+(AC583-Y583)*(AC584)</f>
        <v>-3.8948170731707255E-2</v>
      </c>
      <c r="AD585" s="836"/>
      <c r="AE585" s="836"/>
      <c r="AF585" s="836"/>
      <c r="AG585" s="1514">
        <f>+(AG583-AC583)*(AG584)</f>
        <v>-2.4940286624203889E-2</v>
      </c>
      <c r="AH585" s="398"/>
      <c r="AI585" s="398"/>
      <c r="AJ585" s="398"/>
      <c r="AK585" s="1514">
        <f>+(AK583-AG583)*(AK584)</f>
        <v>-2.8501169071998733E-2</v>
      </c>
      <c r="AL585" s="398"/>
      <c r="AM585" s="398"/>
      <c r="AN585" s="1863"/>
      <c r="AO585" s="1514">
        <f>+(AO583-AK583)*(AO584)</f>
        <v>-3.4058544303797456E-2</v>
      </c>
      <c r="AP585" s="398"/>
      <c r="AQ585" s="398"/>
      <c r="AR585" s="1863"/>
      <c r="AS585" s="1514">
        <f>+(AS583-AO583)*(AS584)</f>
        <v>-9.3131188118810992E-3</v>
      </c>
      <c r="AT585" s="398"/>
      <c r="AU585" s="398"/>
      <c r="AV585" s="1863"/>
      <c r="AW585" s="1514">
        <f>+(AW583-AS583)*(AW584)</f>
        <v>-9.2209097147340213E-3</v>
      </c>
      <c r="AX585" s="398"/>
      <c r="AY585" s="398"/>
      <c r="AZ585" s="1863"/>
      <c r="BA585" s="1748">
        <f>+(BA583-AW583)*(BA584)</f>
        <v>-9.1296135789443178E-3</v>
      </c>
      <c r="BB585" s="1799"/>
      <c r="BC585" s="1514"/>
      <c r="BD585" s="1514">
        <f t="shared" ref="BD585:BF585" si="3298">+(BD583-BC583)*(BD584)</f>
        <v>1.228943508600383E-2</v>
      </c>
      <c r="BE585" s="1514">
        <f t="shared" si="3298"/>
        <v>9.8896247240618101E-2</v>
      </c>
      <c r="BF585" s="1514">
        <f t="shared" si="3298"/>
        <v>2.745098039215696E-2</v>
      </c>
      <c r="BG585" s="1514">
        <f>+(BG583-BF583)*(BG584)</f>
        <v>1.648841354723693E-2</v>
      </c>
      <c r="BH585" s="1514">
        <f t="shared" ref="BH585:BL585" si="3299">+(BH583-BG583)*(BH584)</f>
        <v>7.2727272727272751E-2</v>
      </c>
      <c r="BI585" s="1514">
        <f t="shared" si="3299"/>
        <v>1.7073170731707332E-2</v>
      </c>
      <c r="BJ585" s="1514">
        <f t="shared" si="3299"/>
        <v>-3.8948170731707255E-2</v>
      </c>
      <c r="BK585" s="1775">
        <f t="shared" si="3299"/>
        <v>-2.4940286624203889E-2</v>
      </c>
      <c r="BL585" s="1514">
        <f t="shared" si="3299"/>
        <v>-2.8501169071998733E-2</v>
      </c>
      <c r="BM585" s="1514">
        <f>+AO585</f>
        <v>-3.4058544303797456E-2</v>
      </c>
      <c r="BN585" s="1514">
        <f>+AS585</f>
        <v>-9.3131188118810992E-3</v>
      </c>
      <c r="BO585" s="1514">
        <f>+AW585</f>
        <v>-9.2209097147340213E-3</v>
      </c>
      <c r="BP585" s="1514">
        <f>+BA585</f>
        <v>-9.1296135789443178E-3</v>
      </c>
      <c r="BR585" s="1483"/>
      <c r="BS585" s="1483"/>
      <c r="BT585" s="1483"/>
    </row>
    <row r="586" spans="1:72" s="304" customFormat="1" ht="12" customHeight="1">
      <c r="A586" s="1510"/>
      <c r="B586" s="837"/>
      <c r="C586" s="837"/>
      <c r="D586" s="837"/>
      <c r="E586" s="838"/>
      <c r="F586" s="837"/>
      <c r="G586" s="837"/>
      <c r="H586" s="837"/>
      <c r="I586" s="838"/>
      <c r="J586" s="837"/>
      <c r="K586" s="837"/>
      <c r="L586" s="837"/>
      <c r="M586" s="838"/>
      <c r="N586" s="836"/>
      <c r="O586" s="836"/>
      <c r="P586" s="836"/>
      <c r="Q586" s="1514"/>
      <c r="R586" s="836"/>
      <c r="S586" s="836"/>
      <c r="T586" s="836"/>
      <c r="U586" s="1514"/>
      <c r="V586" s="836"/>
      <c r="W586" s="836"/>
      <c r="X586" s="836"/>
      <c r="Y586" s="1514"/>
      <c r="Z586" s="836"/>
      <c r="AA586" s="836"/>
      <c r="AB586" s="836"/>
      <c r="AC586" s="1514"/>
      <c r="AD586" s="836"/>
      <c r="AE586" s="836"/>
      <c r="AF586" s="836"/>
      <c r="AG586" s="1514"/>
      <c r="AH586" s="398"/>
      <c r="AI586" s="398"/>
      <c r="AJ586" s="398"/>
      <c r="AK586" s="1514"/>
      <c r="AL586" s="398"/>
      <c r="AM586" s="398"/>
      <c r="AN586" s="1863"/>
      <c r="AO586" s="1514"/>
      <c r="AP586" s="398"/>
      <c r="AQ586" s="398"/>
      <c r="AR586" s="1863"/>
      <c r="AS586" s="1514"/>
      <c r="AT586" s="398"/>
      <c r="AU586" s="398"/>
      <c r="AV586" s="1863"/>
      <c r="AW586" s="1514"/>
      <c r="AX586" s="398"/>
      <c r="AY586" s="398"/>
      <c r="AZ586" s="1863"/>
      <c r="BA586" s="1748"/>
      <c r="BB586" s="1799"/>
      <c r="BC586" s="1514"/>
      <c r="BD586" s="1514"/>
      <c r="BE586" s="1514"/>
      <c r="BF586" s="1514"/>
      <c r="BG586" s="1514"/>
      <c r="BH586" s="1514"/>
      <c r="BI586" s="1514"/>
      <c r="BJ586" s="1514"/>
      <c r="BK586" s="1775"/>
      <c r="BL586" s="1514"/>
      <c r="BM586" s="1514"/>
      <c r="BN586" s="1514"/>
      <c r="BO586" s="1514"/>
      <c r="BP586" s="1514"/>
      <c r="BR586" s="1483"/>
      <c r="BS586" s="1483"/>
      <c r="BT586" s="1483"/>
    </row>
    <row r="587" spans="1:72" s="304" customFormat="1" ht="12" customHeight="1">
      <c r="A587" s="1509" t="s">
        <v>521</v>
      </c>
      <c r="B587" s="1108"/>
      <c r="C587" s="1108"/>
      <c r="D587" s="1108"/>
      <c r="E587" s="1109"/>
      <c r="F587" s="1108"/>
      <c r="G587" s="1108"/>
      <c r="H587" s="1108"/>
      <c r="I587" s="1109"/>
      <c r="J587" s="1108"/>
      <c r="K587" s="1108"/>
      <c r="L587" s="1108"/>
      <c r="M587" s="1539">
        <v>58</v>
      </c>
      <c r="N587" s="1540"/>
      <c r="O587" s="1540"/>
      <c r="P587" s="1540"/>
      <c r="Q587" s="1539">
        <v>62</v>
      </c>
      <c r="R587" s="1540"/>
      <c r="S587" s="1540"/>
      <c r="T587" s="1540"/>
      <c r="U587" s="1539">
        <v>63</v>
      </c>
      <c r="V587" s="1540"/>
      <c r="W587" s="1540"/>
      <c r="X587" s="1540"/>
      <c r="Y587" s="1539">
        <v>68</v>
      </c>
      <c r="Z587" s="1540"/>
      <c r="AA587" s="1540"/>
      <c r="AB587" s="1540"/>
      <c r="AC587" s="1539">
        <v>87</v>
      </c>
      <c r="AD587" s="1540"/>
      <c r="AE587" s="1540"/>
      <c r="AF587" s="1540"/>
      <c r="AG587" s="1539">
        <v>97</v>
      </c>
      <c r="AH587" s="1513"/>
      <c r="AI587" s="1513"/>
      <c r="AJ587" s="1513"/>
      <c r="AK587" s="1539">
        <v>106</v>
      </c>
      <c r="AL587" s="1513"/>
      <c r="AM587" s="1513"/>
      <c r="AN587" s="1884"/>
      <c r="AO587" s="1539">
        <v>119</v>
      </c>
      <c r="AP587" s="1513"/>
      <c r="AQ587" s="1513"/>
      <c r="AR587" s="1884"/>
      <c r="AS587" s="1539">
        <f>+AO587*(1+AS588)</f>
        <v>128.40099999999998</v>
      </c>
      <c r="AT587" s="1513"/>
      <c r="AU587" s="1513"/>
      <c r="AV587" s="1884"/>
      <c r="AW587" s="1539">
        <f>+AS587*(1+AW588)</f>
        <v>138.54467899999997</v>
      </c>
      <c r="AX587" s="1513"/>
      <c r="AY587" s="1513"/>
      <c r="AZ587" s="1884"/>
      <c r="BA587" s="1747">
        <f>+AW587*(1+BA588)</f>
        <v>149.35116396199999</v>
      </c>
      <c r="BB587" s="1799"/>
      <c r="BC587" s="1539"/>
      <c r="BD587" s="1539"/>
      <c r="BE587" s="1539"/>
      <c r="BF587" s="1539">
        <f>+M587</f>
        <v>58</v>
      </c>
      <c r="BG587" s="1539">
        <f>+Q587</f>
        <v>62</v>
      </c>
      <c r="BH587" s="1539">
        <f>+U587</f>
        <v>63</v>
      </c>
      <c r="BI587" s="1761">
        <f>+Y587</f>
        <v>68</v>
      </c>
      <c r="BJ587" s="1761">
        <f>+AC587</f>
        <v>87</v>
      </c>
      <c r="BK587" s="1781">
        <f>+AG587</f>
        <v>97</v>
      </c>
      <c r="BL587" s="1761">
        <f>+AK587</f>
        <v>106</v>
      </c>
      <c r="BM587" s="1539">
        <f>+AO587</f>
        <v>119</v>
      </c>
      <c r="BN587" s="1539">
        <f>+AS587</f>
        <v>128.40099999999998</v>
      </c>
      <c r="BO587" s="1539">
        <f>+AW587</f>
        <v>138.54467899999997</v>
      </c>
      <c r="BP587" s="1539">
        <f>+BA587</f>
        <v>149.35116396199999</v>
      </c>
      <c r="BR587" s="1483"/>
      <c r="BS587" s="1483"/>
      <c r="BT587" s="1483"/>
    </row>
    <row r="588" spans="1:72" s="304" customFormat="1" ht="12" customHeight="1">
      <c r="A588" s="1510" t="s">
        <v>181</v>
      </c>
      <c r="B588" s="837"/>
      <c r="C588" s="837"/>
      <c r="D588" s="837"/>
      <c r="E588" s="838"/>
      <c r="F588" s="837"/>
      <c r="G588" s="837"/>
      <c r="H588" s="837"/>
      <c r="I588" s="838"/>
      <c r="J588" s="837"/>
      <c r="K588" s="837"/>
      <c r="L588" s="837"/>
      <c r="M588" s="838"/>
      <c r="N588" s="836"/>
      <c r="O588" s="836"/>
      <c r="P588" s="836"/>
      <c r="Q588" s="1514">
        <f>+(Q587/M587)-1</f>
        <v>6.8965517241379226E-2</v>
      </c>
      <c r="R588" s="836"/>
      <c r="S588" s="836"/>
      <c r="T588" s="836"/>
      <c r="U588" s="1514">
        <f>+(U587/Q587)-1</f>
        <v>1.6129032258064502E-2</v>
      </c>
      <c r="V588" s="836"/>
      <c r="W588" s="836"/>
      <c r="X588" s="836"/>
      <c r="Y588" s="1514">
        <f>+(Y587/U587)-1</f>
        <v>7.9365079365079305E-2</v>
      </c>
      <c r="Z588" s="836"/>
      <c r="AA588" s="836"/>
      <c r="AB588" s="836"/>
      <c r="AC588" s="1514">
        <f>+(AC587/Y587)-1</f>
        <v>0.27941176470588225</v>
      </c>
      <c r="AD588" s="836"/>
      <c r="AE588" s="836"/>
      <c r="AF588" s="836"/>
      <c r="AG588" s="1514">
        <f>+(AG587/AC587)-1</f>
        <v>0.11494252873563227</v>
      </c>
      <c r="AH588" s="398"/>
      <c r="AI588" s="398"/>
      <c r="AJ588" s="398"/>
      <c r="AK588" s="1514">
        <f>+(AK587/AG587)-1</f>
        <v>9.2783505154639068E-2</v>
      </c>
      <c r="AL588" s="398"/>
      <c r="AM588" s="398"/>
      <c r="AN588" s="1863"/>
      <c r="AO588" s="1514">
        <f>+(AO587/AK587)-1</f>
        <v>0.12264150943396235</v>
      </c>
      <c r="AP588" s="398"/>
      <c r="AQ588" s="398"/>
      <c r="AR588" s="1863"/>
      <c r="AS588" s="1517">
        <v>7.9000000000000001E-2</v>
      </c>
      <c r="AT588" s="398"/>
      <c r="AU588" s="398"/>
      <c r="AV588" s="1863"/>
      <c r="AW588" s="1517">
        <v>7.9000000000000001E-2</v>
      </c>
      <c r="AX588" s="398"/>
      <c r="AY588" s="398"/>
      <c r="AZ588" s="1863"/>
      <c r="BA588" s="1793">
        <v>7.8E-2</v>
      </c>
      <c r="BB588" s="1799"/>
      <c r="BC588" s="1517"/>
      <c r="BD588" s="1517"/>
      <c r="BE588" s="1517"/>
      <c r="BF588" s="1517">
        <f>+M588</f>
        <v>0</v>
      </c>
      <c r="BG588" s="1517">
        <f>+Q588</f>
        <v>6.8965517241379226E-2</v>
      </c>
      <c r="BH588" s="1517">
        <f>+U588</f>
        <v>1.6129032258064502E-2</v>
      </c>
      <c r="BI588" s="1517">
        <f>+Y588</f>
        <v>7.9365079365079305E-2</v>
      </c>
      <c r="BJ588" s="1517">
        <f>+AC588</f>
        <v>0.27941176470588225</v>
      </c>
      <c r="BK588" s="1782">
        <f>+AG588</f>
        <v>0.11494252873563227</v>
      </c>
      <c r="BL588" s="1517">
        <f>+AK588</f>
        <v>9.2783505154639068E-2</v>
      </c>
      <c r="BM588" s="1517">
        <f>+AO588</f>
        <v>0.12264150943396235</v>
      </c>
      <c r="BN588" s="1517">
        <f>+AS588</f>
        <v>7.9000000000000001E-2</v>
      </c>
      <c r="BO588" s="1517">
        <f>+AW588</f>
        <v>7.9000000000000001E-2</v>
      </c>
      <c r="BP588" s="1517">
        <f>+BA588</f>
        <v>7.8E-2</v>
      </c>
      <c r="BR588" s="1483"/>
      <c r="BS588" s="1483"/>
      <c r="BT588" s="1483"/>
    </row>
    <row r="589" spans="1:72" s="304" customFormat="1" ht="12" customHeight="1">
      <c r="A589" s="1510" t="s">
        <v>517</v>
      </c>
      <c r="B589" s="837"/>
      <c r="C589" s="837"/>
      <c r="D589" s="837"/>
      <c r="E589" s="838"/>
      <c r="F589" s="837"/>
      <c r="G589" s="837"/>
      <c r="H589" s="837"/>
      <c r="I589" s="838"/>
      <c r="J589" s="837"/>
      <c r="K589" s="837"/>
      <c r="L589" s="837"/>
      <c r="M589" s="838"/>
      <c r="N589" s="836"/>
      <c r="O589" s="836"/>
      <c r="P589" s="836"/>
      <c r="Q589" s="1515">
        <v>1</v>
      </c>
      <c r="R589" s="836"/>
      <c r="S589" s="836"/>
      <c r="T589" s="836"/>
      <c r="U589" s="1515">
        <v>1</v>
      </c>
      <c r="V589" s="836"/>
      <c r="W589" s="836"/>
      <c r="X589" s="836"/>
      <c r="Y589" s="1515">
        <v>1</v>
      </c>
      <c r="Z589" s="836"/>
      <c r="AA589" s="836"/>
      <c r="AB589" s="836"/>
      <c r="AC589" s="1515">
        <v>1</v>
      </c>
      <c r="AD589" s="836"/>
      <c r="AE589" s="836"/>
      <c r="AF589" s="836"/>
      <c r="AG589" s="1515">
        <v>1</v>
      </c>
      <c r="AH589" s="398"/>
      <c r="AI589" s="398"/>
      <c r="AJ589" s="398"/>
      <c r="AK589" s="1515">
        <v>1</v>
      </c>
      <c r="AL589" s="398"/>
      <c r="AM589" s="398"/>
      <c r="AN589" s="1863"/>
      <c r="AO589" s="1515">
        <v>1</v>
      </c>
      <c r="AP589" s="398"/>
      <c r="AQ589" s="398"/>
      <c r="AR589" s="1863"/>
      <c r="AS589" s="1515">
        <v>1</v>
      </c>
      <c r="AT589" s="398"/>
      <c r="AU589" s="398"/>
      <c r="AV589" s="1863"/>
      <c r="AW589" s="1515">
        <v>1</v>
      </c>
      <c r="AX589" s="398"/>
      <c r="AY589" s="398"/>
      <c r="AZ589" s="1863"/>
      <c r="BA589" s="1794">
        <v>1</v>
      </c>
      <c r="BB589" s="1799"/>
      <c r="BC589" s="1515"/>
      <c r="BD589" s="1515"/>
      <c r="BE589" s="1515"/>
      <c r="BF589" s="1515">
        <f>+M589</f>
        <v>0</v>
      </c>
      <c r="BG589" s="1515">
        <f>+Q589</f>
        <v>1</v>
      </c>
      <c r="BH589" s="1515">
        <f>+U589</f>
        <v>1</v>
      </c>
      <c r="BI589" s="1515">
        <f>+Y589</f>
        <v>1</v>
      </c>
      <c r="BJ589" s="1515">
        <f>+AC589</f>
        <v>1</v>
      </c>
      <c r="BK589" s="1783">
        <f>+AG589</f>
        <v>1</v>
      </c>
      <c r="BL589" s="1515">
        <f>+AK589</f>
        <v>1</v>
      </c>
      <c r="BM589" s="1515">
        <f>+AO589</f>
        <v>1</v>
      </c>
      <c r="BN589" s="1515">
        <f>+AS589</f>
        <v>1</v>
      </c>
      <c r="BO589" s="1515">
        <f>+AW589</f>
        <v>1</v>
      </c>
      <c r="BP589" s="1515">
        <f>+BA589</f>
        <v>1</v>
      </c>
      <c r="BR589" s="1483"/>
      <c r="BS589" s="1483"/>
      <c r="BT589" s="1483"/>
    </row>
    <row r="590" spans="1:72" s="304" customFormat="1" ht="12" customHeight="1">
      <c r="A590" s="1510" t="s">
        <v>518</v>
      </c>
      <c r="B590" s="837"/>
      <c r="C590" s="837"/>
      <c r="D590" s="837"/>
      <c r="E590" s="838"/>
      <c r="F590" s="837"/>
      <c r="G590" s="837"/>
      <c r="H590" s="837"/>
      <c r="I590" s="838"/>
      <c r="J590" s="837"/>
      <c r="K590" s="837"/>
      <c r="L590" s="837"/>
      <c r="M590" s="838"/>
      <c r="N590" s="836"/>
      <c r="O590" s="836"/>
      <c r="P590" s="836"/>
      <c r="Q590" s="1514">
        <f>+Q589*Q588</f>
        <v>6.8965517241379226E-2</v>
      </c>
      <c r="R590" s="836"/>
      <c r="S590" s="836"/>
      <c r="T590" s="836"/>
      <c r="U590" s="1514">
        <f>+U589*U588</f>
        <v>1.6129032258064502E-2</v>
      </c>
      <c r="V590" s="836"/>
      <c r="W590" s="836"/>
      <c r="X590" s="836"/>
      <c r="Y590" s="1514">
        <f>+Y589*Y588</f>
        <v>7.9365079365079305E-2</v>
      </c>
      <c r="Z590" s="836"/>
      <c r="AA590" s="836"/>
      <c r="AB590" s="836"/>
      <c r="AC590" s="1514">
        <f>+AC589*AC588</f>
        <v>0.27941176470588225</v>
      </c>
      <c r="AD590" s="836"/>
      <c r="AE590" s="836"/>
      <c r="AF590" s="836"/>
      <c r="AG590" s="1514">
        <f>+AG589*AG588</f>
        <v>0.11494252873563227</v>
      </c>
      <c r="AH590" s="398"/>
      <c r="AI590" s="398"/>
      <c r="AJ590" s="398"/>
      <c r="AK590" s="1514">
        <f>+AK589*AK588</f>
        <v>9.2783505154639068E-2</v>
      </c>
      <c r="AL590" s="398"/>
      <c r="AM590" s="398"/>
      <c r="AN590" s="1863"/>
      <c r="AO590" s="1514">
        <f>+AO589*AO588</f>
        <v>0.12264150943396235</v>
      </c>
      <c r="AP590" s="398"/>
      <c r="AQ590" s="398"/>
      <c r="AR590" s="1863"/>
      <c r="AS590" s="1514">
        <f>+AS589*AS588</f>
        <v>7.9000000000000001E-2</v>
      </c>
      <c r="AT590" s="398"/>
      <c r="AU590" s="398"/>
      <c r="AV590" s="1863"/>
      <c r="AW590" s="1514">
        <f>+AW589*AW588</f>
        <v>7.9000000000000001E-2</v>
      </c>
      <c r="AX590" s="398"/>
      <c r="AY590" s="398"/>
      <c r="AZ590" s="1863"/>
      <c r="BA590" s="1748">
        <f>+BA589*BA588</f>
        <v>7.8E-2</v>
      </c>
      <c r="BB590" s="1799"/>
      <c r="BC590" s="1514"/>
      <c r="BD590" s="1514"/>
      <c r="BE590" s="1514"/>
      <c r="BF590" s="1514">
        <f>+M590</f>
        <v>0</v>
      </c>
      <c r="BG590" s="1514">
        <f>+Q590</f>
        <v>6.8965517241379226E-2</v>
      </c>
      <c r="BH590" s="1514">
        <f>+U590</f>
        <v>1.6129032258064502E-2</v>
      </c>
      <c r="BI590" s="1514">
        <f>+Y590</f>
        <v>7.9365079365079305E-2</v>
      </c>
      <c r="BJ590" s="1514">
        <f>+AC590</f>
        <v>0.27941176470588225</v>
      </c>
      <c r="BK590" s="1775">
        <f>+AG590</f>
        <v>0.11494252873563227</v>
      </c>
      <c r="BL590" s="1514">
        <f>+AK590</f>
        <v>9.2783505154639068E-2</v>
      </c>
      <c r="BM590" s="1514">
        <f>+AO590</f>
        <v>0.12264150943396235</v>
      </c>
      <c r="BN590" s="1514">
        <f>+AS590</f>
        <v>7.9000000000000001E-2</v>
      </c>
      <c r="BO590" s="1514">
        <f>+AW590</f>
        <v>7.9000000000000001E-2</v>
      </c>
      <c r="BP590" s="1514">
        <f>+BA590</f>
        <v>7.8E-2</v>
      </c>
      <c r="BR590" s="1483"/>
      <c r="BS590" s="1483"/>
      <c r="BT590" s="1483"/>
    </row>
    <row r="591" spans="1:72" s="304" customFormat="1" ht="12" customHeight="1">
      <c r="A591" s="1510"/>
      <c r="B591" s="837"/>
      <c r="C591" s="837"/>
      <c r="D591" s="837"/>
      <c r="E591" s="838"/>
      <c r="F591" s="837"/>
      <c r="G591" s="837"/>
      <c r="H591" s="837"/>
      <c r="I591" s="838"/>
      <c r="J591" s="837"/>
      <c r="K591" s="837"/>
      <c r="L591" s="837"/>
      <c r="M591" s="838"/>
      <c r="N591" s="836"/>
      <c r="O591" s="836"/>
      <c r="P591" s="836"/>
      <c r="Q591" s="1514"/>
      <c r="R591" s="836"/>
      <c r="S591" s="836"/>
      <c r="T591" s="836"/>
      <c r="U591" s="1514"/>
      <c r="V591" s="836"/>
      <c r="W591" s="836"/>
      <c r="X591" s="836"/>
      <c r="Y591" s="1514"/>
      <c r="Z591" s="836"/>
      <c r="AA591" s="836"/>
      <c r="AB591" s="836"/>
      <c r="AC591" s="1514"/>
      <c r="AD591" s="836"/>
      <c r="AE591" s="836"/>
      <c r="AF591" s="836"/>
      <c r="AG591" s="1514"/>
      <c r="AH591" s="398"/>
      <c r="AI591" s="398"/>
      <c r="AJ591" s="398"/>
      <c r="AK591" s="1748"/>
      <c r="AL591" s="1806"/>
      <c r="AM591" s="398"/>
      <c r="AN591" s="1863"/>
      <c r="AO591" s="1748"/>
      <c r="AP591" s="1806"/>
      <c r="AQ591" s="398"/>
      <c r="AR591" s="1863"/>
      <c r="AS591" s="1748"/>
      <c r="AT591" s="1806"/>
      <c r="AU591" s="398"/>
      <c r="AV591" s="1863"/>
      <c r="AW591" s="1514"/>
      <c r="AX591" s="398"/>
      <c r="AY591" s="398"/>
      <c r="AZ591" s="1863"/>
      <c r="BA591" s="1748"/>
      <c r="BB591" s="1799"/>
      <c r="BC591" s="1514"/>
      <c r="BD591" s="1514"/>
      <c r="BE591" s="1514"/>
      <c r="BF591" s="1514"/>
      <c r="BG591" s="1514"/>
      <c r="BH591" s="1514"/>
      <c r="BI591" s="1514"/>
      <c r="BJ591" s="1514"/>
      <c r="BK591" s="1775"/>
      <c r="BL591" s="1514"/>
      <c r="BM591" s="1514"/>
      <c r="BN591" s="1514"/>
      <c r="BO591" s="1514"/>
      <c r="BP591" s="1514"/>
      <c r="BR591" s="1483"/>
      <c r="BS591" s="1483"/>
      <c r="BT591" s="1483"/>
    </row>
    <row r="592" spans="1:72" s="304" customFormat="1" ht="12" customHeight="1">
      <c r="A592" s="1746" t="s">
        <v>520</v>
      </c>
      <c r="B592" s="1701"/>
      <c r="C592" s="1701"/>
      <c r="D592" s="1701"/>
      <c r="E592" s="1701"/>
      <c r="F592" s="1701"/>
      <c r="G592" s="1701"/>
      <c r="H592" s="1701"/>
      <c r="I592" s="1701"/>
      <c r="J592" s="1701"/>
      <c r="K592" s="1701"/>
      <c r="L592" s="1701"/>
      <c r="M592" s="1747">
        <v>80</v>
      </c>
      <c r="N592" s="1540"/>
      <c r="O592" s="1540"/>
      <c r="P592" s="1540"/>
      <c r="Q592" s="1539">
        <v>89</v>
      </c>
      <c r="R592" s="1540"/>
      <c r="S592" s="1540"/>
      <c r="T592" s="1540"/>
      <c r="U592" s="1539">
        <v>97</v>
      </c>
      <c r="V592" s="1540"/>
      <c r="W592" s="1540"/>
      <c r="X592" s="1540"/>
      <c r="Y592" s="1539">
        <v>105</v>
      </c>
      <c r="Z592" s="1540"/>
      <c r="AA592" s="1540"/>
      <c r="AB592" s="1540"/>
      <c r="AC592" s="1539">
        <v>109</v>
      </c>
      <c r="AD592" s="1540"/>
      <c r="AE592" s="1540"/>
      <c r="AF592" s="1540"/>
      <c r="AG592" s="1539">
        <v>120</v>
      </c>
      <c r="AH592" s="1513"/>
      <c r="AI592" s="1513"/>
      <c r="AJ592" s="1513"/>
      <c r="AK592" s="1539">
        <v>128</v>
      </c>
      <c r="AL592" s="1806"/>
      <c r="AM592" s="398"/>
      <c r="AN592" s="1885"/>
      <c r="AO592" s="1747">
        <f>+AK592*(1+AO593)</f>
        <v>144.63999999999999</v>
      </c>
      <c r="AP592" s="1806"/>
      <c r="AQ592" s="1513"/>
      <c r="AR592" s="1884"/>
      <c r="AS592" s="1747">
        <f>+AO592*(1+AS593)</f>
        <v>156.06655999999998</v>
      </c>
      <c r="AT592" s="1807"/>
      <c r="AU592" s="1513"/>
      <c r="AV592" s="1884"/>
      <c r="AW592" s="1747">
        <f>+AS592*(1+AW593)</f>
        <v>168.39581823999998</v>
      </c>
      <c r="AX592" s="1513"/>
      <c r="AY592" s="1513"/>
      <c r="AZ592" s="1884"/>
      <c r="BA592" s="1747">
        <f>+AW592*(1+BA593)</f>
        <v>181.53069206271999</v>
      </c>
      <c r="BB592" s="1799"/>
      <c r="BC592" s="1514"/>
      <c r="BD592" s="1514"/>
      <c r="BE592" s="1514"/>
      <c r="BF592" s="1539">
        <f>+M592</f>
        <v>80</v>
      </c>
      <c r="BG592" s="1539">
        <f>+Q592</f>
        <v>89</v>
      </c>
      <c r="BH592" s="1539">
        <f>+U592</f>
        <v>97</v>
      </c>
      <c r="BI592" s="1539">
        <f>+Y592</f>
        <v>105</v>
      </c>
      <c r="BJ592" s="1539">
        <f>+AC592</f>
        <v>109</v>
      </c>
      <c r="BK592" s="1784">
        <f>+AG592</f>
        <v>120</v>
      </c>
      <c r="BL592" s="1539">
        <f>+AK592</f>
        <v>128</v>
      </c>
      <c r="BM592" s="1539">
        <f>+AO592</f>
        <v>144.63999999999999</v>
      </c>
      <c r="BN592" s="1539">
        <f>+AS592</f>
        <v>156.06655999999998</v>
      </c>
      <c r="BO592" s="1539">
        <f>+AW592</f>
        <v>168.39581823999998</v>
      </c>
      <c r="BP592" s="1539">
        <f>+BA592</f>
        <v>181.53069206271999</v>
      </c>
      <c r="BR592" s="1483"/>
      <c r="BS592" s="1483"/>
      <c r="BT592" s="1483"/>
    </row>
    <row r="593" spans="1:73" s="304" customFormat="1" ht="12" customHeight="1">
      <c r="A593" s="1510" t="s">
        <v>181</v>
      </c>
      <c r="B593" s="837"/>
      <c r="C593" s="837"/>
      <c r="D593" s="837"/>
      <c r="E593" s="838"/>
      <c r="F593" s="837"/>
      <c r="G593" s="837"/>
      <c r="H593" s="837"/>
      <c r="I593" s="838"/>
      <c r="J593" s="837"/>
      <c r="K593" s="837"/>
      <c r="L593" s="837"/>
      <c r="M593" s="838"/>
      <c r="N593" s="836"/>
      <c r="O593" s="836"/>
      <c r="P593" s="836"/>
      <c r="Q593" s="1514">
        <f>+(Q592/M592)-1</f>
        <v>0.11250000000000004</v>
      </c>
      <c r="R593" s="836"/>
      <c r="S593" s="836"/>
      <c r="T593" s="836"/>
      <c r="U593" s="1514">
        <f>+(U592/Q592)-1</f>
        <v>8.98876404494382E-2</v>
      </c>
      <c r="V593" s="836"/>
      <c r="W593" s="836"/>
      <c r="X593" s="836"/>
      <c r="Y593" s="1514">
        <f>+(Y592/U592)-1</f>
        <v>8.247422680412364E-2</v>
      </c>
      <c r="Z593" s="836"/>
      <c r="AA593" s="836"/>
      <c r="AB593" s="836"/>
      <c r="AC593" s="1514">
        <f>+(AC592/Y592)-1</f>
        <v>3.8095238095238182E-2</v>
      </c>
      <c r="AD593" s="836"/>
      <c r="AE593" s="836"/>
      <c r="AF593" s="836"/>
      <c r="AG593" s="1514">
        <f>+(AG592/AC592)-1</f>
        <v>0.10091743119266061</v>
      </c>
      <c r="AH593" s="398"/>
      <c r="AI593" s="398"/>
      <c r="AJ593" s="398"/>
      <c r="AK593" s="1748">
        <f>+(AK592/AG592)-1</f>
        <v>6.6666666666666652E-2</v>
      </c>
      <c r="AL593" s="1806"/>
      <c r="AM593" s="398"/>
      <c r="AN593" s="1863"/>
      <c r="AO593" s="1793">
        <v>0.13</v>
      </c>
      <c r="AP593" s="1806"/>
      <c r="AQ593" s="398"/>
      <c r="AR593" s="1863"/>
      <c r="AS593" s="1793">
        <v>7.9000000000000001E-2</v>
      </c>
      <c r="AT593" s="1806"/>
      <c r="AU593" s="398"/>
      <c r="AV593" s="1863"/>
      <c r="AW593" s="1517">
        <v>7.9000000000000001E-2</v>
      </c>
      <c r="AX593" s="398"/>
      <c r="AY593" s="398"/>
      <c r="AZ593" s="1863"/>
      <c r="BA593" s="1793">
        <v>7.8E-2</v>
      </c>
      <c r="BB593" s="1799"/>
      <c r="BC593" s="1514"/>
      <c r="BD593" s="1514"/>
      <c r="BE593" s="1514"/>
      <c r="BF593" s="1514">
        <f>+M593</f>
        <v>0</v>
      </c>
      <c r="BG593" s="1514">
        <f>+Q593</f>
        <v>0.11250000000000004</v>
      </c>
      <c r="BH593" s="1514">
        <f>+U593</f>
        <v>8.98876404494382E-2</v>
      </c>
      <c r="BI593" s="1514">
        <f>+Y593</f>
        <v>8.247422680412364E-2</v>
      </c>
      <c r="BJ593" s="1514">
        <f>+AC593</f>
        <v>3.8095238095238182E-2</v>
      </c>
      <c r="BK593" s="1775">
        <v>0.09</v>
      </c>
      <c r="BL593" s="1514">
        <f>+AK593</f>
        <v>6.6666666666666652E-2</v>
      </c>
      <c r="BM593" s="1517">
        <f>+AO593</f>
        <v>0.13</v>
      </c>
      <c r="BN593" s="1517">
        <f>+AS593</f>
        <v>7.9000000000000001E-2</v>
      </c>
      <c r="BO593" s="1517">
        <f>+AW593</f>
        <v>7.9000000000000001E-2</v>
      </c>
      <c r="BP593" s="1517">
        <f>+BA593</f>
        <v>7.8E-2</v>
      </c>
      <c r="BR593" s="1483"/>
      <c r="BS593" s="1483"/>
      <c r="BT593" s="1483"/>
    </row>
    <row r="594" spans="1:73" s="304" customFormat="1" ht="12" customHeight="1">
      <c r="A594" s="1582" t="s">
        <v>522</v>
      </c>
      <c r="B594" s="836"/>
      <c r="C594" s="836"/>
      <c r="D594" s="836"/>
      <c r="E594" s="1041"/>
      <c r="F594" s="836"/>
      <c r="G594" s="836"/>
      <c r="H594" s="836"/>
      <c r="I594" s="1041"/>
      <c r="J594" s="836"/>
      <c r="K594" s="836"/>
      <c r="L594" s="836"/>
      <c r="M594" s="1041"/>
      <c r="N594" s="836"/>
      <c r="O594" s="836"/>
      <c r="P594" s="836"/>
      <c r="Q594" s="1521" cm="1">
        <f t="array" ref="Q594">+Q581-(SUM(N568:Q568/Q592))</f>
        <v>11.820224719101123</v>
      </c>
      <c r="R594" s="836"/>
      <c r="S594" s="836"/>
      <c r="T594" s="836"/>
      <c r="U594" s="1521" cm="1">
        <f t="array" ref="U594">+U581-(SUM(R568:U568/U592))</f>
        <v>15.670103092783506</v>
      </c>
      <c r="V594" s="836"/>
      <c r="W594" s="836"/>
      <c r="X594" s="836"/>
      <c r="Y594" s="1521" cm="1">
        <f t="array" ref="Y594">+Y581-(SUM(V568:Y568/Y592))</f>
        <v>16.06666666666667</v>
      </c>
      <c r="Z594" s="836"/>
      <c r="AA594" s="836"/>
      <c r="AB594" s="836"/>
      <c r="AC594" s="1521" cm="1">
        <f t="array" ref="AC594">+AC581-(SUM(Z568:AC568/AC592))</f>
        <v>11.082568807339456</v>
      </c>
      <c r="AD594" s="836"/>
      <c r="AE594" s="836"/>
      <c r="AF594" s="836"/>
      <c r="AG594" s="1521" cm="1">
        <f t="array" ref="AG594">+AG581-(SUM(AD568:AG568/AG592))</f>
        <v>10.541666666666664</v>
      </c>
      <c r="AH594" s="398"/>
      <c r="AI594" s="398"/>
      <c r="AJ594" s="398"/>
      <c r="AK594" s="1797" cm="1">
        <f t="array" ref="AK594">+AK581-(SUM(AH568:AK568/AK592))</f>
        <v>9.2734375</v>
      </c>
      <c r="AL594" s="1806"/>
      <c r="AM594" s="398"/>
      <c r="AN594" s="1863"/>
      <c r="AO594" s="1797" cm="1">
        <f t="array" ref="AO594">+AO581-(SUM(AL568:AO568/AO592))</f>
        <v>9.3301991150442447</v>
      </c>
      <c r="AP594" s="1806"/>
      <c r="AQ594" s="398"/>
      <c r="AR594" s="1863"/>
      <c r="AS594" s="1797" cm="1">
        <f t="array" ref="AS594">+AS581-(SUM(AP568:AS568/AS592))</f>
        <v>9.3412841290280255</v>
      </c>
      <c r="AT594" s="1806"/>
      <c r="AU594" s="398"/>
      <c r="AV594" s="1863"/>
      <c r="AW594" s="1521" cm="1">
        <f t="array" ref="AW594">+AW581-(SUM(AT568:AW568/AW592))</f>
        <v>9.5074818427985193</v>
      </c>
      <c r="AX594" s="398"/>
      <c r="AY594" s="398"/>
      <c r="AZ594" s="1863"/>
      <c r="BA594" s="1797" cm="1">
        <f t="array" ref="BA594">+BA581-(SUM(AX568:BA568/BA592))</f>
        <v>9.5896718010389961</v>
      </c>
      <c r="BB594" s="1799"/>
      <c r="BC594" s="1514"/>
      <c r="BD594" s="1521"/>
      <c r="BE594" s="1521"/>
      <c r="BF594" s="1521">
        <f>+M594</f>
        <v>0</v>
      </c>
      <c r="BG594" s="1521">
        <f>+Q594</f>
        <v>11.820224719101123</v>
      </c>
      <c r="BH594" s="1521">
        <f>+U594</f>
        <v>15.670103092783506</v>
      </c>
      <c r="BI594" s="1521">
        <f>+Y594</f>
        <v>16.06666666666667</v>
      </c>
      <c r="BJ594" s="1521">
        <f>+AC594</f>
        <v>11.082568807339456</v>
      </c>
      <c r="BK594" s="1785">
        <f>+AG594</f>
        <v>10.541666666666664</v>
      </c>
      <c r="BL594" s="1521">
        <f>+AK594</f>
        <v>9.2734375</v>
      </c>
      <c r="BM594" s="1521">
        <f>+AO594</f>
        <v>9.3301991150442447</v>
      </c>
      <c r="BN594" s="1521">
        <f>+AS594</f>
        <v>9.3412841290280255</v>
      </c>
      <c r="BO594" s="1521">
        <f>+AW594</f>
        <v>9.5074818427985193</v>
      </c>
      <c r="BP594" s="1521">
        <f>+BA594</f>
        <v>9.5896718010389961</v>
      </c>
      <c r="BR594" s="1483"/>
      <c r="BS594" s="1483"/>
      <c r="BT594" s="1483"/>
    </row>
    <row r="595" spans="1:73" s="304" customFormat="1" ht="12" customHeight="1">
      <c r="A595" s="1582" t="s">
        <v>523</v>
      </c>
      <c r="B595" s="836"/>
      <c r="C595" s="836"/>
      <c r="D595" s="836"/>
      <c r="E595" s="1041"/>
      <c r="F595" s="836"/>
      <c r="G595" s="836"/>
      <c r="H595" s="836"/>
      <c r="I595" s="1041"/>
      <c r="J595" s="836"/>
      <c r="K595" s="836"/>
      <c r="L595" s="836"/>
      <c r="M595" s="1041"/>
      <c r="N595" s="836"/>
      <c r="O595" s="836"/>
      <c r="P595" s="836"/>
      <c r="Q595" s="1557">
        <f>+Q594/Q581</f>
        <v>0.2748889469558401</v>
      </c>
      <c r="R595" s="836"/>
      <c r="S595" s="836"/>
      <c r="T595" s="836"/>
      <c r="U595" s="1557">
        <f>+U594/U581</f>
        <v>0.32646048109965636</v>
      </c>
      <c r="V595" s="836"/>
      <c r="W595" s="836"/>
      <c r="X595" s="836"/>
      <c r="Y595" s="1557">
        <f>+Y594/Y581</f>
        <v>0.32133333333333342</v>
      </c>
      <c r="Z595" s="836"/>
      <c r="AA595" s="836"/>
      <c r="AB595" s="836"/>
      <c r="AC595" s="1557">
        <f>+AC594/AC581</f>
        <v>0.2357993363263714</v>
      </c>
      <c r="AD595" s="836"/>
      <c r="AE595" s="836"/>
      <c r="AF595" s="836"/>
      <c r="AG595" s="1557">
        <f>+AG594/AG581</f>
        <v>0.23425925925925919</v>
      </c>
      <c r="AH595" s="398"/>
      <c r="AI595" s="398"/>
      <c r="AJ595" s="398"/>
      <c r="AK595" s="1557">
        <f>+AK594/AK581</f>
        <v>0.21075994318181818</v>
      </c>
      <c r="AL595" s="398"/>
      <c r="AM595" s="398"/>
      <c r="AN595" s="1863"/>
      <c r="AO595" s="1557">
        <f>+AO594/AO581</f>
        <v>0.21698137476847082</v>
      </c>
      <c r="AP595" s="398"/>
      <c r="AQ595" s="398"/>
      <c r="AR595" s="1863"/>
      <c r="AS595" s="1557">
        <f>+AS594/AS581</f>
        <v>0.21723916579134944</v>
      </c>
      <c r="AT595" s="398"/>
      <c r="AU595" s="398"/>
      <c r="AV595" s="1863"/>
      <c r="AW595" s="1557">
        <f>+AW594/AW581</f>
        <v>0.22110422890229114</v>
      </c>
      <c r="AX595" s="398"/>
      <c r="AY595" s="398"/>
      <c r="AZ595" s="1863"/>
      <c r="BA595" s="1294">
        <f>+BA594/BA581</f>
        <v>0.22301562327997665</v>
      </c>
      <c r="BB595" s="1799"/>
      <c r="BC595" s="1514"/>
      <c r="BD595" s="1557"/>
      <c r="BE595" s="1557"/>
      <c r="BF595" s="1557">
        <f>+M595</f>
        <v>0</v>
      </c>
      <c r="BG595" s="1557">
        <f>+Q595</f>
        <v>0.2748889469558401</v>
      </c>
      <c r="BH595" s="1557">
        <f>+U595</f>
        <v>0.32646048109965636</v>
      </c>
      <c r="BI595" s="1557">
        <f>+Y595</f>
        <v>0.32133333333333342</v>
      </c>
      <c r="BJ595" s="1557">
        <f>+AC595</f>
        <v>0.2357993363263714</v>
      </c>
      <c r="BK595" s="1786">
        <f>+AG595</f>
        <v>0.23425925925925919</v>
      </c>
      <c r="BL595" s="1557">
        <f>+AK595</f>
        <v>0.21075994318181818</v>
      </c>
      <c r="BM595" s="1557">
        <f>+AO595</f>
        <v>0.21698137476847082</v>
      </c>
      <c r="BN595" s="1557">
        <f>+AS595</f>
        <v>0.21723916579134944</v>
      </c>
      <c r="BO595" s="1557">
        <f>+AW595</f>
        <v>0.22110422890229114</v>
      </c>
      <c r="BP595" s="1557">
        <f>+BA595</f>
        <v>0.22301562327997665</v>
      </c>
      <c r="BR595" s="1483"/>
      <c r="BS595" s="1483"/>
      <c r="BT595" s="1483"/>
    </row>
    <row r="596" spans="1:73" s="304" customFormat="1" ht="12" customHeight="1">
      <c r="A596" s="1510"/>
      <c r="B596" s="837"/>
      <c r="C596" s="837"/>
      <c r="D596" s="837"/>
      <c r="E596" s="838"/>
      <c r="F596" s="837"/>
      <c r="G596" s="837"/>
      <c r="H596" s="837"/>
      <c r="I596" s="838"/>
      <c r="J596" s="837"/>
      <c r="K596" s="837"/>
      <c r="L596" s="837"/>
      <c r="M596" s="838"/>
      <c r="N596" s="836"/>
      <c r="O596" s="836"/>
      <c r="P596" s="836"/>
      <c r="Q596" s="1041"/>
      <c r="R596" s="836"/>
      <c r="S596" s="836"/>
      <c r="T596" s="836"/>
      <c r="U596" s="1041"/>
      <c r="V596" s="836"/>
      <c r="W596" s="836"/>
      <c r="X596" s="836"/>
      <c r="Y596" s="838"/>
      <c r="Z596" s="836"/>
      <c r="AA596" s="836"/>
      <c r="AB596" s="836"/>
      <c r="AC596" s="1041"/>
      <c r="AD596" s="836"/>
      <c r="AE596" s="836"/>
      <c r="AF596" s="836"/>
      <c r="AG596" s="1041"/>
      <c r="AH596" s="398"/>
      <c r="AI596" s="398"/>
      <c r="AJ596" s="398"/>
      <c r="AK596" s="401"/>
      <c r="AL596" s="398"/>
      <c r="AM596" s="398"/>
      <c r="AN596" s="398"/>
      <c r="AO596" s="401"/>
      <c r="AP596" s="398"/>
      <c r="AQ596" s="398"/>
      <c r="AR596" s="398"/>
      <c r="AS596" s="401"/>
      <c r="AT596" s="398"/>
      <c r="AU596" s="398"/>
      <c r="AV596" s="398"/>
      <c r="AW596" s="401"/>
      <c r="AX596" s="398"/>
      <c r="AY596" s="398"/>
      <c r="AZ596" s="398"/>
      <c r="BA596" s="398"/>
      <c r="BB596" s="1799"/>
      <c r="BC596" s="296"/>
      <c r="BD596" s="296"/>
      <c r="BE596" s="296"/>
      <c r="BF596" s="296"/>
      <c r="BG596" s="296"/>
      <c r="BH596" s="296"/>
      <c r="BI596" s="296"/>
      <c r="BJ596" s="296"/>
      <c r="BK596" s="1769"/>
      <c r="BL596" s="296"/>
      <c r="BM596" s="296"/>
      <c r="BN596" s="296"/>
      <c r="BO596" s="296"/>
      <c r="BP596" s="296"/>
      <c r="BR596" s="1483"/>
      <c r="BS596" s="1483"/>
      <c r="BT596" s="1483"/>
      <c r="BU596" s="1878"/>
    </row>
    <row r="597" spans="1:73" s="569" customFormat="1" ht="12" customHeight="1">
      <c r="A597" s="1510" t="s">
        <v>532</v>
      </c>
      <c r="B597" s="837"/>
      <c r="C597" s="837"/>
      <c r="D597" s="837"/>
      <c r="E597" s="838"/>
      <c r="F597" s="837"/>
      <c r="G597" s="837"/>
      <c r="H597" s="837"/>
      <c r="I597" s="1876">
        <f>+SUM(F178:I178)</f>
        <v>2201</v>
      </c>
      <c r="J597" s="837"/>
      <c r="K597" s="837"/>
      <c r="L597" s="837"/>
      <c r="M597" s="1876">
        <f>+SUM(J178:M178)</f>
        <v>2508</v>
      </c>
      <c r="N597" s="836"/>
      <c r="O597" s="836"/>
      <c r="P597" s="836"/>
      <c r="Q597" s="1876">
        <f>+SUM(N178:Q178)</f>
        <v>2775</v>
      </c>
      <c r="R597" s="836"/>
      <c r="S597" s="836"/>
      <c r="T597" s="836"/>
      <c r="U597" s="1876">
        <f>+SUM(R178:U178)</f>
        <v>3136</v>
      </c>
      <c r="V597" s="836"/>
      <c r="W597" s="836"/>
      <c r="X597" s="836"/>
      <c r="Y597" s="1876">
        <f>+SUM(V178:Y178)</f>
        <v>3563</v>
      </c>
      <c r="Z597" s="836"/>
      <c r="AA597" s="836"/>
      <c r="AB597" s="836"/>
      <c r="AC597" s="1876">
        <f>+SUM(Z178:AC178)</f>
        <v>3915</v>
      </c>
      <c r="AD597" s="836"/>
      <c r="AE597" s="836"/>
      <c r="AF597" s="836"/>
      <c r="AG597" s="1876">
        <f>+SUM(AD178:AG178)</f>
        <v>4135</v>
      </c>
      <c r="AH597" s="1526"/>
      <c r="AI597" s="1526"/>
      <c r="AJ597" s="1526"/>
      <c r="AK597" s="1876">
        <f>+SUM(AH178:AK178)</f>
        <v>4445</v>
      </c>
      <c r="AL597" s="1526"/>
      <c r="AM597" s="1526"/>
      <c r="AN597" s="1526"/>
      <c r="AO597" s="1876">
        <f>+SUM(AL178:AO178)</f>
        <v>4870</v>
      </c>
      <c r="AP597" s="1526"/>
      <c r="AQ597" s="1526"/>
      <c r="AR597" s="1526"/>
      <c r="AS597" s="1876">
        <f>+SUM(AP178:AS178)</f>
        <v>5253</v>
      </c>
      <c r="AT597" s="1526"/>
      <c r="AU597" s="1526"/>
      <c r="AV597" s="1526"/>
      <c r="AW597" s="1876">
        <f>+SUM(AT178:AW178)</f>
        <v>5640</v>
      </c>
      <c r="AX597" s="1526"/>
      <c r="AY597" s="1526"/>
      <c r="AZ597" s="1526"/>
      <c r="BA597" s="1877">
        <f>+SUM(AX178:BA178)</f>
        <v>6065</v>
      </c>
      <c r="BB597" s="1804"/>
      <c r="BC597" s="296"/>
      <c r="BD597" s="296"/>
      <c r="BE597" s="296"/>
      <c r="BF597" s="296"/>
      <c r="BG597" s="296"/>
      <c r="BH597" s="296"/>
      <c r="BI597" s="296"/>
      <c r="BJ597" s="1527"/>
      <c r="BK597" s="1769"/>
      <c r="BL597" s="296"/>
      <c r="BM597" s="296"/>
      <c r="BN597" s="296"/>
      <c r="BO597" s="296"/>
      <c r="BP597" s="296"/>
      <c r="BQ597" s="304"/>
      <c r="BR597" s="1862"/>
      <c r="BS597" s="1862"/>
      <c r="BT597" s="1862"/>
      <c r="BU597" s="1878"/>
    </row>
    <row r="598" spans="1:73" s="305" customFormat="1" ht="12" customHeight="1">
      <c r="A598" s="1510" t="s">
        <v>533</v>
      </c>
      <c r="B598" s="837"/>
      <c r="C598" s="837"/>
      <c r="D598" s="837"/>
      <c r="E598" s="838"/>
      <c r="F598" s="837"/>
      <c r="G598" s="837"/>
      <c r="H598" s="837"/>
      <c r="I598" s="1516"/>
      <c r="J598" s="837"/>
      <c r="K598" s="837"/>
      <c r="L598" s="837"/>
      <c r="M598" s="1516"/>
      <c r="N598" s="836"/>
      <c r="O598" s="836"/>
      <c r="P598" s="836"/>
      <c r="Q598" s="1514">
        <f>+(Q597/M597)-1</f>
        <v>0.10645933014354059</v>
      </c>
      <c r="R598" s="836"/>
      <c r="S598" s="836"/>
      <c r="T598" s="836"/>
      <c r="U598" s="1514">
        <f>+(U597/Q597)-1</f>
        <v>0.13009009009009009</v>
      </c>
      <c r="V598" s="836"/>
      <c r="W598" s="836"/>
      <c r="X598" s="836"/>
      <c r="Y598" s="1514">
        <f>+(Y597/U597)-1</f>
        <v>0.13616071428571419</v>
      </c>
      <c r="Z598" s="836"/>
      <c r="AA598" s="836"/>
      <c r="AB598" s="836"/>
      <c r="AC598" s="1514">
        <f>+(AC597/Y597)-1</f>
        <v>9.8793151838338478E-2</v>
      </c>
      <c r="AD598" s="836"/>
      <c r="AE598" s="836"/>
      <c r="AF598" s="836"/>
      <c r="AG598" s="1514">
        <f>+(AG597/AC597)-1</f>
        <v>5.6194125159642505E-2</v>
      </c>
      <c r="AH598" s="398"/>
      <c r="AI598" s="398"/>
      <c r="AJ598" s="398"/>
      <c r="AK598" s="1514">
        <f>+(AK597/AG597)-1</f>
        <v>7.4969770253929813E-2</v>
      </c>
      <c r="AL598" s="398"/>
      <c r="AM598" s="398"/>
      <c r="AN598" s="398"/>
      <c r="AO598" s="1514">
        <f>+(AO597/AK597)-1</f>
        <v>9.5613048368953901E-2</v>
      </c>
      <c r="AP598" s="398"/>
      <c r="AQ598" s="398"/>
      <c r="AR598" s="398"/>
      <c r="AS598" s="1514">
        <f>+(AS597/AO597)-1</f>
        <v>7.864476386036956E-2</v>
      </c>
      <c r="AT598" s="1542"/>
      <c r="AU598" s="1542"/>
      <c r="AV598" s="1542"/>
      <c r="AW598" s="1514">
        <f>+(AW597/AS597)-1</f>
        <v>7.3672187321530469E-2</v>
      </c>
      <c r="AX598" s="1542"/>
      <c r="AY598" s="1542"/>
      <c r="AZ598" s="1542"/>
      <c r="BA598" s="1748">
        <f>+(BA597/AW597)-1</f>
        <v>7.5354609929078054E-2</v>
      </c>
      <c r="BB598" s="1799"/>
      <c r="BC598" s="296"/>
      <c r="BD598" s="296"/>
      <c r="BE598" s="296"/>
      <c r="BF598" s="296"/>
      <c r="BG598" s="296"/>
      <c r="BH598" s="296"/>
      <c r="BI598" s="296"/>
      <c r="BJ598" s="296"/>
      <c r="BK598" s="1769"/>
      <c r="BL598" s="296"/>
      <c r="BM598" s="296"/>
      <c r="BN598" s="296"/>
      <c r="BO598" s="296"/>
      <c r="BP598" s="296"/>
      <c r="BR598" s="1379"/>
      <c r="BS598" s="1379"/>
      <c r="BT598" s="1379"/>
      <c r="BU598" s="1260"/>
    </row>
    <row r="599" spans="1:73" s="305" customFormat="1" ht="12" customHeight="1">
      <c r="A599" s="1525" t="s">
        <v>481</v>
      </c>
      <c r="B599" s="1108"/>
      <c r="C599" s="1108"/>
      <c r="D599" s="1108"/>
      <c r="E599" s="1109"/>
      <c r="F599" s="1108"/>
      <c r="G599" s="1108"/>
      <c r="H599" s="1108"/>
      <c r="I599" s="1109"/>
      <c r="J599" s="1108"/>
      <c r="K599" s="1108"/>
      <c r="L599" s="1108"/>
      <c r="M599" s="1109"/>
      <c r="N599" s="1110"/>
      <c r="O599" s="1110"/>
      <c r="P599" s="1110"/>
      <c r="Q599" s="1583">
        <f>+Q575+Q585+Q590</f>
        <v>9.1989878501034433E-2</v>
      </c>
      <c r="R599" s="1110"/>
      <c r="S599" s="1110"/>
      <c r="T599" s="1110"/>
      <c r="U599" s="1583">
        <f>+U575+U585+U590</f>
        <v>0.12781734394637612</v>
      </c>
      <c r="V599" s="1110"/>
      <c r="W599" s="1110"/>
      <c r="X599" s="1110"/>
      <c r="Y599" s="1583">
        <f>+Y575+Y585+Y590</f>
        <v>0.12143825009678655</v>
      </c>
      <c r="Z599" s="1110"/>
      <c r="AA599" s="1110"/>
      <c r="AB599" s="1110"/>
      <c r="AC599" s="1583">
        <f>+AC575+AC585+AC590</f>
        <v>0.21607335007173595</v>
      </c>
      <c r="AD599" s="1110"/>
      <c r="AE599" s="1110"/>
      <c r="AF599" s="1110"/>
      <c r="AG599" s="1583">
        <f>+AG575+AG585+AG590</f>
        <v>7.1252242111428332E-2</v>
      </c>
      <c r="AH599" s="398"/>
      <c r="AI599" s="398"/>
      <c r="AJ599" s="398"/>
      <c r="AK599" s="1583">
        <f>+AK575+AK585+AK590</f>
        <v>7.065176283423269E-2</v>
      </c>
      <c r="AL599" s="398"/>
      <c r="AM599" s="398"/>
      <c r="AN599" s="398"/>
      <c r="AO599" s="1583">
        <f>+AO575+AO585+AO590</f>
        <v>0.10124119297826623</v>
      </c>
      <c r="AP599" s="398"/>
      <c r="AQ599" s="398"/>
      <c r="AR599" s="398"/>
      <c r="AS599" s="1583">
        <f>+AS575+AS585+AS590</f>
        <v>7.9686881188118897E-2</v>
      </c>
      <c r="AT599" s="1542"/>
      <c r="AU599" s="1542"/>
      <c r="AV599" s="1542"/>
      <c r="AW599" s="1583">
        <f>+AW575+AW585+AW590</f>
        <v>7.9779090285265974E-2</v>
      </c>
      <c r="AX599" s="1542"/>
      <c r="AY599" s="1542"/>
      <c r="AZ599" s="1542"/>
      <c r="BA599" s="1798">
        <f>+BA575+BA585+BA590</f>
        <v>7.8870386421055677E-2</v>
      </c>
      <c r="BB599" s="1799"/>
      <c r="BC599" s="296"/>
      <c r="BD599" s="296"/>
      <c r="BE599" s="296"/>
      <c r="BF599" s="296"/>
      <c r="BG599" s="296"/>
      <c r="BH599" s="296"/>
      <c r="BI599" s="296"/>
      <c r="BJ599" s="296"/>
      <c r="BK599" s="1769"/>
      <c r="BL599" s="296"/>
      <c r="BM599" s="296"/>
      <c r="BN599" s="296"/>
      <c r="BO599" s="296"/>
      <c r="BP599" s="296"/>
      <c r="BR599" s="1379"/>
      <c r="BS599" s="1379"/>
      <c r="BT599" s="1379"/>
      <c r="BU599" s="1533"/>
    </row>
    <row r="600" spans="1:73" s="305" customFormat="1" ht="12" customHeight="1">
      <c r="A600" s="1510" t="s">
        <v>482</v>
      </c>
      <c r="B600" s="837"/>
      <c r="C600" s="837"/>
      <c r="D600" s="837"/>
      <c r="E600" s="838"/>
      <c r="F600" s="837"/>
      <c r="G600" s="837"/>
      <c r="H600" s="837"/>
      <c r="I600" s="838"/>
      <c r="J600" s="837"/>
      <c r="K600" s="837"/>
      <c r="L600" s="837"/>
      <c r="M600" s="838"/>
      <c r="N600" s="836">
        <f>+N178/SUM(N178:Q178)</f>
        <v>3.2432432432432434E-2</v>
      </c>
      <c r="O600" s="836">
        <f>+O178/SUM(N178:Q178)</f>
        <v>0.16612612612612612</v>
      </c>
      <c r="P600" s="836">
        <f>+P178/SUM(N178:Q178)</f>
        <v>0.77477477477477474</v>
      </c>
      <c r="Q600" s="1041">
        <f>+Q178/SUM(N178:Q178)</f>
        <v>2.6666666666666668E-2</v>
      </c>
      <c r="R600" s="836">
        <f>+R178/SUM(R178:U178)</f>
        <v>3.1887755102040817E-2</v>
      </c>
      <c r="S600" s="836">
        <f>+S178/SUM(R178:U178)</f>
        <v>0.15911989795918369</v>
      </c>
      <c r="T600" s="836">
        <f>+T178/SUM(R178:U178)</f>
        <v>0.5825892857142857</v>
      </c>
      <c r="U600" s="1041">
        <f>+U178/SUM(R178:U178)</f>
        <v>0.2264030612244898</v>
      </c>
      <c r="V600" s="836">
        <f>+V178/SUM(V178:Y178)</f>
        <v>3.3398821218074658E-2</v>
      </c>
      <c r="W600" s="836">
        <f>+W178/SUM(V178:Y178)</f>
        <v>4.1257367387033402E-2</v>
      </c>
      <c r="X600" s="836">
        <f>+X178/SUM(V178:Y178)</f>
        <v>0.68621947796800453</v>
      </c>
      <c r="Y600" s="1041">
        <f>+Y178/SUM(V178:Y178)</f>
        <v>0.23912433342688746</v>
      </c>
      <c r="Z600" s="836">
        <f>+Z178/SUM(Z178:AC178)</f>
        <v>3.0651340996168581E-2</v>
      </c>
      <c r="AA600" s="836">
        <f>+AA178/SUM(Z178:AC178)</f>
        <v>0.1049808429118774</v>
      </c>
      <c r="AB600" s="836">
        <f>+AB178/SUM(Z178:AC178)</f>
        <v>0.82733077905491703</v>
      </c>
      <c r="AC600" s="1041">
        <f>+AC178/SUM(Z178:AC178)</f>
        <v>3.7037037037037035E-2</v>
      </c>
      <c r="AD600" s="836">
        <f>+AD178/SUM(AD178:AG178)</f>
        <v>3.6275695284159616E-2</v>
      </c>
      <c r="AE600" s="836">
        <f>+AE178/SUM(AD178:AG178)</f>
        <v>0.12478839177750907</v>
      </c>
      <c r="AF600" s="836">
        <f>+AF178/SUM(AD178:AG178)</f>
        <v>0.80798065296251509</v>
      </c>
      <c r="AG600" s="1041">
        <f>+AG178/SUM(AD178:AG178)</f>
        <v>3.0955259975816204E-2</v>
      </c>
      <c r="AH600" s="836">
        <f>+AH178/SUM(AH178:AK178)</f>
        <v>4.2069741282339708E-2</v>
      </c>
      <c r="AI600" s="836">
        <f>+AI178/SUM(AH178:AK178)</f>
        <v>0.11068616422947132</v>
      </c>
      <c r="AJ600" s="836">
        <f>+AJ178/SUM(AH178:AK178)</f>
        <v>0.82182227221597304</v>
      </c>
      <c r="AK600" s="1041">
        <f>+AK178/SUM(AH178:AK178)</f>
        <v>2.5421822272215972E-2</v>
      </c>
      <c r="AL600" s="836">
        <f>+AL178/SUM(AL178:AO178)</f>
        <v>3.6139630390143736E-2</v>
      </c>
      <c r="AM600" s="836">
        <f>+AM178/SUM(AL178:AO178)</f>
        <v>0.10451745379876796</v>
      </c>
      <c r="AN600" s="836">
        <f>+AN178/SUM(AM178:AP178)</f>
        <v>0.82967821274851405</v>
      </c>
      <c r="AO600" s="1041">
        <f>+AO178/SUM(AL178:AO178)</f>
        <v>2.8131416837782339E-2</v>
      </c>
      <c r="AP600" s="836">
        <f>+AP178/SUM(AP178:AS178)</f>
        <v>3.5217970683418996E-2</v>
      </c>
      <c r="AQ600" s="836">
        <f>+AQ178/SUM(AP178:AS178)</f>
        <v>0.1081286883685513</v>
      </c>
      <c r="AR600" s="836">
        <f>+AR178/SUM(AP178:AS178)</f>
        <v>0.83000190367409099</v>
      </c>
      <c r="AS600" s="1041">
        <f>+AS178/SUM(AP178:AS178)</f>
        <v>2.6651437273938702E-2</v>
      </c>
      <c r="AT600" s="836">
        <f>+AT178/SUM(AT178:AW178)</f>
        <v>4.1666666666666664E-2</v>
      </c>
      <c r="AU600" s="836">
        <f>+AU178/SUM(AT178:AW178)</f>
        <v>0.10638297872340426</v>
      </c>
      <c r="AV600" s="836">
        <f>+AV178/SUM(AT178:AW178)</f>
        <v>0.82446808510638303</v>
      </c>
      <c r="AW600" s="1041">
        <f>+AW178/SUM(AT178:AW178)</f>
        <v>2.7482269503546101E-2</v>
      </c>
      <c r="AX600" s="836">
        <f>+AX178/SUM(AX178:BA178)</f>
        <v>4.0395713107996702E-2</v>
      </c>
      <c r="AY600" s="836">
        <f>+AY178/SUM(AX178:BA178)</f>
        <v>0.10717230008244023</v>
      </c>
      <c r="AZ600" s="836">
        <f>+AZ178/SUM(AX178:BA178)</f>
        <v>0.82440230832646333</v>
      </c>
      <c r="BA600" s="836">
        <f>+BA178/SUM(AX178:BA178)</f>
        <v>2.8029678483099753E-2</v>
      </c>
      <c r="BB600" s="1799"/>
      <c r="BC600" s="296"/>
      <c r="BD600" s="296"/>
      <c r="BE600" s="296"/>
      <c r="BF600" s="296"/>
      <c r="BG600" s="296"/>
      <c r="BH600" s="296"/>
      <c r="BI600" s="296"/>
      <c r="BJ600" s="296"/>
      <c r="BK600" s="1769"/>
      <c r="BL600" s="296"/>
      <c r="BM600" s="296"/>
      <c r="BN600" s="296"/>
      <c r="BO600" s="296"/>
      <c r="BP600" s="296"/>
      <c r="BR600" s="1379"/>
      <c r="BS600" s="1379"/>
      <c r="BT600" s="1379"/>
      <c r="BU600" s="1260"/>
    </row>
    <row r="601" spans="1:73" s="305" customFormat="1" ht="12" customHeight="1">
      <c r="A601" s="1510"/>
      <c r="B601" s="837"/>
      <c r="C601" s="837"/>
      <c r="D601" s="837"/>
      <c r="E601" s="838"/>
      <c r="F601" s="837"/>
      <c r="G601" s="837"/>
      <c r="H601" s="837"/>
      <c r="I601" s="838"/>
      <c r="J601" s="837"/>
      <c r="K601" s="837"/>
      <c r="L601" s="837"/>
      <c r="M601" s="838"/>
      <c r="N601" s="836"/>
      <c r="O601" s="836"/>
      <c r="P601" s="836"/>
      <c r="Q601" s="1041"/>
      <c r="R601" s="836"/>
      <c r="S601" s="836"/>
      <c r="T601" s="836"/>
      <c r="U601" s="1041"/>
      <c r="V601" s="836"/>
      <c r="W601" s="836"/>
      <c r="X601" s="836"/>
      <c r="Y601" s="838"/>
      <c r="Z601" s="836"/>
      <c r="AA601" s="836"/>
      <c r="AB601" s="836"/>
      <c r="AC601" s="1041"/>
      <c r="AD601" s="836"/>
      <c r="AE601" s="836"/>
      <c r="AF601" s="836"/>
      <c r="AG601" s="1041"/>
      <c r="AH601" s="398"/>
      <c r="AI601" s="398"/>
      <c r="AJ601" s="398"/>
      <c r="AK601" s="401"/>
      <c r="AL601" s="398"/>
      <c r="AM601" s="398"/>
      <c r="AN601" s="398"/>
      <c r="AO601" s="401"/>
      <c r="AP601" s="398"/>
      <c r="AQ601" s="398"/>
      <c r="AR601" s="398"/>
      <c r="AS601" s="401"/>
      <c r="AT601" s="398"/>
      <c r="AU601" s="398"/>
      <c r="AV601" s="398"/>
      <c r="AW601" s="401"/>
      <c r="AX601" s="398"/>
      <c r="AY601" s="398"/>
      <c r="AZ601" s="398"/>
      <c r="BA601" s="401"/>
      <c r="BB601" s="401"/>
      <c r="BC601" s="296"/>
      <c r="BD601" s="296"/>
      <c r="BE601" s="296"/>
      <c r="BF601" s="296"/>
      <c r="BG601" s="296"/>
      <c r="BH601" s="296"/>
      <c r="BI601" s="296"/>
      <c r="BJ601" s="296"/>
      <c r="BK601" s="1769"/>
      <c r="BL601" s="296"/>
      <c r="BM601" s="296"/>
      <c r="BN601" s="296"/>
      <c r="BO601" s="296"/>
      <c r="BP601" s="296"/>
      <c r="BR601" s="1379"/>
      <c r="BS601" s="1379"/>
      <c r="BT601" s="1379"/>
      <c r="BU601" s="1260"/>
    </row>
    <row r="602" spans="1:73" s="305" customFormat="1" ht="12" customHeight="1">
      <c r="A602" s="1525" t="s">
        <v>524</v>
      </c>
      <c r="B602" s="1108"/>
      <c r="C602" s="1108"/>
      <c r="D602" s="1108"/>
      <c r="E602" s="1109"/>
      <c r="F602" s="1108"/>
      <c r="G602" s="1108"/>
      <c r="H602" s="1108"/>
      <c r="I602" s="1109"/>
      <c r="J602" s="1108"/>
      <c r="K602" s="1108"/>
      <c r="L602" s="1108"/>
      <c r="M602" s="1109"/>
      <c r="N602" s="1110"/>
      <c r="O602" s="1110"/>
      <c r="P602" s="1110"/>
      <c r="Q602" s="1111"/>
      <c r="R602" s="1110"/>
      <c r="S602" s="1110"/>
      <c r="T602" s="1110"/>
      <c r="U602" s="1111"/>
      <c r="V602" s="1110"/>
      <c r="W602" s="1110"/>
      <c r="X602" s="1110"/>
      <c r="Y602" s="1541">
        <f>+Y597-Y610</f>
        <v>2793</v>
      </c>
      <c r="Z602" s="1110"/>
      <c r="AA602" s="1110"/>
      <c r="AB602" s="1110"/>
      <c r="AC602" s="1541">
        <f>+AC597-AC610</f>
        <v>2915</v>
      </c>
      <c r="AD602" s="1110"/>
      <c r="AE602" s="1110"/>
      <c r="AF602" s="1110"/>
      <c r="AG602" s="1541">
        <f>+AG597-AG610</f>
        <v>2965</v>
      </c>
      <c r="AH602" s="398"/>
      <c r="AI602" s="398"/>
      <c r="AJ602" s="398"/>
      <c r="AK602" s="1541">
        <f>+AK597-AK610</f>
        <v>3076.1000000000004</v>
      </c>
      <c r="AL602" s="398"/>
      <c r="AM602" s="398"/>
      <c r="AN602" s="398"/>
      <c r="AO602" s="1541">
        <f>+AO597-AO610</f>
        <v>2857.7170000000006</v>
      </c>
      <c r="AP602" s="398"/>
      <c r="AQ602" s="398"/>
      <c r="AR602" s="398"/>
      <c r="AS602" s="1541">
        <f>+AS597-AS610</f>
        <v>2888.5674750000003</v>
      </c>
      <c r="AT602" s="398"/>
      <c r="AU602" s="398"/>
      <c r="AV602" s="398"/>
      <c r="AW602" s="1541">
        <f>+AW597-AW610</f>
        <v>2861.7917831250002</v>
      </c>
      <c r="AX602" s="398"/>
      <c r="AY602" s="398"/>
      <c r="AZ602" s="398"/>
      <c r="BA602" s="1541">
        <f>+BA597-BA610</f>
        <v>2800.6053451718749</v>
      </c>
      <c r="BB602" s="401"/>
      <c r="BC602" s="296"/>
      <c r="BD602" s="296"/>
      <c r="BE602" s="296"/>
      <c r="BF602" s="296"/>
      <c r="BG602" s="296"/>
      <c r="BH602" s="296"/>
      <c r="BI602" s="1541">
        <v>2793</v>
      </c>
      <c r="BJ602" s="1541">
        <v>2915</v>
      </c>
      <c r="BK602" s="1787">
        <v>2965</v>
      </c>
      <c r="BL602" s="1541">
        <v>3076.1000000000004</v>
      </c>
      <c r="BM602" s="1541">
        <v>2859.7170000000006</v>
      </c>
      <c r="BN602" s="296"/>
      <c r="BO602" s="296"/>
      <c r="BP602" s="296"/>
      <c r="BR602" s="1379"/>
      <c r="BT602" s="1379"/>
      <c r="BU602" s="1533"/>
    </row>
    <row r="603" spans="1:73" s="305" customFormat="1" ht="12" customHeight="1">
      <c r="A603" s="1510" t="s">
        <v>181</v>
      </c>
      <c r="B603" s="837"/>
      <c r="C603" s="837"/>
      <c r="D603" s="837"/>
      <c r="E603" s="838"/>
      <c r="F603" s="837"/>
      <c r="G603" s="837"/>
      <c r="H603" s="837"/>
      <c r="I603" s="838"/>
      <c r="J603" s="837"/>
      <c r="K603" s="837"/>
      <c r="L603" s="837"/>
      <c r="M603" s="838"/>
      <c r="N603" s="836"/>
      <c r="O603" s="836"/>
      <c r="P603" s="836"/>
      <c r="Q603" s="1041"/>
      <c r="R603" s="836"/>
      <c r="S603" s="836"/>
      <c r="T603" s="836"/>
      <c r="U603" s="1041"/>
      <c r="V603" s="836"/>
      <c r="W603" s="836"/>
      <c r="X603" s="836"/>
      <c r="Y603" s="1041"/>
      <c r="Z603" s="836"/>
      <c r="AA603" s="836"/>
      <c r="AB603" s="836"/>
      <c r="AC603" s="1041">
        <f>+AC602/Y602-1</f>
        <v>4.3680630146795574E-2</v>
      </c>
      <c r="AD603" s="836"/>
      <c r="AE603" s="836"/>
      <c r="AF603" s="836"/>
      <c r="AG603" s="1041">
        <f>+AG602/AC602-1</f>
        <v>1.7152658662092701E-2</v>
      </c>
      <c r="AH603" s="398"/>
      <c r="AI603" s="398"/>
      <c r="AJ603" s="398"/>
      <c r="AK603" s="1041">
        <f>+AK602/AG602-1</f>
        <v>3.7470489038786026E-2</v>
      </c>
      <c r="AL603" s="398"/>
      <c r="AM603" s="398"/>
      <c r="AN603" s="398"/>
      <c r="AO603" s="1041">
        <f>+AO602/AK602-1</f>
        <v>-7.0993465752088647E-2</v>
      </c>
      <c r="AP603" s="398"/>
      <c r="AQ603" s="398"/>
      <c r="AR603" s="398"/>
      <c r="AS603" s="1041">
        <f>+AS602/AO602-1</f>
        <v>1.0795496894898893E-2</v>
      </c>
      <c r="AT603" s="398"/>
      <c r="AU603" s="398"/>
      <c r="AV603" s="398"/>
      <c r="AW603" s="1041">
        <f>+AW602/AS602-1</f>
        <v>-9.2695400425084618E-3</v>
      </c>
      <c r="AX603" s="398"/>
      <c r="AY603" s="398"/>
      <c r="AZ603" s="398"/>
      <c r="BA603" s="1041">
        <f>+BA602/AW602-1</f>
        <v>-2.1380464614484063E-2</v>
      </c>
      <c r="BB603" s="401"/>
      <c r="BC603" s="296"/>
      <c r="BD603" s="296"/>
      <c r="BE603" s="296"/>
      <c r="BF603" s="296"/>
      <c r="BG603" s="296"/>
      <c r="BH603" s="296"/>
      <c r="BI603" s="1041"/>
      <c r="BJ603" s="1041">
        <v>4.3680630146795574E-2</v>
      </c>
      <c r="BK603" s="1788">
        <v>1.7152658662092701E-2</v>
      </c>
      <c r="BL603" s="1041">
        <v>3.7470489038786026E-2</v>
      </c>
      <c r="BM603" s="1041">
        <v>-7.0343291830564647E-2</v>
      </c>
      <c r="BN603" s="296"/>
      <c r="BO603" s="296"/>
      <c r="BP603" s="296"/>
      <c r="BR603" s="1379"/>
      <c r="BS603" s="1379"/>
      <c r="BT603" s="1379"/>
      <c r="BU603" s="1260"/>
    </row>
    <row r="604" spans="1:73" s="305" customFormat="1" ht="12" customHeight="1">
      <c r="A604" s="1510" t="s">
        <v>525</v>
      </c>
      <c r="B604" s="837"/>
      <c r="C604" s="837"/>
      <c r="D604" s="837"/>
      <c r="E604" s="838"/>
      <c r="F604" s="837"/>
      <c r="G604" s="837"/>
      <c r="H604" s="837"/>
      <c r="I604" s="838"/>
      <c r="J604" s="837"/>
      <c r="K604" s="837"/>
      <c r="L604" s="837"/>
      <c r="M604" s="838"/>
      <c r="N604" s="836"/>
      <c r="O604" s="836"/>
      <c r="P604" s="836"/>
      <c r="Q604" s="1041"/>
      <c r="R604" s="836"/>
      <c r="S604" s="836"/>
      <c r="T604" s="836"/>
      <c r="U604" s="1041"/>
      <c r="V604" s="836"/>
      <c r="W604" s="836"/>
      <c r="X604" s="836"/>
      <c r="Y604" s="1041">
        <f>+Y602/Y597</f>
        <v>0.78388998035363455</v>
      </c>
      <c r="Z604" s="836"/>
      <c r="AA604" s="836"/>
      <c r="AB604" s="836"/>
      <c r="AC604" s="1041">
        <f>+AC602/AC597</f>
        <v>0.7445721583652618</v>
      </c>
      <c r="AD604" s="836"/>
      <c r="AE604" s="836"/>
      <c r="AF604" s="836"/>
      <c r="AG604" s="1041">
        <f>+AG602/AG597</f>
        <v>0.71704957678355496</v>
      </c>
      <c r="AH604" s="398"/>
      <c r="AI604" s="398"/>
      <c r="AJ604" s="398"/>
      <c r="AK604" s="1041">
        <f>+AK602/AK597</f>
        <v>0.6920359955005625</v>
      </c>
      <c r="AL604" s="398"/>
      <c r="AM604" s="398"/>
      <c r="AN604" s="398"/>
      <c r="AO604" s="1041">
        <f>+AO602/AO597</f>
        <v>0.58680020533880917</v>
      </c>
      <c r="AP604" s="398"/>
      <c r="AQ604" s="398"/>
      <c r="AR604" s="398"/>
      <c r="AS604" s="1041">
        <f>+AS602/AS597</f>
        <v>0.5498891062250143</v>
      </c>
      <c r="AT604" s="398"/>
      <c r="AU604" s="398"/>
      <c r="AV604" s="398"/>
      <c r="AW604" s="1041">
        <f>+AW602/AW597</f>
        <v>0.50740989062500008</v>
      </c>
      <c r="AX604" s="398"/>
      <c r="AY604" s="398"/>
      <c r="AZ604" s="398"/>
      <c r="BA604" s="1041">
        <f>+BA602/BA597</f>
        <v>0.46176510225422507</v>
      </c>
      <c r="BB604" s="401"/>
      <c r="BC604" s="296"/>
      <c r="BD604" s="296"/>
      <c r="BE604" s="296"/>
      <c r="BF604" s="296"/>
      <c r="BG604" s="296"/>
      <c r="BH604" s="296"/>
      <c r="BI604" s="1041">
        <v>0.78388998035363455</v>
      </c>
      <c r="BJ604" s="1041">
        <v>0.7445721583652618</v>
      </c>
      <c r="BK604" s="1788">
        <v>0.71704957678355496</v>
      </c>
      <c r="BL604" s="1041">
        <v>0.6920359955005625</v>
      </c>
      <c r="BM604" s="1041">
        <v>0.58696982758620697</v>
      </c>
      <c r="BN604" s="296"/>
      <c r="BO604" s="296"/>
      <c r="BP604" s="296"/>
      <c r="BR604" s="1379"/>
      <c r="BS604" s="1379"/>
      <c r="BT604" s="1379"/>
      <c r="BU604" s="1260"/>
    </row>
    <row r="605" spans="1:73" s="305" customFormat="1" ht="12" customHeight="1">
      <c r="A605" s="1510" t="s">
        <v>526</v>
      </c>
      <c r="B605" s="837"/>
      <c r="C605" s="837"/>
      <c r="D605" s="837"/>
      <c r="E605" s="838"/>
      <c r="F605" s="837"/>
      <c r="G605" s="837"/>
      <c r="H605" s="837"/>
      <c r="I605" s="838"/>
      <c r="J605" s="837"/>
      <c r="K605" s="837"/>
      <c r="L605" s="837"/>
      <c r="M605" s="838"/>
      <c r="N605" s="836"/>
      <c r="O605" s="836"/>
      <c r="P605" s="836"/>
      <c r="Q605" s="1041"/>
      <c r="R605" s="836"/>
      <c r="S605" s="836"/>
      <c r="T605" s="836"/>
      <c r="U605" s="1041"/>
      <c r="V605" s="836"/>
      <c r="W605" s="836"/>
      <c r="X605" s="836"/>
      <c r="Y605" s="1519">
        <f>+Y581-Y613</f>
        <v>45</v>
      </c>
      <c r="Z605" s="836"/>
      <c r="AA605" s="836"/>
      <c r="AB605" s="836"/>
      <c r="AC605" s="1519">
        <f>+AC581-AC613</f>
        <v>41</v>
      </c>
      <c r="AD605" s="836"/>
      <c r="AE605" s="836"/>
      <c r="AF605" s="836"/>
      <c r="AG605" s="1519">
        <f>+AG581-AG613</f>
        <v>38.28</v>
      </c>
      <c r="AH605" s="398"/>
      <c r="AI605" s="398"/>
      <c r="AJ605" s="398"/>
      <c r="AK605" s="1519">
        <f>+AK581-AK613</f>
        <v>36.540799999999997</v>
      </c>
      <c r="AL605" s="398"/>
      <c r="AM605" s="398"/>
      <c r="AN605" s="398"/>
      <c r="AO605" s="1519">
        <f>+AO581-AO613</f>
        <v>33.750591999999997</v>
      </c>
      <c r="AP605" s="398"/>
      <c r="AQ605" s="398"/>
      <c r="AR605" s="398"/>
      <c r="AS605" s="1519">
        <f>+AS581-AS613</f>
        <v>32.825651199999996</v>
      </c>
      <c r="AT605" s="398"/>
      <c r="AU605" s="398"/>
      <c r="AV605" s="398"/>
      <c r="AW605" s="1519">
        <f>+AW581-AW613</f>
        <v>31.808216319999996</v>
      </c>
      <c r="AX605" s="398"/>
      <c r="AY605" s="398"/>
      <c r="AZ605" s="398"/>
      <c r="BA605" s="1519">
        <f>+BA581-BA613</f>
        <v>30.689037951999993</v>
      </c>
      <c r="BB605" s="401"/>
      <c r="BC605" s="296"/>
      <c r="BD605" s="296"/>
      <c r="BE605" s="296"/>
      <c r="BF605" s="296"/>
      <c r="BG605" s="296"/>
      <c r="BH605" s="296"/>
      <c r="BI605" s="1519">
        <v>45</v>
      </c>
      <c r="BJ605" s="1519">
        <v>41</v>
      </c>
      <c r="BK605" s="1789">
        <v>38.28</v>
      </c>
      <c r="BL605" s="1519">
        <v>36.540799999999997</v>
      </c>
      <c r="BM605" s="1519">
        <v>34.310592</v>
      </c>
      <c r="BN605" s="296"/>
      <c r="BO605" s="296"/>
      <c r="BP605" s="296"/>
      <c r="BR605" s="1379"/>
      <c r="BS605" s="1379"/>
      <c r="BT605" s="1379"/>
      <c r="BU605" s="1260"/>
    </row>
    <row r="606" spans="1:73" s="305" customFormat="1" ht="12" customHeight="1">
      <c r="A606" s="1510" t="s">
        <v>181</v>
      </c>
      <c r="B606" s="837"/>
      <c r="C606" s="837"/>
      <c r="D606" s="837"/>
      <c r="E606" s="838"/>
      <c r="F606" s="837"/>
      <c r="G606" s="837"/>
      <c r="H606" s="837"/>
      <c r="I606" s="838"/>
      <c r="J606" s="837"/>
      <c r="K606" s="837"/>
      <c r="L606" s="837"/>
      <c r="M606" s="838"/>
      <c r="N606" s="836"/>
      <c r="O606" s="836"/>
      <c r="P606" s="836"/>
      <c r="Q606" s="1514"/>
      <c r="R606" s="836"/>
      <c r="S606" s="836"/>
      <c r="T606" s="836"/>
      <c r="U606" s="1514"/>
      <c r="V606" s="836"/>
      <c r="W606" s="836"/>
      <c r="X606" s="836"/>
      <c r="Y606" s="1514"/>
      <c r="Z606" s="836"/>
      <c r="AA606" s="836"/>
      <c r="AB606" s="836"/>
      <c r="AC606" s="1514">
        <f>+(AC605/Y605)-1</f>
        <v>-8.8888888888888906E-2</v>
      </c>
      <c r="AD606" s="836"/>
      <c r="AE606" s="836"/>
      <c r="AF606" s="836"/>
      <c r="AG606" s="1514">
        <f>+(AG605/AC605)-1</f>
        <v>-6.6341463414634094E-2</v>
      </c>
      <c r="AH606" s="398"/>
      <c r="AI606" s="398"/>
      <c r="AJ606" s="398"/>
      <c r="AK606" s="1514">
        <f>+(AK605/AG605)-1</f>
        <v>-4.5433646812957251E-2</v>
      </c>
      <c r="AL606" s="398"/>
      <c r="AM606" s="398"/>
      <c r="AN606" s="1511"/>
      <c r="AO606" s="1514">
        <f>+(AO605/AK605)-1</f>
        <v>-7.635870041159476E-2</v>
      </c>
      <c r="AP606" s="398"/>
      <c r="AQ606" s="398"/>
      <c r="AR606" s="1511"/>
      <c r="AS606" s="1514">
        <f>+(AS605/AO605)-1</f>
        <v>-2.7405172626305374E-2</v>
      </c>
      <c r="AT606" s="398"/>
      <c r="AU606" s="398"/>
      <c r="AV606" s="1511"/>
      <c r="AW606" s="1514">
        <f>+(AW605/AS605)-1</f>
        <v>-3.099511640457564E-2</v>
      </c>
      <c r="AX606" s="398"/>
      <c r="AY606" s="398"/>
      <c r="AZ606" s="1511"/>
      <c r="BA606" s="1514">
        <f>+(BA605/AW605)-1</f>
        <v>-3.5185197332058493E-2</v>
      </c>
      <c r="BB606" s="401"/>
      <c r="BC606" s="296"/>
      <c r="BD606" s="296"/>
      <c r="BE606" s="296"/>
      <c r="BF606" s="296"/>
      <c r="BG606" s="296"/>
      <c r="BH606" s="296"/>
      <c r="BI606" s="1514"/>
      <c r="BJ606" s="1514">
        <v>-8.8888888888888906E-2</v>
      </c>
      <c r="BK606" s="1775">
        <v>-6.6341463414634094E-2</v>
      </c>
      <c r="BL606" s="1514">
        <v>-4.5433646812957251E-2</v>
      </c>
      <c r="BM606" s="1514">
        <v>-6.1033365443558862E-2</v>
      </c>
      <c r="BN606" s="296"/>
      <c r="BO606" s="296"/>
      <c r="BP606" s="296"/>
      <c r="BR606" s="1379"/>
      <c r="BS606" s="1379"/>
      <c r="BT606" s="1379"/>
      <c r="BU606" s="1260"/>
    </row>
    <row r="607" spans="1:73" s="305" customFormat="1" ht="12" customHeight="1">
      <c r="A607" s="1510" t="s">
        <v>527</v>
      </c>
      <c r="B607" s="837"/>
      <c r="C607" s="837"/>
      <c r="D607" s="837"/>
      <c r="E607" s="838"/>
      <c r="F607" s="837"/>
      <c r="G607" s="837"/>
      <c r="H607" s="837"/>
      <c r="I607" s="838"/>
      <c r="J607" s="837"/>
      <c r="K607" s="837"/>
      <c r="L607" s="837"/>
      <c r="M607" s="838"/>
      <c r="N607" s="836"/>
      <c r="O607" s="836"/>
      <c r="P607" s="836"/>
      <c r="Q607" s="1041"/>
      <c r="R607" s="836"/>
      <c r="S607" s="836"/>
      <c r="T607" s="836"/>
      <c r="U607" s="1041"/>
      <c r="V607" s="836"/>
      <c r="W607" s="836"/>
      <c r="X607" s="836"/>
      <c r="Y607" s="1041">
        <f>+Y605/Y581</f>
        <v>0.9</v>
      </c>
      <c r="Z607" s="836"/>
      <c r="AA607" s="836"/>
      <c r="AB607" s="836"/>
      <c r="AC607" s="1041">
        <f>+AC605/AC581</f>
        <v>0.87234042553191493</v>
      </c>
      <c r="AD607" s="836"/>
      <c r="AE607" s="836"/>
      <c r="AF607" s="836"/>
      <c r="AG607" s="1041">
        <f>+AG605/AG581</f>
        <v>0.85066666666666668</v>
      </c>
      <c r="AH607" s="398"/>
      <c r="AI607" s="398"/>
      <c r="AJ607" s="398"/>
      <c r="AK607" s="1041">
        <f>+AK605/AK581</f>
        <v>0.83047272727272725</v>
      </c>
      <c r="AL607" s="398"/>
      <c r="AM607" s="398"/>
      <c r="AN607" s="398"/>
      <c r="AO607" s="1041">
        <f>+AO605/AO581</f>
        <v>0.78489748837209294</v>
      </c>
      <c r="AP607" s="398"/>
      <c r="AQ607" s="398"/>
      <c r="AR607" s="398"/>
      <c r="AS607" s="1041">
        <f>+AS605/AS581</f>
        <v>0.76338723720930224</v>
      </c>
      <c r="AT607" s="398"/>
      <c r="AU607" s="398"/>
      <c r="AV607" s="398"/>
      <c r="AW607" s="1041">
        <f>+AW605/AW581</f>
        <v>0.73972596093023246</v>
      </c>
      <c r="AX607" s="398"/>
      <c r="AY607" s="398"/>
      <c r="AZ607" s="398"/>
      <c r="BA607" s="1041">
        <f>+BA605/BA581</f>
        <v>0.71369855702325569</v>
      </c>
      <c r="BB607" s="401"/>
      <c r="BC607" s="296"/>
      <c r="BD607" s="296"/>
      <c r="BE607" s="296"/>
      <c r="BF607" s="296"/>
      <c r="BG607" s="296"/>
      <c r="BH607" s="296"/>
      <c r="BI607" s="1041">
        <v>0.9</v>
      </c>
      <c r="BJ607" s="1041">
        <v>0.87234042553191493</v>
      </c>
      <c r="BK607" s="1788">
        <v>0.85066666666666668</v>
      </c>
      <c r="BL607" s="1041">
        <v>0.83047272727272725</v>
      </c>
      <c r="BM607" s="1041">
        <v>0.78766280991735538</v>
      </c>
      <c r="BN607" s="296"/>
      <c r="BO607" s="296"/>
      <c r="BP607" s="296"/>
      <c r="BR607" s="1379"/>
      <c r="BS607" s="1379"/>
      <c r="BT607" s="1379"/>
      <c r="BU607" s="1260"/>
    </row>
    <row r="608" spans="1:73" s="305" customFormat="1" ht="12" customHeight="1">
      <c r="A608" s="1510" t="s">
        <v>529</v>
      </c>
      <c r="B608" s="837"/>
      <c r="C608" s="837"/>
      <c r="D608" s="837"/>
      <c r="E608" s="838"/>
      <c r="F608" s="837"/>
      <c r="G608" s="837"/>
      <c r="H608" s="837"/>
      <c r="I608" s="838"/>
      <c r="J608" s="837"/>
      <c r="K608" s="837"/>
      <c r="L608" s="837"/>
      <c r="M608" s="838"/>
      <c r="N608" s="836"/>
      <c r="O608" s="836"/>
      <c r="P608" s="836"/>
      <c r="Q608" s="1041"/>
      <c r="R608" s="836"/>
      <c r="S608" s="836"/>
      <c r="T608" s="836"/>
      <c r="U608" s="1041"/>
      <c r="V608" s="836"/>
      <c r="W608" s="836"/>
      <c r="X608" s="836"/>
      <c r="Y608" s="1518">
        <f>+Y602/Y605</f>
        <v>62.06666666666667</v>
      </c>
      <c r="Z608" s="836"/>
      <c r="AA608" s="836"/>
      <c r="AB608" s="836"/>
      <c r="AC608" s="1518">
        <f>+AC602/AC605</f>
        <v>71.097560975609753</v>
      </c>
      <c r="AD608" s="836"/>
      <c r="AE608" s="836"/>
      <c r="AF608" s="836"/>
      <c r="AG608" s="1518">
        <f>+AG602/AG605</f>
        <v>77.455590386624863</v>
      </c>
      <c r="AH608" s="398"/>
      <c r="AI608" s="398"/>
      <c r="AJ608" s="398"/>
      <c r="AK608" s="1518">
        <f>+AK602/AK605</f>
        <v>84.182612312811997</v>
      </c>
      <c r="AL608" s="398"/>
      <c r="AM608" s="398"/>
      <c r="AN608" s="398"/>
      <c r="AO608" s="1518">
        <f>+AO602/AO605</f>
        <v>84.671611093518024</v>
      </c>
      <c r="AP608" s="398"/>
      <c r="AQ608" s="398"/>
      <c r="AR608" s="398"/>
      <c r="AS608" s="1518">
        <f>+AS602/AS605</f>
        <v>87.997263402347997</v>
      </c>
      <c r="AT608" s="398"/>
      <c r="AU608" s="398"/>
      <c r="AV608" s="398"/>
      <c r="AW608" s="1518">
        <f>+AW602/AW605</f>
        <v>89.970206261631731</v>
      </c>
      <c r="AX608" s="398"/>
      <c r="AY608" s="398"/>
      <c r="AZ608" s="398"/>
      <c r="BA608" s="1518">
        <f>+BA602/BA605</f>
        <v>91.257515128113056</v>
      </c>
      <c r="BB608" s="401"/>
      <c r="BC608" s="296"/>
      <c r="BD608" s="296"/>
      <c r="BE608" s="296"/>
      <c r="BF608" s="296"/>
      <c r="BG608" s="296"/>
      <c r="BH608" s="296"/>
      <c r="BI608" s="1518">
        <v>62.06666666666667</v>
      </c>
      <c r="BJ608" s="1518">
        <v>71.097560975609753</v>
      </c>
      <c r="BK608" s="1790">
        <v>77.455590386624863</v>
      </c>
      <c r="BL608" s="1518">
        <v>84.182612312811997</v>
      </c>
      <c r="BM608" s="1518">
        <v>83.347935238191184</v>
      </c>
      <c r="BN608" s="296"/>
      <c r="BO608" s="296"/>
      <c r="BP608" s="296"/>
      <c r="BR608" s="1379"/>
      <c r="BS608" s="1379"/>
      <c r="BT608" s="1379"/>
      <c r="BU608" s="1260"/>
    </row>
    <row r="609" spans="1:73" s="305" customFormat="1" ht="12" customHeight="1">
      <c r="A609" s="1510"/>
      <c r="B609" s="837"/>
      <c r="C609" s="837"/>
      <c r="D609" s="837"/>
      <c r="E609" s="838"/>
      <c r="F609" s="837"/>
      <c r="G609" s="837"/>
      <c r="H609" s="837"/>
      <c r="I609" s="838"/>
      <c r="J609" s="837"/>
      <c r="K609" s="837"/>
      <c r="L609" s="837"/>
      <c r="M609" s="838"/>
      <c r="N609" s="836"/>
      <c r="O609" s="836"/>
      <c r="P609" s="836"/>
      <c r="Q609" s="1041"/>
      <c r="R609" s="836"/>
      <c r="S609" s="836"/>
      <c r="T609" s="836"/>
      <c r="U609" s="1041"/>
      <c r="V609" s="836"/>
      <c r="W609" s="836"/>
      <c r="X609" s="836"/>
      <c r="Y609" s="1041"/>
      <c r="Z609" s="836"/>
      <c r="AA609" s="836"/>
      <c r="AB609" s="836"/>
      <c r="AC609" s="1041"/>
      <c r="AD609" s="836"/>
      <c r="AE609" s="836"/>
      <c r="AF609" s="836"/>
      <c r="AG609" s="1041"/>
      <c r="AH609" s="398"/>
      <c r="AI609" s="398"/>
      <c r="AJ609" s="398"/>
      <c r="AK609" s="401"/>
      <c r="AL609" s="398"/>
      <c r="AM609" s="398"/>
      <c r="AN609" s="398"/>
      <c r="AO609" s="401"/>
      <c r="AP609" s="398"/>
      <c r="AQ609" s="398"/>
      <c r="AR609" s="398"/>
      <c r="AS609" s="401"/>
      <c r="AT609" s="398"/>
      <c r="AU609" s="398"/>
      <c r="AV609" s="398"/>
      <c r="AW609" s="401"/>
      <c r="AX609" s="398"/>
      <c r="AY609" s="398"/>
      <c r="AZ609" s="398"/>
      <c r="BA609" s="401"/>
      <c r="BB609" s="401"/>
      <c r="BC609" s="296"/>
      <c r="BD609" s="296"/>
      <c r="BE609" s="296"/>
      <c r="BF609" s="296"/>
      <c r="BG609" s="296"/>
      <c r="BH609" s="296"/>
      <c r="BI609" s="1041"/>
      <c r="BJ609" s="1041"/>
      <c r="BK609" s="1788"/>
      <c r="BL609" s="401"/>
      <c r="BM609" s="401"/>
      <c r="BN609" s="296"/>
      <c r="BO609" s="296"/>
      <c r="BP609" s="296"/>
      <c r="BR609" s="1379"/>
      <c r="BS609" s="1379"/>
      <c r="BT609" s="1379"/>
      <c r="BU609" s="1260"/>
    </row>
    <row r="610" spans="1:73" s="305" customFormat="1" ht="12" customHeight="1">
      <c r="A610" s="1525" t="s">
        <v>528</v>
      </c>
      <c r="B610" s="1108"/>
      <c r="C610" s="1108"/>
      <c r="D610" s="1108"/>
      <c r="E610" s="1109"/>
      <c r="F610" s="1108"/>
      <c r="G610" s="1108"/>
      <c r="H610" s="1108"/>
      <c r="I610" s="1109"/>
      <c r="J610" s="1108"/>
      <c r="K610" s="1108"/>
      <c r="L610" s="1108"/>
      <c r="M610" s="1109"/>
      <c r="N610" s="1110"/>
      <c r="O610" s="1110"/>
      <c r="P610" s="1110"/>
      <c r="Q610" s="1111"/>
      <c r="R610" s="1110"/>
      <c r="S610" s="1110"/>
      <c r="T610" s="1110"/>
      <c r="U610" s="1111"/>
      <c r="V610" s="1110"/>
      <c r="W610" s="1110"/>
      <c r="X610" s="1110"/>
      <c r="Y610" s="1705">
        <v>770</v>
      </c>
      <c r="Z610" s="1110"/>
      <c r="AA610" s="1110"/>
      <c r="AB610" s="1110"/>
      <c r="AC610" s="1705">
        <v>1000</v>
      </c>
      <c r="AD610" s="1110"/>
      <c r="AE610" s="1110"/>
      <c r="AF610" s="1110"/>
      <c r="AG610" s="1541">
        <f>+AC610*(1+AG611)</f>
        <v>1170</v>
      </c>
      <c r="AH610" s="398"/>
      <c r="AI610" s="398"/>
      <c r="AJ610" s="398"/>
      <c r="AK610" s="1541">
        <f>+AG610*(1+AK611)</f>
        <v>1368.8999999999999</v>
      </c>
      <c r="AL610" s="398"/>
      <c r="AM610" s="398"/>
      <c r="AN610" s="398"/>
      <c r="AO610" s="1541">
        <f>+AK610*(1+AO611)</f>
        <v>2012.2829999999997</v>
      </c>
      <c r="AP610" s="398"/>
      <c r="AQ610" s="398"/>
      <c r="AR610" s="398"/>
      <c r="AS610" s="1541">
        <f>+AO610*(1+AS611)</f>
        <v>2364.4325249999997</v>
      </c>
      <c r="AT610" s="398"/>
      <c r="AU610" s="398"/>
      <c r="AV610" s="398"/>
      <c r="AW610" s="1541">
        <f>+AS610*(1+AW611)</f>
        <v>2778.2082168749998</v>
      </c>
      <c r="AX610" s="398"/>
      <c r="AY610" s="398"/>
      <c r="AZ610" s="398"/>
      <c r="BA610" s="1541">
        <f>+AW610*(1+BA611)</f>
        <v>3264.3946548281251</v>
      </c>
      <c r="BB610" s="401"/>
      <c r="BC610" s="296"/>
      <c r="BD610" s="296"/>
      <c r="BE610" s="296"/>
      <c r="BF610" s="296"/>
      <c r="BG610" s="1541">
        <f>+BG178*BG612</f>
        <v>277.5</v>
      </c>
      <c r="BH610" s="296"/>
      <c r="BI610" s="1705">
        <v>770</v>
      </c>
      <c r="BJ610" s="1705">
        <v>1000</v>
      </c>
      <c r="BK610" s="1787">
        <v>1170</v>
      </c>
      <c r="BL610" s="1541">
        <v>1368.8999999999999</v>
      </c>
      <c r="BM610" s="1541">
        <v>2012.2829999999997</v>
      </c>
      <c r="BN610" s="2135"/>
      <c r="BO610" s="296"/>
      <c r="BP610" s="296"/>
      <c r="BR610" s="1379"/>
      <c r="BS610" s="1379"/>
      <c r="BT610" s="1379"/>
      <c r="BU610" s="1533"/>
    </row>
    <row r="611" spans="1:73" s="305" customFormat="1" ht="12" customHeight="1">
      <c r="A611" s="1510" t="s">
        <v>181</v>
      </c>
      <c r="B611" s="837"/>
      <c r="C611" s="837"/>
      <c r="D611" s="837"/>
      <c r="E611" s="838"/>
      <c r="F611" s="837"/>
      <c r="G611" s="837"/>
      <c r="H611" s="837"/>
      <c r="I611" s="838"/>
      <c r="J611" s="837"/>
      <c r="K611" s="837"/>
      <c r="L611" s="837"/>
      <c r="M611" s="838"/>
      <c r="N611" s="836"/>
      <c r="O611" s="836"/>
      <c r="P611" s="836"/>
      <c r="Q611" s="1041"/>
      <c r="R611" s="836"/>
      <c r="S611" s="836"/>
      <c r="T611" s="836"/>
      <c r="U611" s="1041"/>
      <c r="V611" s="836"/>
      <c r="W611" s="836"/>
      <c r="X611" s="836"/>
      <c r="Y611" s="838"/>
      <c r="Z611" s="836"/>
      <c r="AA611" s="836"/>
      <c r="AB611" s="836"/>
      <c r="AC611" s="1041">
        <f>+AC610/Y610-1</f>
        <v>0.29870129870129869</v>
      </c>
      <c r="AD611" s="1036"/>
      <c r="AE611" s="1036"/>
      <c r="AF611" s="1036"/>
      <c r="AG611" s="1045">
        <v>0.17</v>
      </c>
      <c r="AH611" s="1703"/>
      <c r="AI611" s="1703"/>
      <c r="AJ611" s="1703"/>
      <c r="AK611" s="1045">
        <v>0.17</v>
      </c>
      <c r="AL611" s="398"/>
      <c r="AM611" s="398"/>
      <c r="AN611" s="398"/>
      <c r="AO611" s="1045">
        <v>0.47</v>
      </c>
      <c r="AP611" s="398"/>
      <c r="AQ611" s="398"/>
      <c r="AR611" s="398"/>
      <c r="AS611" s="1045">
        <v>0.17499999999999999</v>
      </c>
      <c r="AT611" s="398"/>
      <c r="AU611" s="398"/>
      <c r="AV611" s="398"/>
      <c r="AW611" s="1045">
        <v>0.17499999999999999</v>
      </c>
      <c r="AX611" s="398"/>
      <c r="AY611" s="398"/>
      <c r="AZ611" s="398"/>
      <c r="BA611" s="1045">
        <v>0.17499999999999999</v>
      </c>
      <c r="BB611" s="401"/>
      <c r="BC611" s="296"/>
      <c r="BD611" s="296"/>
      <c r="BE611" s="296"/>
      <c r="BF611" s="296"/>
      <c r="BG611" s="838"/>
      <c r="BH611" s="296"/>
      <c r="BI611" s="838"/>
      <c r="BJ611" s="1041">
        <v>0.29870129870129869</v>
      </c>
      <c r="BK611" s="1791">
        <v>0.17</v>
      </c>
      <c r="BL611" s="1045">
        <v>0.17</v>
      </c>
      <c r="BM611" s="1045">
        <v>0.47</v>
      </c>
      <c r="BN611" s="296"/>
      <c r="BO611" s="296"/>
      <c r="BP611" s="296"/>
      <c r="BR611" s="1379"/>
      <c r="BS611" s="1379"/>
      <c r="BT611" s="1379"/>
      <c r="BU611" s="1260"/>
    </row>
    <row r="612" spans="1:73" s="305" customFormat="1" ht="12" customHeight="1">
      <c r="A612" s="1510" t="s">
        <v>525</v>
      </c>
      <c r="B612" s="837"/>
      <c r="C612" s="837"/>
      <c r="D612" s="837"/>
      <c r="E612" s="838"/>
      <c r="F612" s="837"/>
      <c r="G612" s="837"/>
      <c r="H612" s="837"/>
      <c r="I612" s="838"/>
      <c r="J612" s="837"/>
      <c r="K612" s="837"/>
      <c r="L612" s="837"/>
      <c r="M612" s="838"/>
      <c r="N612" s="836"/>
      <c r="O612" s="836"/>
      <c r="P612" s="836"/>
      <c r="Q612" s="1041"/>
      <c r="R612" s="836"/>
      <c r="S612" s="836"/>
      <c r="T612" s="836"/>
      <c r="U612" s="1041"/>
      <c r="V612" s="836"/>
      <c r="W612" s="836"/>
      <c r="X612" s="836"/>
      <c r="Y612" s="1041">
        <f>+Y610/Y597</f>
        <v>0.21611001964636542</v>
      </c>
      <c r="Z612" s="836"/>
      <c r="AA612" s="836"/>
      <c r="AB612" s="836"/>
      <c r="AC612" s="1041">
        <f>+AC610/AC597</f>
        <v>0.2554278416347382</v>
      </c>
      <c r="AD612" s="836"/>
      <c r="AE612" s="836"/>
      <c r="AF612" s="836"/>
      <c r="AG612" s="1041">
        <f>+AG610/AG597</f>
        <v>0.28295042321644498</v>
      </c>
      <c r="AH612" s="398"/>
      <c r="AI612" s="398"/>
      <c r="AJ612" s="398"/>
      <c r="AK612" s="1041">
        <f>+AK610/AK597</f>
        <v>0.30796400449943756</v>
      </c>
      <c r="AL612" s="398"/>
      <c r="AM612" s="398"/>
      <c r="AN612" s="398"/>
      <c r="AO612" s="1041">
        <f>+AO610/AO597</f>
        <v>0.41319979466119089</v>
      </c>
      <c r="AP612" s="398"/>
      <c r="AQ612" s="398"/>
      <c r="AR612" s="398"/>
      <c r="AS612" s="1041">
        <f>+AS610/AS597</f>
        <v>0.45011089377498564</v>
      </c>
      <c r="AT612" s="398"/>
      <c r="AU612" s="398"/>
      <c r="AV612" s="398"/>
      <c r="AW612" s="1041">
        <f>+AW610/AW597</f>
        <v>0.49259010937499997</v>
      </c>
      <c r="AX612" s="398"/>
      <c r="AY612" s="398"/>
      <c r="AZ612" s="398"/>
      <c r="BA612" s="1041">
        <f>+BA610/BA597</f>
        <v>0.53823489774577493</v>
      </c>
      <c r="BB612" s="401"/>
      <c r="BC612" s="296"/>
      <c r="BD612" s="296"/>
      <c r="BE612" s="296"/>
      <c r="BF612" s="296"/>
      <c r="BG612" s="1045">
        <v>0.1</v>
      </c>
      <c r="BH612" s="296"/>
      <c r="BI612" s="1041">
        <v>0.21611001964636542</v>
      </c>
      <c r="BJ612" s="1041">
        <v>0.2554278416347382</v>
      </c>
      <c r="BK612" s="1788">
        <v>0.28295042321644498</v>
      </c>
      <c r="BL612" s="1041">
        <v>0.30796400449943756</v>
      </c>
      <c r="BM612" s="1041">
        <v>0.41303017241379303</v>
      </c>
      <c r="BN612" s="296"/>
      <c r="BO612" s="296"/>
      <c r="BP612" s="296"/>
      <c r="BR612" s="1379"/>
      <c r="BS612" s="1379"/>
      <c r="BT612" s="1379"/>
      <c r="BU612" s="1260"/>
    </row>
    <row r="613" spans="1:73" s="305" customFormat="1" ht="12" customHeight="1">
      <c r="A613" s="1510" t="s">
        <v>526</v>
      </c>
      <c r="B613" s="837"/>
      <c r="C613" s="837"/>
      <c r="D613" s="837"/>
      <c r="E613" s="838"/>
      <c r="F613" s="837"/>
      <c r="G613" s="837"/>
      <c r="H613" s="837"/>
      <c r="I613" s="838"/>
      <c r="J613" s="837"/>
      <c r="K613" s="837"/>
      <c r="L613" s="837"/>
      <c r="M613" s="838"/>
      <c r="N613" s="836"/>
      <c r="O613" s="836"/>
      <c r="P613" s="836"/>
      <c r="Q613" s="1041"/>
      <c r="R613" s="836"/>
      <c r="S613" s="836"/>
      <c r="T613" s="836"/>
      <c r="U613" s="1041"/>
      <c r="V613" s="836"/>
      <c r="W613" s="836"/>
      <c r="X613" s="836"/>
      <c r="Y613" s="1704">
        <v>5</v>
      </c>
      <c r="Z613" s="836"/>
      <c r="AA613" s="836"/>
      <c r="AB613" s="836"/>
      <c r="AC613" s="1519">
        <f>+Y613*(1+AC614)</f>
        <v>6</v>
      </c>
      <c r="AD613" s="836"/>
      <c r="AE613" s="836"/>
      <c r="AF613" s="836"/>
      <c r="AG613" s="1519">
        <f>+AC613*(1+AG614)</f>
        <v>6.7200000000000006</v>
      </c>
      <c r="AH613" s="398"/>
      <c r="AI613" s="398"/>
      <c r="AJ613" s="398"/>
      <c r="AK613" s="1519">
        <f>+AG613*(1+AK614)</f>
        <v>7.4592000000000009</v>
      </c>
      <c r="AL613" s="398"/>
      <c r="AM613" s="398"/>
      <c r="AN613" s="398"/>
      <c r="AO613" s="1519">
        <f>+AK613*(1+AO614)</f>
        <v>9.2494080000000007</v>
      </c>
      <c r="AP613" s="398"/>
      <c r="AQ613" s="398"/>
      <c r="AR613" s="398"/>
      <c r="AS613" s="1519">
        <f>+AO613*(1+AS614)</f>
        <v>10.174348800000002</v>
      </c>
      <c r="AT613" s="398"/>
      <c r="AU613" s="398"/>
      <c r="AV613" s="398"/>
      <c r="AW613" s="1519">
        <f>+AS613*(1+AW614)</f>
        <v>11.191783680000004</v>
      </c>
      <c r="AX613" s="398"/>
      <c r="AY613" s="398"/>
      <c r="AZ613" s="398"/>
      <c r="BA613" s="1519">
        <f>+AW613*(1+BA614)</f>
        <v>12.310962048000006</v>
      </c>
      <c r="BB613" s="401"/>
      <c r="BC613" s="296"/>
      <c r="BD613" s="296"/>
      <c r="BE613" s="296"/>
      <c r="BF613" s="296"/>
      <c r="BG613" s="1704"/>
      <c r="BH613" s="296"/>
      <c r="BI613" s="1704">
        <v>5</v>
      </c>
      <c r="BJ613" s="1519">
        <v>6</v>
      </c>
      <c r="BK613" s="1789">
        <v>6.7200000000000006</v>
      </c>
      <c r="BL613" s="1519">
        <v>7.4592000000000009</v>
      </c>
      <c r="BM613" s="1519">
        <v>9.2494080000000007</v>
      </c>
      <c r="BN613" s="296"/>
      <c r="BO613" s="296"/>
      <c r="BP613" s="296"/>
      <c r="BR613" s="1379"/>
      <c r="BS613" s="1379"/>
      <c r="BT613" s="1379"/>
      <c r="BU613" s="1260"/>
    </row>
    <row r="614" spans="1:73" s="305" customFormat="1" ht="12" customHeight="1">
      <c r="A614" s="1510" t="s">
        <v>530</v>
      </c>
      <c r="B614" s="837"/>
      <c r="C614" s="837"/>
      <c r="D614" s="837"/>
      <c r="E614" s="838"/>
      <c r="F614" s="837"/>
      <c r="G614" s="837"/>
      <c r="H614" s="837"/>
      <c r="I614" s="838"/>
      <c r="J614" s="837"/>
      <c r="K614" s="837"/>
      <c r="L614" s="837"/>
      <c r="M614" s="838"/>
      <c r="N614" s="836"/>
      <c r="O614" s="836"/>
      <c r="P614" s="836"/>
      <c r="Q614" s="1041"/>
      <c r="R614" s="836"/>
      <c r="S614" s="836"/>
      <c r="T614" s="836"/>
      <c r="U614" s="1041"/>
      <c r="V614" s="836"/>
      <c r="W614" s="836"/>
      <c r="X614" s="836"/>
      <c r="Y614" s="1520"/>
      <c r="Z614" s="836"/>
      <c r="AA614" s="836"/>
      <c r="AB614" s="836"/>
      <c r="AC614" s="1045">
        <v>0.2</v>
      </c>
      <c r="AD614" s="1036"/>
      <c r="AE614" s="1036"/>
      <c r="AF614" s="1036"/>
      <c r="AG614" s="1045">
        <v>0.12</v>
      </c>
      <c r="AH614" s="1703"/>
      <c r="AI614" s="1703"/>
      <c r="AJ614" s="1703"/>
      <c r="AK614" s="1045">
        <v>0.11</v>
      </c>
      <c r="AL614" s="398"/>
      <c r="AM614" s="398"/>
      <c r="AN614" s="398"/>
      <c r="AO614" s="1045">
        <v>0.24</v>
      </c>
      <c r="AP614" s="398"/>
      <c r="AQ614" s="398"/>
      <c r="AR614" s="398"/>
      <c r="AS614" s="1045">
        <v>0.1</v>
      </c>
      <c r="AT614" s="398"/>
      <c r="AU614" s="398"/>
      <c r="AV614" s="398"/>
      <c r="AW614" s="1045">
        <v>0.1</v>
      </c>
      <c r="AX614" s="398"/>
      <c r="AY614" s="398"/>
      <c r="AZ614" s="398"/>
      <c r="BA614" s="1045">
        <v>0.1</v>
      </c>
      <c r="BB614" s="401"/>
      <c r="BC614" s="296"/>
      <c r="BD614" s="296"/>
      <c r="BE614" s="296"/>
      <c r="BF614" s="296"/>
      <c r="BG614" s="1520"/>
      <c r="BH614" s="296"/>
      <c r="BI614" s="1765">
        <v>1</v>
      </c>
      <c r="BJ614" s="1045">
        <v>0.2</v>
      </c>
      <c r="BK614" s="1791">
        <v>0.12</v>
      </c>
      <c r="BL614" s="1045">
        <v>0.11</v>
      </c>
      <c r="BM614" s="1045">
        <v>0.24</v>
      </c>
      <c r="BN614" s="296"/>
      <c r="BO614" s="296"/>
      <c r="BP614" s="296"/>
      <c r="BR614" s="1379"/>
      <c r="BS614" s="1379"/>
      <c r="BT614" s="1379"/>
      <c r="BU614" s="1260"/>
    </row>
    <row r="615" spans="1:73" s="305" customFormat="1" ht="12" customHeight="1">
      <c r="A615" s="1510" t="s">
        <v>527</v>
      </c>
      <c r="B615" s="837"/>
      <c r="C615" s="837"/>
      <c r="D615" s="837"/>
      <c r="E615" s="838"/>
      <c r="F615" s="837"/>
      <c r="G615" s="837"/>
      <c r="H615" s="837"/>
      <c r="I615" s="838"/>
      <c r="J615" s="837"/>
      <c r="K615" s="837"/>
      <c r="L615" s="837"/>
      <c r="M615" s="838"/>
      <c r="N615" s="836"/>
      <c r="O615" s="836"/>
      <c r="P615" s="836"/>
      <c r="Q615" s="1041"/>
      <c r="R615" s="836"/>
      <c r="S615" s="836"/>
      <c r="T615" s="836"/>
      <c r="U615" s="1041"/>
      <c r="V615" s="836"/>
      <c r="W615" s="836"/>
      <c r="X615" s="836"/>
      <c r="Y615" s="1041">
        <f>+Y613/Y581</f>
        <v>0.1</v>
      </c>
      <c r="Z615" s="836"/>
      <c r="AA615" s="836"/>
      <c r="AB615" s="836"/>
      <c r="AC615" s="1041">
        <f>+AC613/AC581</f>
        <v>0.1276595744680851</v>
      </c>
      <c r="AD615" s="836"/>
      <c r="AE615" s="836"/>
      <c r="AF615" s="836"/>
      <c r="AG615" s="1041">
        <f>+AG613/AG581</f>
        <v>0.14933333333333335</v>
      </c>
      <c r="AH615" s="398"/>
      <c r="AI615" s="398"/>
      <c r="AJ615" s="398"/>
      <c r="AK615" s="1041">
        <f>+AK613/AK581</f>
        <v>0.16952727272727275</v>
      </c>
      <c r="AL615" s="398"/>
      <c r="AM615" s="398"/>
      <c r="AN615" s="398"/>
      <c r="AO615" s="1041">
        <f>+AO613/AO581</f>
        <v>0.215102511627907</v>
      </c>
      <c r="AP615" s="398"/>
      <c r="AQ615" s="398"/>
      <c r="AR615" s="398"/>
      <c r="AS615" s="1041">
        <f>+AS613/AS581</f>
        <v>0.23661276279069773</v>
      </c>
      <c r="AT615" s="398"/>
      <c r="AU615" s="398"/>
      <c r="AV615" s="398"/>
      <c r="AW615" s="1041">
        <f>+AW613/AW581</f>
        <v>0.26027403906976754</v>
      </c>
      <c r="AX615" s="398"/>
      <c r="AY615" s="398"/>
      <c r="AZ615" s="398"/>
      <c r="BA615" s="1041">
        <f>+BA613/BA581</f>
        <v>0.28630144297674431</v>
      </c>
      <c r="BB615" s="401"/>
      <c r="BC615" s="296"/>
      <c r="BD615" s="296"/>
      <c r="BE615" s="296"/>
      <c r="BF615" s="296"/>
      <c r="BG615" s="1041"/>
      <c r="BH615" s="296"/>
      <c r="BI615" s="1041">
        <v>0.1</v>
      </c>
      <c r="BJ615" s="1041">
        <v>0.1276595744680851</v>
      </c>
      <c r="BK615" s="1788">
        <v>0.14933333333333335</v>
      </c>
      <c r="BL615" s="1041">
        <v>0.16952727272727275</v>
      </c>
      <c r="BM615" s="1041">
        <v>0.21233719008264462</v>
      </c>
      <c r="BN615" s="296"/>
      <c r="BO615" s="296"/>
      <c r="BP615" s="296"/>
      <c r="BR615" s="1379"/>
      <c r="BS615" s="1379"/>
      <c r="BT615" s="1379"/>
      <c r="BU615" s="1260"/>
    </row>
    <row r="616" spans="1:73" s="305" customFormat="1" ht="12" customHeight="1">
      <c r="A616" s="1510" t="s">
        <v>531</v>
      </c>
      <c r="B616" s="837"/>
      <c r="C616" s="837"/>
      <c r="D616" s="837"/>
      <c r="E616" s="838"/>
      <c r="F616" s="837"/>
      <c r="G616" s="837"/>
      <c r="H616" s="837"/>
      <c r="I616" s="838"/>
      <c r="J616" s="837"/>
      <c r="K616" s="837"/>
      <c r="L616" s="837"/>
      <c r="M616" s="838"/>
      <c r="N616" s="836"/>
      <c r="O616" s="836"/>
      <c r="P616" s="836"/>
      <c r="Q616" s="1041"/>
      <c r="R616" s="836"/>
      <c r="S616" s="836"/>
      <c r="T616" s="836"/>
      <c r="U616" s="1041"/>
      <c r="V616" s="836"/>
      <c r="W616" s="836"/>
      <c r="X616" s="836"/>
      <c r="Y616" s="1518">
        <v>155</v>
      </c>
      <c r="Z616" s="836"/>
      <c r="AA616" s="836"/>
      <c r="AB616" s="836"/>
      <c r="AC616" s="1518">
        <f>+AC610/AC613</f>
        <v>166.66666666666666</v>
      </c>
      <c r="AD616" s="836"/>
      <c r="AE616" s="836"/>
      <c r="AF616" s="836"/>
      <c r="AG616" s="1518">
        <f>+AG610/AG613</f>
        <v>174.10714285714283</v>
      </c>
      <c r="AH616" s="398"/>
      <c r="AI616" s="398"/>
      <c r="AJ616" s="398"/>
      <c r="AK616" s="1518">
        <f>+AK610/AK613</f>
        <v>183.51833976833973</v>
      </c>
      <c r="AL616" s="398"/>
      <c r="AM616" s="398"/>
      <c r="AN616" s="398"/>
      <c r="AO616" s="1518">
        <f>+AO610/AO613</f>
        <v>217.55803182214467</v>
      </c>
      <c r="AP616" s="398"/>
      <c r="AQ616" s="398"/>
      <c r="AR616" s="398"/>
      <c r="AS616" s="1518">
        <f>+AS610/AS613</f>
        <v>232.39153399183633</v>
      </c>
      <c r="AT616" s="398"/>
      <c r="AU616" s="398"/>
      <c r="AV616" s="398"/>
      <c r="AW616" s="1518">
        <f>+AW610/AW613</f>
        <v>248.23641130946152</v>
      </c>
      <c r="AX616" s="398"/>
      <c r="AY616" s="398"/>
      <c r="AZ616" s="398"/>
      <c r="BA616" s="1518">
        <f>+BA610/BA613</f>
        <v>265.16162117147024</v>
      </c>
      <c r="BB616" s="401"/>
      <c r="BC616" s="296"/>
      <c r="BD616" s="296"/>
      <c r="BE616" s="296"/>
      <c r="BF616" s="296"/>
      <c r="BG616" s="1518"/>
      <c r="BH616" s="296"/>
      <c r="BI616" s="1518">
        <f t="shared" ref="BI616:BM616" si="3300">+BI610/BI613</f>
        <v>154</v>
      </c>
      <c r="BJ616" s="1518">
        <f t="shared" si="3300"/>
        <v>166.66666666666666</v>
      </c>
      <c r="BK616" s="1790">
        <f t="shared" si="3300"/>
        <v>174.10714285714283</v>
      </c>
      <c r="BL616" s="1518">
        <f t="shared" si="3300"/>
        <v>183.51833976833973</v>
      </c>
      <c r="BM616" s="1518">
        <f t="shared" si="3300"/>
        <v>217.55803182214467</v>
      </c>
      <c r="BN616" s="296"/>
      <c r="BO616" s="296"/>
      <c r="BP616" s="296"/>
      <c r="BR616" s="1379"/>
      <c r="BS616" s="1379"/>
      <c r="BT616" s="1379"/>
      <c r="BU616" s="1260"/>
    </row>
    <row r="617" spans="1:73" s="305" customFormat="1" ht="12" customHeight="1">
      <c r="A617" s="1510" t="s">
        <v>633</v>
      </c>
      <c r="B617" s="837"/>
      <c r="C617" s="837"/>
      <c r="D617" s="837"/>
      <c r="E617" s="838"/>
      <c r="F617" s="837"/>
      <c r="G617" s="837"/>
      <c r="H617" s="837"/>
      <c r="I617" s="838"/>
      <c r="J617" s="837"/>
      <c r="K617" s="837"/>
      <c r="L617" s="837"/>
      <c r="M617" s="838"/>
      <c r="N617" s="836"/>
      <c r="O617" s="836"/>
      <c r="P617" s="836"/>
      <c r="Q617" s="1041"/>
      <c r="R617" s="836"/>
      <c r="S617" s="836"/>
      <c r="T617" s="836"/>
      <c r="U617" s="1041"/>
      <c r="V617" s="836"/>
      <c r="W617" s="836"/>
      <c r="X617" s="836"/>
      <c r="Y617" s="1518">
        <v>157</v>
      </c>
      <c r="Z617" s="836"/>
      <c r="AA617" s="836"/>
      <c r="AB617" s="836"/>
      <c r="AC617" s="1518">
        <v>170</v>
      </c>
      <c r="AD617" s="836"/>
      <c r="AE617" s="836"/>
      <c r="AF617" s="836"/>
      <c r="AG617" s="1518">
        <v>178</v>
      </c>
      <c r="AH617" s="398"/>
      <c r="AI617" s="398"/>
      <c r="AJ617" s="398"/>
      <c r="AK617" s="1518">
        <v>187</v>
      </c>
      <c r="AL617" s="398"/>
      <c r="AM617" s="398"/>
      <c r="AN617" s="398"/>
      <c r="AO617" s="1518"/>
      <c r="AP617" s="398"/>
      <c r="AQ617" s="398"/>
      <c r="AR617" s="398"/>
      <c r="AS617" s="1518"/>
      <c r="AT617" s="398"/>
      <c r="AU617" s="398"/>
      <c r="AV617" s="398"/>
      <c r="AW617" s="1518"/>
      <c r="AX617" s="398"/>
      <c r="AY617" s="398"/>
      <c r="AZ617" s="398"/>
      <c r="BA617" s="1518"/>
      <c r="BB617" s="401"/>
      <c r="BC617" s="296"/>
      <c r="BD617" s="296"/>
      <c r="BE617" s="296"/>
      <c r="BF617" s="296"/>
      <c r="BG617" s="1518"/>
      <c r="BH617" s="296"/>
      <c r="BI617" s="1762">
        <f>+Y617</f>
        <v>157</v>
      </c>
      <c r="BJ617" s="1762">
        <f>+AC617</f>
        <v>170</v>
      </c>
      <c r="BK617" s="1792">
        <v>180</v>
      </c>
      <c r="BL617" s="1762">
        <v>191</v>
      </c>
      <c r="BM617" s="1762">
        <v>224</v>
      </c>
      <c r="BN617" s="296"/>
      <c r="BO617" s="296"/>
      <c r="BP617" s="296"/>
      <c r="BR617" s="1379"/>
      <c r="BS617" s="1379"/>
      <c r="BT617" s="1379"/>
      <c r="BU617" s="1260"/>
    </row>
    <row r="618" spans="1:73" s="305" customFormat="1" ht="12" customHeight="1">
      <c r="A618" s="1510"/>
      <c r="B618" s="837"/>
      <c r="C618" s="837"/>
      <c r="D618" s="837"/>
      <c r="E618" s="838"/>
      <c r="F618" s="837"/>
      <c r="G618" s="837"/>
      <c r="H618" s="837"/>
      <c r="I618" s="838"/>
      <c r="J618" s="837"/>
      <c r="K618" s="837"/>
      <c r="L618" s="837"/>
      <c r="M618" s="838"/>
      <c r="N618" s="836"/>
      <c r="O618" s="836"/>
      <c r="P618" s="836"/>
      <c r="Q618" s="1041"/>
      <c r="R618" s="836"/>
      <c r="S618" s="836"/>
      <c r="T618" s="836"/>
      <c r="U618" s="1041"/>
      <c r="V618" s="836"/>
      <c r="W618" s="836"/>
      <c r="X618" s="836"/>
      <c r="Y618" s="838"/>
      <c r="Z618" s="836"/>
      <c r="AA618" s="836"/>
      <c r="AB618" s="836"/>
      <c r="AC618" s="1041"/>
      <c r="AD618" s="836"/>
      <c r="AE618" s="836"/>
      <c r="AF618" s="836"/>
      <c r="AG618" s="1041"/>
      <c r="AH618" s="398"/>
      <c r="AI618" s="398"/>
      <c r="AJ618" s="398"/>
      <c r="AK618" s="401"/>
      <c r="AL618" s="398"/>
      <c r="AM618" s="398"/>
      <c r="AN618" s="398"/>
      <c r="AO618" s="401"/>
      <c r="AP618" s="398"/>
      <c r="AQ618" s="398"/>
      <c r="AR618" s="398"/>
      <c r="AS618" s="401"/>
      <c r="AT618" s="398"/>
      <c r="AU618" s="398"/>
      <c r="AV618" s="398"/>
      <c r="AW618" s="401"/>
      <c r="AX618" s="398"/>
      <c r="AY618" s="398"/>
      <c r="AZ618" s="398"/>
      <c r="BA618" s="401"/>
      <c r="BB618" s="401"/>
      <c r="BC618" s="296"/>
      <c r="BD618" s="296"/>
      <c r="BE618" s="296"/>
      <c r="BF618" s="296"/>
      <c r="BG618" s="296"/>
      <c r="BH618" s="296"/>
      <c r="BI618" s="296"/>
      <c r="BJ618" s="296"/>
      <c r="BK618" s="296"/>
      <c r="BL618" s="296"/>
      <c r="BM618" s="296"/>
      <c r="BN618" s="296"/>
      <c r="BO618" s="296"/>
      <c r="BP618" s="296"/>
      <c r="BR618" s="1379"/>
      <c r="BS618" s="1379"/>
      <c r="BT618" s="1379"/>
      <c r="BU618" s="1260"/>
    </row>
    <row r="619" spans="1:73" s="305" customFormat="1" ht="12" customHeight="1">
      <c r="A619" s="1510" t="s">
        <v>618</v>
      </c>
      <c r="B619" s="837"/>
      <c r="C619" s="837"/>
      <c r="D619" s="837"/>
      <c r="E619" s="838"/>
      <c r="F619" s="837"/>
      <c r="G619" s="837"/>
      <c r="H619" s="837"/>
      <c r="I619" s="838"/>
      <c r="J619" s="837"/>
      <c r="K619" s="837"/>
      <c r="L619" s="837"/>
      <c r="M619" s="838"/>
      <c r="N619" s="836"/>
      <c r="O619" s="836"/>
      <c r="P619" s="836"/>
      <c r="Q619" s="1041"/>
      <c r="R619" s="836"/>
      <c r="S619" s="836"/>
      <c r="T619" s="836"/>
      <c r="U619" s="1041"/>
      <c r="V619" s="836"/>
      <c r="W619" s="836"/>
      <c r="X619" s="836"/>
      <c r="Y619" s="838"/>
      <c r="Z619" s="836"/>
      <c r="AA619" s="836"/>
      <c r="AB619" s="836"/>
      <c r="AC619" s="1041"/>
      <c r="AD619" s="836"/>
      <c r="AE619" s="836"/>
      <c r="AF619" s="836"/>
      <c r="AG619" s="1041"/>
      <c r="AH619" s="398"/>
      <c r="AI619" s="398"/>
      <c r="AJ619" s="398"/>
      <c r="AK619" s="401"/>
      <c r="AL619" s="398"/>
      <c r="AM619" s="398"/>
      <c r="AN619" s="398"/>
      <c r="AO619" s="401"/>
      <c r="AP619" s="398"/>
      <c r="AQ619" s="398"/>
      <c r="AR619" s="398"/>
      <c r="AS619" s="401"/>
      <c r="AT619" s="398"/>
      <c r="AU619" s="398"/>
      <c r="AV619" s="398"/>
      <c r="AW619" s="401"/>
      <c r="AX619" s="398"/>
      <c r="AY619" s="398"/>
      <c r="AZ619" s="398"/>
      <c r="BA619" s="401"/>
      <c r="BB619" s="401"/>
      <c r="BC619" s="296"/>
      <c r="BD619" s="296"/>
      <c r="BE619" s="296"/>
      <c r="BF619" s="296"/>
      <c r="BG619" s="296"/>
      <c r="BH619" s="296"/>
      <c r="BI619" s="296"/>
      <c r="BJ619" s="296"/>
      <c r="BK619" s="1706"/>
      <c r="BL619" s="1715">
        <v>1.6</v>
      </c>
      <c r="BM619" s="1715"/>
      <c r="BN619" s="296"/>
      <c r="BO619" s="296"/>
      <c r="BP619" s="296"/>
      <c r="BR619" s="1379"/>
      <c r="BS619" s="1379"/>
      <c r="BT619" s="1379"/>
      <c r="BU619" s="1260"/>
    </row>
    <row r="620" spans="1:73" s="305" customFormat="1" ht="12" customHeight="1">
      <c r="A620" s="1510" t="s">
        <v>606</v>
      </c>
      <c r="B620" s="837"/>
      <c r="C620" s="837"/>
      <c r="D620" s="837"/>
      <c r="E620" s="838"/>
      <c r="F620" s="837"/>
      <c r="G620" s="837"/>
      <c r="H620" s="837"/>
      <c r="I620" s="838"/>
      <c r="J620" s="837"/>
      <c r="K620" s="837"/>
      <c r="L620" s="837"/>
      <c r="M620" s="838"/>
      <c r="N620" s="836"/>
      <c r="O620" s="836"/>
      <c r="P620" s="836"/>
      <c r="Q620" s="1041"/>
      <c r="R620" s="836"/>
      <c r="S620" s="836"/>
      <c r="T620" s="836"/>
      <c r="U620" s="1041"/>
      <c r="V620" s="836"/>
      <c r="W620" s="836"/>
      <c r="X620" s="836"/>
      <c r="Y620" s="838"/>
      <c r="Z620" s="836"/>
      <c r="AA620" s="836"/>
      <c r="AB620" s="836"/>
      <c r="AC620" s="1041"/>
      <c r="AD620" s="836"/>
      <c r="AE620" s="836"/>
      <c r="AF620" s="836"/>
      <c r="AG620" s="1041"/>
      <c r="AH620" s="398"/>
      <c r="AI620" s="398"/>
      <c r="AJ620" s="398"/>
      <c r="AK620" s="401"/>
      <c r="AL620" s="398"/>
      <c r="AM620" s="398"/>
      <c r="AN620" s="398"/>
      <c r="AO620" s="401"/>
      <c r="AP620" s="398"/>
      <c r="AQ620" s="398"/>
      <c r="AR620" s="398"/>
      <c r="AS620" s="401"/>
      <c r="AT620" s="398"/>
      <c r="AU620" s="398"/>
      <c r="AV620" s="398"/>
      <c r="AW620" s="401"/>
      <c r="AX620" s="398"/>
      <c r="AY620" s="398"/>
      <c r="AZ620" s="398"/>
      <c r="BA620" s="401"/>
      <c r="BB620" s="401"/>
      <c r="BC620" s="296"/>
      <c r="BD620" s="296"/>
      <c r="BE620" s="296"/>
      <c r="BF620" s="296"/>
      <c r="BG620" s="296"/>
      <c r="BH620" s="296"/>
      <c r="BI620" s="296"/>
      <c r="BJ620" s="1041">
        <f>+BK620-1%</f>
        <v>0.73</v>
      </c>
      <c r="BK620" s="1041">
        <f>+BL620-3%</f>
        <v>0.74</v>
      </c>
      <c r="BL620" s="1045">
        <v>0.77</v>
      </c>
      <c r="BM620" s="1045">
        <v>0.77</v>
      </c>
      <c r="BN620" s="296"/>
      <c r="BO620" s="296"/>
      <c r="BP620" s="296"/>
      <c r="BR620" s="1379"/>
      <c r="BS620" s="1379"/>
      <c r="BT620" s="1379"/>
      <c r="BU620" s="1260"/>
    </row>
    <row r="621" spans="1:73" s="305" customFormat="1" ht="12" customHeight="1">
      <c r="A621" s="1510" t="s">
        <v>607</v>
      </c>
      <c r="B621" s="837"/>
      <c r="C621" s="837"/>
      <c r="D621" s="837"/>
      <c r="E621" s="838"/>
      <c r="F621" s="837"/>
      <c r="G621" s="837"/>
      <c r="H621" s="837"/>
      <c r="I621" s="838"/>
      <c r="J621" s="837"/>
      <c r="K621" s="837"/>
      <c r="L621" s="837"/>
      <c r="M621" s="838"/>
      <c r="N621" s="836"/>
      <c r="O621" s="836"/>
      <c r="P621" s="836"/>
      <c r="Q621" s="1041"/>
      <c r="R621" s="836"/>
      <c r="S621" s="836"/>
      <c r="T621" s="836"/>
      <c r="U621" s="1041"/>
      <c r="V621" s="836"/>
      <c r="W621" s="836"/>
      <c r="X621" s="836"/>
      <c r="Y621" s="838"/>
      <c r="Z621" s="836"/>
      <c r="AA621" s="836"/>
      <c r="AB621" s="836"/>
      <c r="AC621" s="1041"/>
      <c r="AD621" s="836"/>
      <c r="AE621" s="836"/>
      <c r="AF621" s="836"/>
      <c r="AG621" s="1041"/>
      <c r="AH621" s="398"/>
      <c r="AI621" s="398"/>
      <c r="AJ621" s="398"/>
      <c r="AK621" s="401"/>
      <c r="AL621" s="398"/>
      <c r="AM621" s="398"/>
      <c r="AN621" s="398"/>
      <c r="AO621" s="401"/>
      <c r="AP621" s="398"/>
      <c r="AQ621" s="398"/>
      <c r="AR621" s="398"/>
      <c r="AS621" s="401"/>
      <c r="AT621" s="398"/>
      <c r="AU621" s="398"/>
      <c r="AV621" s="398"/>
      <c r="AW621" s="401"/>
      <c r="AX621" s="398"/>
      <c r="AY621" s="398"/>
      <c r="AZ621" s="398"/>
      <c r="BA621" s="401"/>
      <c r="BB621" s="401"/>
      <c r="BC621" s="296"/>
      <c r="BD621" s="296"/>
      <c r="BE621" s="296"/>
      <c r="BF621" s="296"/>
      <c r="BG621" s="296"/>
      <c r="BH621" s="296"/>
      <c r="BI621" s="296"/>
      <c r="BJ621" s="296"/>
      <c r="BK621" s="1045">
        <v>-0.02</v>
      </c>
      <c r="BL621" s="1045">
        <v>0.01</v>
      </c>
      <c r="BM621" s="1045"/>
      <c r="BN621" s="296"/>
      <c r="BO621" s="296"/>
      <c r="BP621" s="296"/>
      <c r="BR621" s="1379"/>
      <c r="BS621" s="1379"/>
      <c r="BT621" s="1379"/>
      <c r="BU621" s="1260"/>
    </row>
    <row r="622" spans="1:73" s="305" customFormat="1" ht="12" customHeight="1">
      <c r="A622" s="1510" t="s">
        <v>601</v>
      </c>
      <c r="B622" s="837"/>
      <c r="C622" s="837"/>
      <c r="D622" s="837"/>
      <c r="E622" s="838"/>
      <c r="F622" s="837"/>
      <c r="G622" s="837"/>
      <c r="H622" s="837"/>
      <c r="I622" s="838"/>
      <c r="J622" s="837"/>
      <c r="K622" s="837"/>
      <c r="L622" s="837"/>
      <c r="M622" s="838"/>
      <c r="N622" s="836"/>
      <c r="O622" s="836"/>
      <c r="P622" s="836"/>
      <c r="Q622" s="1041"/>
      <c r="R622" s="836"/>
      <c r="S622" s="836"/>
      <c r="T622" s="836"/>
      <c r="U622" s="1041"/>
      <c r="V622" s="836"/>
      <c r="W622" s="836"/>
      <c r="X622" s="836"/>
      <c r="Y622" s="838"/>
      <c r="Z622" s="836"/>
      <c r="AA622" s="836"/>
      <c r="AB622" s="836"/>
      <c r="AC622" s="1041"/>
      <c r="AD622" s="836"/>
      <c r="AE622" s="836"/>
      <c r="AF622" s="836"/>
      <c r="AG622" s="1041"/>
      <c r="AH622" s="398"/>
      <c r="AI622" s="398"/>
      <c r="AJ622" s="398"/>
      <c r="AK622" s="401"/>
      <c r="AL622" s="398"/>
      <c r="AM622" s="398"/>
      <c r="AN622" s="398"/>
      <c r="AO622" s="401"/>
      <c r="AP622" s="398"/>
      <c r="AQ622" s="398"/>
      <c r="AR622" s="398"/>
      <c r="AS622" s="401"/>
      <c r="AT622" s="398"/>
      <c r="AU622" s="398"/>
      <c r="AV622" s="398"/>
      <c r="AW622" s="401"/>
      <c r="AX622" s="398"/>
      <c r="AY622" s="398"/>
      <c r="AZ622" s="398"/>
      <c r="BA622" s="401"/>
      <c r="BB622" s="401"/>
      <c r="BC622" s="296"/>
      <c r="BD622" s="296"/>
      <c r="BE622" s="296"/>
      <c r="BF622" s="296"/>
      <c r="BG622" s="296"/>
      <c r="BH622" s="296"/>
      <c r="BI622" s="296"/>
      <c r="BJ622" s="296"/>
      <c r="BK622" s="1045"/>
      <c r="BL622" s="1045">
        <v>0.12</v>
      </c>
      <c r="BM622" s="1045" t="s">
        <v>726</v>
      </c>
      <c r="BN622" s="296"/>
      <c r="BO622" s="296"/>
      <c r="BP622" s="296"/>
      <c r="BR622" s="1379"/>
      <c r="BS622" s="1379"/>
      <c r="BT622" s="1379"/>
      <c r="BU622" s="1260"/>
    </row>
    <row r="623" spans="1:73" s="305" customFormat="1" ht="12" customHeight="1">
      <c r="A623" s="1510" t="s">
        <v>602</v>
      </c>
      <c r="B623" s="837"/>
      <c r="C623" s="837"/>
      <c r="D623" s="837"/>
      <c r="E623" s="838"/>
      <c r="F623" s="837"/>
      <c r="G623" s="837"/>
      <c r="H623" s="837"/>
      <c r="I623" s="838"/>
      <c r="J623" s="837"/>
      <c r="K623" s="837"/>
      <c r="L623" s="837"/>
      <c r="M623" s="838"/>
      <c r="N623" s="836"/>
      <c r="O623" s="836"/>
      <c r="P623" s="836"/>
      <c r="Q623" s="1041"/>
      <c r="R623" s="836"/>
      <c r="S623" s="836"/>
      <c r="T623" s="836"/>
      <c r="U623" s="1041"/>
      <c r="V623" s="836"/>
      <c r="W623" s="836"/>
      <c r="X623" s="836"/>
      <c r="Y623" s="838"/>
      <c r="Z623" s="836"/>
      <c r="AA623" s="836"/>
      <c r="AB623" s="836"/>
      <c r="AC623" s="1041"/>
      <c r="AD623" s="836"/>
      <c r="AE623" s="836"/>
      <c r="AF623" s="836"/>
      <c r="AG623" s="1041"/>
      <c r="AH623" s="398"/>
      <c r="AI623" s="398"/>
      <c r="AJ623" s="398"/>
      <c r="AK623" s="401"/>
      <c r="AL623" s="398"/>
      <c r="AM623" s="398"/>
      <c r="AN623" s="398"/>
      <c r="AO623" s="401"/>
      <c r="AP623" s="398"/>
      <c r="AQ623" s="398"/>
      <c r="AR623" s="398"/>
      <c r="AS623" s="401"/>
      <c r="AT623" s="398"/>
      <c r="AU623" s="398"/>
      <c r="AV623" s="398"/>
      <c r="AW623" s="401"/>
      <c r="AX623" s="398"/>
      <c r="AY623" s="398"/>
      <c r="AZ623" s="398"/>
      <c r="BA623" s="401"/>
      <c r="BB623" s="401"/>
      <c r="BC623" s="296"/>
      <c r="BD623" s="296"/>
      <c r="BE623" s="296"/>
      <c r="BF623" s="296"/>
      <c r="BG623" s="296"/>
      <c r="BH623" s="296"/>
      <c r="BI623" s="296"/>
      <c r="BJ623" s="296"/>
      <c r="BK623" s="1045"/>
      <c r="BL623" s="1045">
        <v>2</v>
      </c>
      <c r="BM623" s="1045"/>
      <c r="BN623" s="296"/>
      <c r="BO623" s="296"/>
      <c r="BP623" s="296"/>
      <c r="BR623" s="1379"/>
      <c r="BS623" s="1379"/>
      <c r="BT623" s="1379"/>
      <c r="BU623" s="1260"/>
    </row>
    <row r="624" spans="1:73" s="305" customFormat="1" ht="12" customHeight="1">
      <c r="A624" s="1510" t="s">
        <v>534</v>
      </c>
      <c r="B624" s="837"/>
      <c r="C624" s="837"/>
      <c r="D624" s="837"/>
      <c r="E624" s="838"/>
      <c r="F624" s="837"/>
      <c r="G624" s="837"/>
      <c r="H624" s="837"/>
      <c r="I624" s="838"/>
      <c r="J624" s="837"/>
      <c r="K624" s="837"/>
      <c r="L624" s="837"/>
      <c r="M624" s="838"/>
      <c r="N624" s="836"/>
      <c r="O624" s="836"/>
      <c r="P624" s="836"/>
      <c r="Q624" s="1041"/>
      <c r="R624" s="836"/>
      <c r="S624" s="836"/>
      <c r="T624" s="836"/>
      <c r="U624" s="1041"/>
      <c r="V624" s="836"/>
      <c r="W624" s="836"/>
      <c r="X624" s="836"/>
      <c r="Y624" s="838"/>
      <c r="Z624" s="836"/>
      <c r="AA624" s="836"/>
      <c r="AB624" s="836"/>
      <c r="AC624" s="1041"/>
      <c r="AD624" s="836"/>
      <c r="AE624" s="836"/>
      <c r="AF624" s="836"/>
      <c r="AG624" s="1041"/>
      <c r="AH624" s="398"/>
      <c r="AI624" s="398"/>
      <c r="AJ624" s="398"/>
      <c r="AK624" s="1045"/>
      <c r="AL624" s="398"/>
      <c r="AM624" s="398"/>
      <c r="AN624" s="398"/>
      <c r="AO624" s="401"/>
      <c r="AP624" s="398"/>
      <c r="AQ624" s="398"/>
      <c r="AR624" s="398"/>
      <c r="AS624" s="401"/>
      <c r="AT624" s="398"/>
      <c r="AU624" s="398"/>
      <c r="AV624" s="398"/>
      <c r="AW624" s="401"/>
      <c r="AX624" s="398"/>
      <c r="AY624" s="398"/>
      <c r="AZ624" s="398"/>
      <c r="BA624" s="401"/>
      <c r="BB624" s="401"/>
      <c r="BC624" s="296"/>
      <c r="BD624" s="296"/>
      <c r="BE624" s="296"/>
      <c r="BF624" s="296"/>
      <c r="BG624" s="296"/>
      <c r="BH624" s="296"/>
      <c r="BI624" s="296"/>
      <c r="BJ624" s="296"/>
      <c r="BK624" s="1045"/>
      <c r="BL624" s="1045">
        <v>0.75</v>
      </c>
      <c r="BM624" s="1045">
        <v>0.3</v>
      </c>
      <c r="BN624" s="296"/>
      <c r="BO624" s="296"/>
      <c r="BP624" s="296"/>
      <c r="BR624" s="1379"/>
      <c r="BS624" s="1379"/>
      <c r="BT624" s="1379"/>
      <c r="BU624" s="1260"/>
    </row>
    <row r="625" spans="1:73" s="305" customFormat="1" ht="12" customHeight="1">
      <c r="A625" s="1510" t="s">
        <v>535</v>
      </c>
      <c r="B625" s="837"/>
      <c r="C625" s="837"/>
      <c r="D625" s="837"/>
      <c r="E625" s="838"/>
      <c r="F625" s="837"/>
      <c r="G625" s="837"/>
      <c r="H625" s="837"/>
      <c r="I625" s="838"/>
      <c r="J625" s="837"/>
      <c r="K625" s="837"/>
      <c r="L625" s="837"/>
      <c r="M625" s="838"/>
      <c r="N625" s="836"/>
      <c r="O625" s="836"/>
      <c r="P625" s="836"/>
      <c r="Q625" s="1041"/>
      <c r="R625" s="836"/>
      <c r="S625" s="836"/>
      <c r="T625" s="836"/>
      <c r="U625" s="1041"/>
      <c r="V625" s="836"/>
      <c r="W625" s="836"/>
      <c r="X625" s="836"/>
      <c r="Y625" s="838"/>
      <c r="Z625" s="836"/>
      <c r="AA625" s="836"/>
      <c r="AB625" s="836"/>
      <c r="AC625" s="1041"/>
      <c r="AD625" s="836"/>
      <c r="AE625" s="836"/>
      <c r="AF625" s="836"/>
      <c r="AG625" s="1041"/>
      <c r="AH625" s="398"/>
      <c r="AI625" s="398"/>
      <c r="AJ625" s="398"/>
      <c r="AK625" s="1045"/>
      <c r="AL625" s="398"/>
      <c r="AM625" s="398"/>
      <c r="AN625" s="398"/>
      <c r="AO625" s="401"/>
      <c r="AP625" s="398"/>
      <c r="AQ625" s="398"/>
      <c r="AR625" s="398"/>
      <c r="AS625" s="401"/>
      <c r="AT625" s="398"/>
      <c r="AU625" s="398"/>
      <c r="AV625" s="398"/>
      <c r="AW625" s="401"/>
      <c r="AX625" s="398"/>
      <c r="AY625" s="398"/>
      <c r="AZ625" s="398"/>
      <c r="BA625" s="401"/>
      <c r="BB625" s="401"/>
      <c r="BC625" s="296"/>
      <c r="BD625" s="296"/>
      <c r="BE625" s="296"/>
      <c r="BF625" s="296"/>
      <c r="BG625" s="296"/>
      <c r="BH625" s="296"/>
      <c r="BI625" s="296"/>
      <c r="BJ625" s="296"/>
      <c r="BK625" s="1045"/>
      <c r="BL625" s="1045">
        <v>0.22</v>
      </c>
      <c r="BM625" s="1045">
        <v>0.22</v>
      </c>
      <c r="BN625" s="296"/>
      <c r="BO625" s="296"/>
      <c r="BP625" s="296"/>
      <c r="BR625" s="1379"/>
      <c r="BS625" s="1379"/>
      <c r="BT625" s="1379"/>
      <c r="BU625" s="1260"/>
    </row>
    <row r="626" spans="1:73" s="305" customFormat="1" ht="12" customHeight="1">
      <c r="A626" s="1510" t="s">
        <v>536</v>
      </c>
      <c r="B626" s="837"/>
      <c r="C626" s="837"/>
      <c r="D626" s="837"/>
      <c r="E626" s="838"/>
      <c r="F626" s="837"/>
      <c r="G626" s="837"/>
      <c r="H626" s="837"/>
      <c r="I626" s="838"/>
      <c r="J626" s="837"/>
      <c r="K626" s="837"/>
      <c r="L626" s="837"/>
      <c r="M626" s="838"/>
      <c r="N626" s="836"/>
      <c r="O626" s="836"/>
      <c r="P626" s="836"/>
      <c r="Q626" s="1041"/>
      <c r="R626" s="836"/>
      <c r="S626" s="836"/>
      <c r="T626" s="836"/>
      <c r="U626" s="1041"/>
      <c r="V626" s="836"/>
      <c r="W626" s="836"/>
      <c r="X626" s="836"/>
      <c r="Y626" s="838"/>
      <c r="Z626" s="836"/>
      <c r="AA626" s="836"/>
      <c r="AB626" s="836"/>
      <c r="AC626" s="1041"/>
      <c r="AD626" s="836"/>
      <c r="AE626" s="836"/>
      <c r="AF626" s="836"/>
      <c r="AG626" s="1041"/>
      <c r="AH626" s="398"/>
      <c r="AI626" s="398"/>
      <c r="AJ626" s="398"/>
      <c r="AK626" s="1045"/>
      <c r="AL626" s="398"/>
      <c r="AM626" s="398"/>
      <c r="AN626" s="398"/>
      <c r="AO626" s="401"/>
      <c r="AP626" s="398"/>
      <c r="AQ626" s="398"/>
      <c r="AR626" s="398"/>
      <c r="AS626" s="401"/>
      <c r="AT626" s="398"/>
      <c r="AU626" s="398"/>
      <c r="AV626" s="398"/>
      <c r="AW626" s="401"/>
      <c r="AX626" s="398"/>
      <c r="AY626" s="398"/>
      <c r="AZ626" s="398"/>
      <c r="BA626" s="401"/>
      <c r="BB626" s="401"/>
      <c r="BC626" s="296"/>
      <c r="BD626" s="296"/>
      <c r="BE626" s="296"/>
      <c r="BF626" s="296"/>
      <c r="BG626" s="296"/>
      <c r="BH626" s="296"/>
      <c r="BI626" s="296"/>
      <c r="BJ626" s="296"/>
      <c r="BK626" s="1045"/>
      <c r="BL626" s="1045">
        <v>0.35</v>
      </c>
      <c r="BM626" s="1045">
        <v>0.38</v>
      </c>
      <c r="BN626" s="296"/>
      <c r="BO626" s="296"/>
      <c r="BP626" s="296"/>
      <c r="BR626" s="1379"/>
      <c r="BS626" s="1379"/>
      <c r="BT626" s="1379"/>
      <c r="BU626" s="1260"/>
    </row>
    <row r="627" spans="1:73" s="305" customFormat="1" ht="12" customHeight="1">
      <c r="A627" s="1510" t="s">
        <v>537</v>
      </c>
      <c r="B627" s="837"/>
      <c r="C627" s="837"/>
      <c r="D627" s="837"/>
      <c r="E627" s="838"/>
      <c r="F627" s="837"/>
      <c r="G627" s="837"/>
      <c r="H627" s="837"/>
      <c r="I627" s="838"/>
      <c r="J627" s="837"/>
      <c r="K627" s="837"/>
      <c r="L627" s="837"/>
      <c r="M627" s="838"/>
      <c r="N627" s="836"/>
      <c r="O627" s="836"/>
      <c r="P627" s="836"/>
      <c r="Q627" s="1041"/>
      <c r="R627" s="836"/>
      <c r="S627" s="836"/>
      <c r="T627" s="836"/>
      <c r="U627" s="1041"/>
      <c r="V627" s="836"/>
      <c r="W627" s="836"/>
      <c r="X627" s="836"/>
      <c r="Y627" s="838"/>
      <c r="Z627" s="836"/>
      <c r="AA627" s="836"/>
      <c r="AB627" s="836"/>
      <c r="AC627" s="1041"/>
      <c r="AD627" s="836"/>
      <c r="AE627" s="836"/>
      <c r="AF627" s="836"/>
      <c r="AG627" s="1041"/>
      <c r="AH627" s="398"/>
      <c r="AI627" s="398"/>
      <c r="AJ627" s="398"/>
      <c r="AK627" s="1045"/>
      <c r="AL627" s="398"/>
      <c r="AM627" s="398"/>
      <c r="AN627" s="398"/>
      <c r="AO627" s="401"/>
      <c r="AP627" s="398"/>
      <c r="AQ627" s="398"/>
      <c r="AR627" s="398"/>
      <c r="AS627" s="401"/>
      <c r="AT627" s="398"/>
      <c r="AU627" s="398"/>
      <c r="AV627" s="398"/>
      <c r="AW627" s="401"/>
      <c r="AX627" s="398"/>
      <c r="AY627" s="398"/>
      <c r="AZ627" s="398"/>
      <c r="BA627" s="401"/>
      <c r="BB627" s="401"/>
      <c r="BC627" s="296"/>
      <c r="BD627" s="296"/>
      <c r="BE627" s="296"/>
      <c r="BF627" s="296"/>
      <c r="BG627" s="296"/>
      <c r="BH627" s="296"/>
      <c r="BI627" s="296"/>
      <c r="BJ627" s="296"/>
      <c r="BK627" s="1045"/>
      <c r="BL627" s="1045">
        <v>0.68</v>
      </c>
      <c r="BM627" s="1045"/>
      <c r="BN627" s="296"/>
      <c r="BO627" s="296"/>
      <c r="BP627" s="296"/>
      <c r="BR627" s="1379"/>
      <c r="BS627" s="1379"/>
      <c r="BT627" s="1379"/>
      <c r="BU627" s="1260"/>
    </row>
    <row r="628" spans="1:73" s="305" customFormat="1" ht="12" customHeight="1">
      <c r="A628" s="1510" t="s">
        <v>538</v>
      </c>
      <c r="B628" s="837"/>
      <c r="C628" s="837"/>
      <c r="D628" s="837"/>
      <c r="E628" s="838"/>
      <c r="F628" s="837"/>
      <c r="G628" s="837"/>
      <c r="H628" s="837"/>
      <c r="I628" s="838"/>
      <c r="J628" s="837"/>
      <c r="K628" s="837"/>
      <c r="L628" s="837"/>
      <c r="M628" s="838"/>
      <c r="N628" s="836"/>
      <c r="O628" s="836"/>
      <c r="P628" s="836"/>
      <c r="Q628" s="1041"/>
      <c r="R628" s="836"/>
      <c r="S628" s="836"/>
      <c r="T628" s="836"/>
      <c r="U628" s="1041"/>
      <c r="V628" s="836"/>
      <c r="W628" s="836"/>
      <c r="X628" s="836"/>
      <c r="Y628" s="838"/>
      <c r="Z628" s="836"/>
      <c r="AA628" s="836"/>
      <c r="AB628" s="836"/>
      <c r="AC628" s="1041"/>
      <c r="AD628" s="836"/>
      <c r="AE628" s="836"/>
      <c r="AF628" s="836"/>
      <c r="AG628" s="1041"/>
      <c r="AH628" s="398"/>
      <c r="AI628" s="398"/>
      <c r="AJ628" s="398"/>
      <c r="AK628" s="1045"/>
      <c r="AL628" s="398"/>
      <c r="AM628" s="398"/>
      <c r="AN628" s="398"/>
      <c r="AO628" s="401"/>
      <c r="AP628" s="398"/>
      <c r="AQ628" s="398"/>
      <c r="AR628" s="398"/>
      <c r="AS628" s="401"/>
      <c r="AT628" s="398"/>
      <c r="AU628" s="398"/>
      <c r="AV628" s="398"/>
      <c r="AW628" s="401"/>
      <c r="AX628" s="398"/>
      <c r="AY628" s="398"/>
      <c r="AZ628" s="398"/>
      <c r="BA628" s="401"/>
      <c r="BB628" s="401"/>
      <c r="BC628" s="296"/>
      <c r="BD628" s="296"/>
      <c r="BE628" s="296"/>
      <c r="BF628" s="296"/>
      <c r="BG628" s="296"/>
      <c r="BH628" s="296"/>
      <c r="BI628" s="296"/>
      <c r="BJ628" s="296"/>
      <c r="BK628" s="1045"/>
      <c r="BL628" s="1045">
        <v>0.63</v>
      </c>
      <c r="BM628" s="1045"/>
      <c r="BN628" s="296"/>
      <c r="BO628" s="296"/>
      <c r="BP628" s="296"/>
      <c r="BR628" s="1379"/>
      <c r="BS628" s="1379"/>
      <c r="BT628" s="1379"/>
      <c r="BU628" s="1260"/>
    </row>
    <row r="629" spans="1:73" s="304" customFormat="1" ht="11.25" customHeight="1">
      <c r="A629" s="1548" t="s">
        <v>613</v>
      </c>
      <c r="B629" s="836"/>
      <c r="C629" s="837"/>
      <c r="D629" s="837"/>
      <c r="E629" s="838"/>
      <c r="F629" s="837"/>
      <c r="G629" s="837"/>
      <c r="H629" s="837"/>
      <c r="I629" s="838"/>
      <c r="J629" s="837"/>
      <c r="K629" s="837"/>
      <c r="L629" s="837"/>
      <c r="M629" s="838"/>
      <c r="N629" s="836"/>
      <c r="O629" s="836"/>
      <c r="P629" s="836"/>
      <c r="Q629" s="1041"/>
      <c r="R629" s="836"/>
      <c r="S629" s="1294"/>
      <c r="T629" s="1294"/>
      <c r="U629" s="1557"/>
      <c r="V629" s="1294"/>
      <c r="W629" s="1294"/>
      <c r="X629" s="1294"/>
      <c r="Y629" s="1557"/>
      <c r="Z629" s="1294"/>
      <c r="AA629" s="1294"/>
      <c r="AB629" s="1294"/>
      <c r="AC629" s="1557"/>
      <c r="AD629" s="1294"/>
      <c r="AE629" s="1294"/>
      <c r="AF629" s="1294"/>
      <c r="AG629" s="1557"/>
      <c r="AH629" s="1294"/>
      <c r="AI629" s="1294"/>
      <c r="AJ629" s="1294"/>
      <c r="AK629" s="1557"/>
      <c r="AL629" s="1294"/>
      <c r="AM629" s="1294"/>
      <c r="AN629" s="398"/>
      <c r="AO629" s="401"/>
      <c r="AP629" s="1294"/>
      <c r="AQ629" s="398"/>
      <c r="AR629" s="398"/>
      <c r="AS629" s="401"/>
      <c r="AT629" s="398"/>
      <c r="AU629" s="398"/>
      <c r="AV629" s="398"/>
      <c r="AW629" s="401"/>
      <c r="AX629" s="398"/>
      <c r="AY629" s="398"/>
      <c r="AZ629" s="398"/>
      <c r="BA629" s="401"/>
      <c r="BB629" s="398"/>
      <c r="BC629" s="1674"/>
      <c r="BD629" s="1674"/>
      <c r="BE629" s="1674"/>
      <c r="BF629" s="1674"/>
      <c r="BG629" s="1674"/>
      <c r="BH629" s="1674"/>
      <c r="BI629" s="1674"/>
      <c r="BJ629" s="1546"/>
      <c r="BK629" s="1676"/>
      <c r="BL629" s="1676">
        <v>22000</v>
      </c>
      <c r="BM629" s="1676">
        <v>22000</v>
      </c>
      <c r="BN629" s="1674"/>
      <c r="BO629" s="1674"/>
      <c r="BP629" s="1674"/>
      <c r="BR629" s="1483"/>
      <c r="BS629" s="1483"/>
      <c r="BT629" s="1483"/>
      <c r="BU629" s="1675"/>
    </row>
    <row r="630" spans="1:73" s="304" customFormat="1" ht="11.25" customHeight="1">
      <c r="A630" s="1548" t="s">
        <v>614</v>
      </c>
      <c r="B630" s="836"/>
      <c r="C630" s="837"/>
      <c r="D630" s="837"/>
      <c r="E630" s="838"/>
      <c r="F630" s="837"/>
      <c r="G630" s="837"/>
      <c r="H630" s="837"/>
      <c r="I630" s="838"/>
      <c r="J630" s="837"/>
      <c r="K630" s="837"/>
      <c r="L630" s="837"/>
      <c r="M630" s="838"/>
      <c r="N630" s="836"/>
      <c r="O630" s="836"/>
      <c r="P630" s="836"/>
      <c r="Q630" s="1041"/>
      <c r="R630" s="836"/>
      <c r="S630" s="1294"/>
      <c r="T630" s="1294"/>
      <c r="U630" s="1557"/>
      <c r="V630" s="1294"/>
      <c r="W630" s="1294"/>
      <c r="X630" s="1294"/>
      <c r="Y630" s="1557"/>
      <c r="Z630" s="1294"/>
      <c r="AA630" s="1294"/>
      <c r="AB630" s="1294"/>
      <c r="AC630" s="1557"/>
      <c r="AD630" s="1294"/>
      <c r="AE630" s="1294"/>
      <c r="AF630" s="1294"/>
      <c r="AG630" s="1557"/>
      <c r="AH630" s="1294"/>
      <c r="AI630" s="1294"/>
      <c r="AJ630" s="1294"/>
      <c r="AK630" s="1557"/>
      <c r="AL630" s="1294"/>
      <c r="AM630" s="1294"/>
      <c r="AN630" s="398"/>
      <c r="AO630" s="401"/>
      <c r="AP630" s="1294"/>
      <c r="AQ630" s="398"/>
      <c r="AR630" s="398"/>
      <c r="AS630" s="401"/>
      <c r="AT630" s="398"/>
      <c r="AU630" s="398"/>
      <c r="AV630" s="398"/>
      <c r="AW630" s="401"/>
      <c r="AX630" s="398"/>
      <c r="AY630" s="398"/>
      <c r="AZ630" s="398"/>
      <c r="BA630" s="401"/>
      <c r="BB630" s="401"/>
      <c r="BC630" s="1119"/>
      <c r="BD630" s="1674"/>
      <c r="BE630" s="1674"/>
      <c r="BF630" s="1674"/>
      <c r="BG630" s="1674"/>
      <c r="BH630" s="1674"/>
      <c r="BI630" s="1674"/>
      <c r="BJ630" s="1546"/>
      <c r="BK630" s="1676"/>
      <c r="BL630" s="1676">
        <v>5000</v>
      </c>
      <c r="BM630" s="1676">
        <v>5000</v>
      </c>
      <c r="BN630" s="1674"/>
      <c r="BO630" s="1674"/>
      <c r="BP630" s="1674"/>
      <c r="BR630" s="1483"/>
      <c r="BS630" s="1483"/>
      <c r="BT630" s="1483"/>
      <c r="BU630" s="1675"/>
    </row>
    <row r="631" spans="1:73" s="304" customFormat="1" ht="11.25" customHeight="1">
      <c r="A631" s="1548" t="s">
        <v>725</v>
      </c>
      <c r="B631" s="836"/>
      <c r="C631" s="837"/>
      <c r="D631" s="837"/>
      <c r="E631" s="838"/>
      <c r="F631" s="837"/>
      <c r="G631" s="837"/>
      <c r="H631" s="837"/>
      <c r="I631" s="838"/>
      <c r="J631" s="837"/>
      <c r="K631" s="837"/>
      <c r="L631" s="837"/>
      <c r="M631" s="838"/>
      <c r="N631" s="836"/>
      <c r="O631" s="836"/>
      <c r="P631" s="836"/>
      <c r="Q631" s="1041"/>
      <c r="R631" s="836"/>
      <c r="S631" s="1294"/>
      <c r="T631" s="1294"/>
      <c r="U631" s="1557"/>
      <c r="V631" s="1294"/>
      <c r="W631" s="1294"/>
      <c r="X631" s="1294"/>
      <c r="Y631" s="1557"/>
      <c r="Z631" s="1294"/>
      <c r="AA631" s="1294"/>
      <c r="AB631" s="1294"/>
      <c r="AC631" s="1557"/>
      <c r="AD631" s="1294"/>
      <c r="AE631" s="1294"/>
      <c r="AF631" s="1294"/>
      <c r="AG631" s="1557"/>
      <c r="AH631" s="1294"/>
      <c r="AI631" s="1294"/>
      <c r="AJ631" s="1294"/>
      <c r="AK631" s="1557"/>
      <c r="AL631" s="1294"/>
      <c r="AM631" s="1294"/>
      <c r="AN631" s="398"/>
      <c r="AO631" s="401"/>
      <c r="AP631" s="1294"/>
      <c r="AQ631" s="398"/>
      <c r="AR631" s="398"/>
      <c r="AS631" s="401"/>
      <c r="AT631" s="398"/>
      <c r="AU631" s="398"/>
      <c r="AV631" s="398"/>
      <c r="AW631" s="401"/>
      <c r="AX631" s="398"/>
      <c r="AY631" s="398"/>
      <c r="AZ631" s="398"/>
      <c r="BA631" s="401"/>
      <c r="BB631" s="401"/>
      <c r="BC631" s="1119"/>
      <c r="BD631" s="1674"/>
      <c r="BE631" s="1674"/>
      <c r="BF631" s="1674"/>
      <c r="BG631" s="1674"/>
      <c r="BH631" s="1674"/>
      <c r="BI631" s="1674"/>
      <c r="BJ631" s="1546"/>
      <c r="BK631" s="1676"/>
      <c r="BL631" s="1676"/>
      <c r="BM631" s="1676">
        <v>2000</v>
      </c>
      <c r="BN631" s="1674"/>
      <c r="BO631" s="1674"/>
      <c r="BP631" s="1674"/>
      <c r="BR631" s="1483"/>
      <c r="BS631" s="1483"/>
      <c r="BT631" s="1483"/>
      <c r="BU631" s="1675"/>
    </row>
    <row r="632" spans="1:73" s="304" customFormat="1" ht="11.25" customHeight="1">
      <c r="A632" s="1548" t="s">
        <v>615</v>
      </c>
      <c r="B632" s="836"/>
      <c r="C632" s="837"/>
      <c r="D632" s="837"/>
      <c r="E632" s="838"/>
      <c r="F632" s="837"/>
      <c r="G632" s="837"/>
      <c r="H632" s="837"/>
      <c r="I632" s="838"/>
      <c r="J632" s="837"/>
      <c r="K632" s="837"/>
      <c r="L632" s="837"/>
      <c r="M632" s="838"/>
      <c r="N632" s="836"/>
      <c r="O632" s="836"/>
      <c r="P632" s="836"/>
      <c r="Q632" s="1041"/>
      <c r="R632" s="836"/>
      <c r="S632" s="1294"/>
      <c r="T632" s="1294"/>
      <c r="U632" s="1557"/>
      <c r="V632" s="1294"/>
      <c r="W632" s="1294"/>
      <c r="X632" s="1294"/>
      <c r="Y632" s="1557"/>
      <c r="Z632" s="1294"/>
      <c r="AA632" s="1294"/>
      <c r="AB632" s="1294"/>
      <c r="AC632" s="1557"/>
      <c r="AD632" s="1294"/>
      <c r="AE632" s="1294"/>
      <c r="AF632" s="1294"/>
      <c r="AG632" s="1557"/>
      <c r="AH632" s="1294"/>
      <c r="AI632" s="1294"/>
      <c r="AJ632" s="1294"/>
      <c r="AK632" s="1557"/>
      <c r="AL632" s="1294"/>
      <c r="AM632" s="1294"/>
      <c r="AN632" s="398"/>
      <c r="AO632" s="401"/>
      <c r="AP632" s="1294"/>
      <c r="AQ632" s="398"/>
      <c r="AR632" s="398"/>
      <c r="AS632" s="401"/>
      <c r="AT632" s="398"/>
      <c r="AU632" s="398"/>
      <c r="AV632" s="398"/>
      <c r="AW632" s="401"/>
      <c r="AX632" s="398"/>
      <c r="AY632" s="398"/>
      <c r="AZ632" s="398"/>
      <c r="BA632" s="401"/>
      <c r="BB632" s="401"/>
      <c r="BC632" s="1119"/>
      <c r="BD632" s="1674"/>
      <c r="BE632" s="1674"/>
      <c r="BF632" s="1674"/>
      <c r="BG632" s="1674"/>
      <c r="BH632" s="1674"/>
      <c r="BI632" s="1674"/>
      <c r="BJ632" s="1546"/>
      <c r="BK632" s="1676"/>
      <c r="BL632" s="1676">
        <v>13000</v>
      </c>
      <c r="BM632" s="1676">
        <v>13000</v>
      </c>
      <c r="BN632" s="1674"/>
      <c r="BO632" s="1674"/>
      <c r="BP632" s="1674"/>
      <c r="BR632" s="1483"/>
      <c r="BS632" s="1483"/>
      <c r="BT632" s="1483"/>
      <c r="BU632" s="1675"/>
    </row>
    <row r="633" spans="1:73" s="304" customFormat="1" ht="11.25" customHeight="1">
      <c r="A633" s="1548" t="s">
        <v>623</v>
      </c>
      <c r="B633" s="836"/>
      <c r="C633" s="837"/>
      <c r="D633" s="837"/>
      <c r="E633" s="838"/>
      <c r="F633" s="837"/>
      <c r="G633" s="837"/>
      <c r="H633" s="837"/>
      <c r="I633" s="838"/>
      <c r="J633" s="837"/>
      <c r="K633" s="837"/>
      <c r="L633" s="837"/>
      <c r="M633" s="838"/>
      <c r="N633" s="836"/>
      <c r="O633" s="836"/>
      <c r="P633" s="836"/>
      <c r="Q633" s="1041"/>
      <c r="R633" s="836"/>
      <c r="S633" s="1294"/>
      <c r="T633" s="1294"/>
      <c r="U633" s="1557"/>
      <c r="V633" s="1294"/>
      <c r="W633" s="1294"/>
      <c r="X633" s="1294"/>
      <c r="Y633" s="1557"/>
      <c r="Z633" s="1294"/>
      <c r="AA633" s="1294"/>
      <c r="AB633" s="1294"/>
      <c r="AC633" s="1557"/>
      <c r="AD633" s="1294"/>
      <c r="AE633" s="1294"/>
      <c r="AF633" s="1294"/>
      <c r="AG633" s="1557"/>
      <c r="AH633" s="1294"/>
      <c r="AI633" s="1294"/>
      <c r="AJ633" s="1294"/>
      <c r="AK633" s="1557"/>
      <c r="AL633" s="1294"/>
      <c r="AM633" s="1294"/>
      <c r="AN633" s="398"/>
      <c r="AO633" s="401"/>
      <c r="AP633" s="1294"/>
      <c r="AQ633" s="398"/>
      <c r="AR633" s="398"/>
      <c r="AS633" s="401"/>
      <c r="AT633" s="398"/>
      <c r="AU633" s="398"/>
      <c r="AV633" s="398"/>
      <c r="AW633" s="401"/>
      <c r="AX633" s="398"/>
      <c r="AY633" s="398"/>
      <c r="AZ633" s="398"/>
      <c r="BA633" s="401"/>
      <c r="BB633" s="401"/>
      <c r="BC633" s="1119"/>
      <c r="BD633" s="1119"/>
      <c r="BE633" s="1119"/>
      <c r="BF633" s="1119"/>
      <c r="BG633" s="1119"/>
      <c r="BH633" s="1119"/>
      <c r="BI633" s="1119"/>
      <c r="BJ633" s="1546"/>
      <c r="BK633" s="1676"/>
      <c r="BL633" s="1676">
        <v>5000</v>
      </c>
      <c r="BM633" s="1676">
        <v>5000</v>
      </c>
      <c r="BN633" s="1119"/>
      <c r="BO633" s="1119"/>
      <c r="BP633" s="1119"/>
      <c r="BR633" s="1483"/>
      <c r="BS633" s="1483"/>
      <c r="BT633" s="1483"/>
      <c r="BU633" s="1675"/>
    </row>
    <row r="634" spans="1:73" s="304" customFormat="1" ht="11.25" customHeight="1">
      <c r="A634" s="1548" t="s">
        <v>619</v>
      </c>
      <c r="B634" s="836"/>
      <c r="C634" s="837"/>
      <c r="D634" s="837"/>
      <c r="E634" s="838"/>
      <c r="F634" s="837"/>
      <c r="G634" s="837"/>
      <c r="H634" s="837"/>
      <c r="I634" s="838"/>
      <c r="J634" s="837"/>
      <c r="K634" s="837"/>
      <c r="L634" s="837"/>
      <c r="M634" s="838"/>
      <c r="N634" s="836"/>
      <c r="O634" s="836"/>
      <c r="P634" s="836"/>
      <c r="Q634" s="1041"/>
      <c r="R634" s="836"/>
      <c r="S634" s="1294"/>
      <c r="T634" s="1294"/>
      <c r="U634" s="1557"/>
      <c r="V634" s="1294"/>
      <c r="W634" s="1294"/>
      <c r="X634" s="1294"/>
      <c r="Y634" s="1557"/>
      <c r="Z634" s="1294"/>
      <c r="AA634" s="1294"/>
      <c r="AB634" s="1294"/>
      <c r="AC634" s="1557"/>
      <c r="AD634" s="1294"/>
      <c r="AE634" s="1294"/>
      <c r="AF634" s="1294"/>
      <c r="AG634" s="1557"/>
      <c r="AH634" s="1294"/>
      <c r="AI634" s="1294"/>
      <c r="AJ634" s="1294"/>
      <c r="AK634" s="1557"/>
      <c r="AL634" s="1294"/>
      <c r="AM634" s="1294"/>
      <c r="AN634" s="398"/>
      <c r="AO634" s="401"/>
      <c r="AP634" s="1294"/>
      <c r="AQ634" s="398"/>
      <c r="AR634" s="398"/>
      <c r="AS634" s="401"/>
      <c r="AT634" s="398"/>
      <c r="AU634" s="398"/>
      <c r="AV634" s="398"/>
      <c r="AW634" s="401"/>
      <c r="AX634" s="398"/>
      <c r="AY634" s="398"/>
      <c r="AZ634" s="398"/>
      <c r="BA634" s="401"/>
      <c r="BB634" s="401"/>
      <c r="BC634" s="1119"/>
      <c r="BD634" s="1119"/>
      <c r="BE634" s="1119"/>
      <c r="BF634" s="1119"/>
      <c r="BG634" s="1119"/>
      <c r="BH634" s="1119"/>
      <c r="BI634" s="1119"/>
      <c r="BJ634" s="1546"/>
      <c r="BK634" s="1676"/>
      <c r="BL634" s="1756">
        <v>0.6</v>
      </c>
      <c r="BM634" s="1756"/>
      <c r="BN634" s="1119"/>
      <c r="BO634" s="1119"/>
      <c r="BP634" s="1119"/>
      <c r="BR634" s="1483"/>
      <c r="BS634" s="1483"/>
      <c r="BT634" s="1483"/>
      <c r="BU634" s="1675"/>
    </row>
    <row r="635" spans="1:73" s="305" customFormat="1" ht="12" customHeight="1">
      <c r="A635" s="1510"/>
      <c r="B635" s="837"/>
      <c r="C635" s="837"/>
      <c r="D635" s="837"/>
      <c r="E635" s="838"/>
      <c r="F635" s="837"/>
      <c r="G635" s="837"/>
      <c r="H635" s="837"/>
      <c r="I635" s="838"/>
      <c r="J635" s="837"/>
      <c r="K635" s="837"/>
      <c r="L635" s="837"/>
      <c r="M635" s="838"/>
      <c r="N635" s="836"/>
      <c r="O635" s="836"/>
      <c r="P635" s="836"/>
      <c r="Q635" s="1041"/>
      <c r="R635" s="836"/>
      <c r="S635" s="836"/>
      <c r="T635" s="836"/>
      <c r="U635" s="1041"/>
      <c r="V635" s="836"/>
      <c r="W635" s="836"/>
      <c r="X635" s="836"/>
      <c r="Y635" s="838"/>
      <c r="Z635" s="836"/>
      <c r="AA635" s="836"/>
      <c r="AB635" s="836"/>
      <c r="AC635" s="1041"/>
      <c r="AD635" s="836"/>
      <c r="AE635" s="836"/>
      <c r="AF635" s="836"/>
      <c r="AG635" s="1041"/>
      <c r="AH635" s="398"/>
      <c r="AI635" s="398"/>
      <c r="AJ635" s="398"/>
      <c r="AK635" s="401"/>
      <c r="AL635" s="398"/>
      <c r="AM635" s="398"/>
      <c r="AN635" s="398"/>
      <c r="AO635" s="401"/>
      <c r="AP635" s="398"/>
      <c r="AQ635" s="398"/>
      <c r="AR635" s="398"/>
      <c r="AS635" s="401"/>
      <c r="AT635" s="398"/>
      <c r="AU635" s="398"/>
      <c r="AV635" s="398"/>
      <c r="AW635" s="401"/>
      <c r="AX635" s="398"/>
      <c r="AY635" s="398"/>
      <c r="AZ635" s="398"/>
      <c r="BA635" s="401"/>
      <c r="BB635" s="401"/>
      <c r="BC635" s="1119"/>
      <c r="BD635" s="296"/>
      <c r="BE635" s="296"/>
      <c r="BF635" s="296"/>
      <c r="BG635" s="296"/>
      <c r="BH635" s="296"/>
      <c r="BI635" s="296"/>
      <c r="BJ635" s="296"/>
      <c r="BK635" s="296"/>
      <c r="BL635" s="296"/>
      <c r="BM635" s="296"/>
      <c r="BN635" s="296"/>
      <c r="BO635" s="296"/>
      <c r="BP635" s="296"/>
      <c r="BR635" s="1379"/>
      <c r="BS635" s="1379"/>
      <c r="BT635" s="1379"/>
      <c r="BU635" s="1260"/>
    </row>
    <row r="636" spans="1:73" s="1014" customFormat="1" ht="12" hidden="1" customHeight="1" outlineLevel="2">
      <c r="A636" s="1002" t="s">
        <v>81</v>
      </c>
      <c r="B636" s="1058"/>
      <c r="C636" s="1003">
        <v>9.6</v>
      </c>
      <c r="D636" s="1003">
        <v>24.4</v>
      </c>
      <c r="E636" s="1004">
        <v>0.3</v>
      </c>
      <c r="F636" s="1168"/>
      <c r="G636" s="1168">
        <v>9.4</v>
      </c>
      <c r="H636" s="1168">
        <v>25.3</v>
      </c>
      <c r="I636" s="1169">
        <v>0.3</v>
      </c>
      <c r="J636" s="1168"/>
      <c r="K636" s="1168">
        <v>9.4</v>
      </c>
      <c r="L636" s="1168">
        <v>26.7</v>
      </c>
      <c r="M636" s="1169">
        <v>0.3</v>
      </c>
      <c r="N636" s="1168"/>
      <c r="O636" s="1168">
        <v>9.4</v>
      </c>
      <c r="P636" s="1168">
        <v>28.6</v>
      </c>
      <c r="Q636" s="1169">
        <v>0.4</v>
      </c>
      <c r="R636" s="1067"/>
      <c r="S636" s="1067"/>
      <c r="T636" s="1067"/>
      <c r="U636" s="1068"/>
      <c r="V636" s="1067"/>
      <c r="W636" s="984"/>
      <c r="X636" s="984"/>
      <c r="Y636" s="985"/>
      <c r="Z636" s="1015"/>
      <c r="AA636" s="1015"/>
      <c r="AB636" s="1015"/>
      <c r="AC636" s="1016"/>
      <c r="AD636" s="1015"/>
      <c r="AE636" s="1015"/>
      <c r="AF636" s="1015"/>
      <c r="AG636" s="1016"/>
      <c r="AH636" s="1015"/>
      <c r="AI636" s="1015"/>
      <c r="AJ636" s="1015"/>
      <c r="AK636" s="1016"/>
      <c r="AL636" s="1015"/>
      <c r="AM636" s="1015"/>
      <c r="AN636" s="1015"/>
      <c r="AO636" s="1016"/>
      <c r="AP636" s="1015"/>
      <c r="AQ636" s="1015"/>
      <c r="AR636" s="1015"/>
      <c r="AS636" s="1016"/>
      <c r="AT636" s="1015"/>
      <c r="AU636" s="1015"/>
      <c r="AV636" s="1015"/>
      <c r="AW636" s="1016"/>
      <c r="AX636" s="1015"/>
      <c r="AY636" s="1015"/>
      <c r="AZ636" s="1015"/>
      <c r="BA636" s="1016"/>
      <c r="BB636" s="401"/>
      <c r="BC636" s="1054">
        <f t="shared" ref="BC636:BG636" si="3301">+SUM(BC639,BC643,BC646)</f>
        <v>30.800000000000004</v>
      </c>
      <c r="BD636" s="1039">
        <f t="shared" si="3301"/>
        <v>34.199999999999996</v>
      </c>
      <c r="BE636" s="1039">
        <f t="shared" si="3301"/>
        <v>35</v>
      </c>
      <c r="BF636" s="1039">
        <f t="shared" si="3301"/>
        <v>36.400000000000006</v>
      </c>
      <c r="BG636" s="1052">
        <f t="shared" si="3301"/>
        <v>38.4</v>
      </c>
      <c r="BH636" s="1054">
        <f>+SUM(BH639,BH643)</f>
        <v>40.699999999999996</v>
      </c>
      <c r="BI636" s="1052">
        <f>+BI639+BI643</f>
        <v>42.5</v>
      </c>
      <c r="BJ636" s="1053">
        <f t="shared" ref="BJ636:BM636" si="3302">+BJ639+BJ643+BJ646</f>
        <v>42.6</v>
      </c>
      <c r="BK636" s="1054">
        <f t="shared" si="3302"/>
        <v>40.5</v>
      </c>
      <c r="BL636" s="1039">
        <v>39.9</v>
      </c>
      <c r="BM636" s="1039">
        <f t="shared" si="3302"/>
        <v>58.798842020350264</v>
      </c>
      <c r="BN636" s="1039">
        <f t="shared" ref="BN636:BO636" si="3303">+BN639+BN643+BN646</f>
        <v>60.531165506942855</v>
      </c>
      <c r="BO636" s="1039">
        <f t="shared" si="3303"/>
        <v>62.2665178001198</v>
      </c>
      <c r="BP636" s="1039">
        <f t="shared" ref="BP636" si="3304">+BP639+BP643+BP646</f>
        <v>64.004966206694093</v>
      </c>
      <c r="BQ636" s="1081"/>
      <c r="BR636" s="1425"/>
      <c r="BS636" s="1425"/>
      <c r="BT636" s="1425"/>
      <c r="BU636" s="1263"/>
    </row>
    <row r="637" spans="1:73" s="305" customFormat="1" ht="12" hidden="1" customHeight="1" outlineLevel="2">
      <c r="A637" s="1098" t="s">
        <v>181</v>
      </c>
      <c r="B637" s="837"/>
      <c r="C637" s="984" t="str">
        <f t="shared" ref="C637" si="3305">IF(ISERROR(C636/#REF!-1),"NA",C636/#REF!-1)</f>
        <v>NA</v>
      </c>
      <c r="D637" s="984" t="str">
        <f t="shared" ref="D637" si="3306">IF(ISERROR(D636/#REF!-1),"NA",D636/#REF!-1)</f>
        <v>NA</v>
      </c>
      <c r="E637" s="985" t="str">
        <f t="shared" ref="E637" si="3307">IF(ISERROR(E636/A636-1),"NA",E636/A636-1)</f>
        <v>NA</v>
      </c>
      <c r="F637" s="837"/>
      <c r="G637" s="984">
        <f t="shared" ref="G637" si="3308">IF(ISERROR(G636/C636-1),"NA",G636/C636-1)</f>
        <v>-2.0833333333333259E-2</v>
      </c>
      <c r="H637" s="984">
        <f t="shared" ref="H637" si="3309">IF(ISERROR(H636/D636-1),"NA",H636/D636-1)</f>
        <v>3.688524590163933E-2</v>
      </c>
      <c r="I637" s="985">
        <f t="shared" ref="I637" si="3310">IF(ISERROR(I636/E636-1),"NA",I636/E636-1)</f>
        <v>0</v>
      </c>
      <c r="J637" s="837"/>
      <c r="K637" s="984">
        <f t="shared" ref="K637" si="3311">IF(ISERROR(K636/G636-1),"NA",K636/G636-1)</f>
        <v>0</v>
      </c>
      <c r="L637" s="984">
        <f t="shared" ref="L637" si="3312">IF(ISERROR(L636/H636-1),"NA",L636/H636-1)</f>
        <v>5.5335968379446543E-2</v>
      </c>
      <c r="M637" s="985">
        <f t="shared" ref="M637" si="3313">IF(ISERROR(M636/I636-1),"NA",M636/I636-1)</f>
        <v>0</v>
      </c>
      <c r="N637" s="836"/>
      <c r="O637" s="984">
        <f t="shared" ref="O637" si="3314">IF(ISERROR(O636/K636-1),"NA",O636/K636-1)</f>
        <v>0</v>
      </c>
      <c r="P637" s="984">
        <f t="shared" ref="P637" si="3315">IF(ISERROR(P636/L636-1),"NA",P636/L636-1)</f>
        <v>7.1161048689138751E-2</v>
      </c>
      <c r="Q637" s="985">
        <f t="shared" ref="Q637" si="3316">IF(ISERROR(Q636/M636-1),"NA",Q636/M636-1)</f>
        <v>0.33333333333333348</v>
      </c>
      <c r="R637" s="836"/>
      <c r="S637" s="836"/>
      <c r="T637" s="836"/>
      <c r="U637" s="1041"/>
      <c r="V637" s="836"/>
      <c r="W637" s="836"/>
      <c r="X637" s="836"/>
      <c r="Y637" s="1041"/>
      <c r="Z637" s="836"/>
      <c r="AA637" s="836"/>
      <c r="AB637" s="836"/>
      <c r="AC637" s="1041"/>
      <c r="AD637" s="836"/>
      <c r="AE637" s="836"/>
      <c r="AF637" s="836"/>
      <c r="AG637" s="1041"/>
      <c r="AH637" s="398"/>
      <c r="AI637" s="398"/>
      <c r="AJ637" s="398"/>
      <c r="AK637" s="401"/>
      <c r="AL637" s="398"/>
      <c r="AM637" s="398"/>
      <c r="AN637" s="398"/>
      <c r="AO637" s="401"/>
      <c r="AP637" s="398"/>
      <c r="AQ637" s="398"/>
      <c r="AR637" s="398"/>
      <c r="AS637" s="401"/>
      <c r="AT637" s="398"/>
      <c r="AU637" s="398"/>
      <c r="AV637" s="398"/>
      <c r="AW637" s="401"/>
      <c r="AX637" s="398"/>
      <c r="AY637" s="398"/>
      <c r="AZ637" s="398"/>
      <c r="BA637" s="401"/>
      <c r="BB637" s="401"/>
      <c r="BC637" s="985" t="str">
        <f t="shared" ref="BC637" si="3317">IF(ISERROR(BC636/BB636-1),"NA",BC636/BB636-1)</f>
        <v>NA</v>
      </c>
      <c r="BD637" s="842">
        <f t="shared" ref="BD637" si="3318">IF(ISERROR(BD636/BC636-1),"NA",BD636/BC636-1)</f>
        <v>0.11038961038961004</v>
      </c>
      <c r="BE637" s="842">
        <f t="shared" ref="BE637" si="3319">IF(ISERROR(BE636/BD636-1),"NA",BE636/BD636-1)</f>
        <v>2.3391812865497297E-2</v>
      </c>
      <c r="BF637" s="842">
        <f t="shared" ref="BF637" si="3320">IF(ISERROR(BF636/BE636-1),"NA",BF636/BE636-1)</f>
        <v>4.0000000000000258E-2</v>
      </c>
      <c r="BG637" s="842">
        <f t="shared" ref="BG637" si="3321">IF(ISERROR(BG636/BF636-1),"NA",BG636/BF636-1)</f>
        <v>5.494505494505475E-2</v>
      </c>
      <c r="BH637" s="842">
        <f t="shared" ref="BH637" si="3322">IF(ISERROR(BH636/BG636-1),"NA",BH636/BG636-1)</f>
        <v>5.9895833333333259E-2</v>
      </c>
      <c r="BI637" s="842">
        <f t="shared" ref="BI637" si="3323">IF(ISERROR(BI636/BH636-1),"NA",BI636/BH636-1)</f>
        <v>4.4226044226044259E-2</v>
      </c>
      <c r="BJ637" s="842">
        <f t="shared" ref="BJ637" si="3324">IF(ISERROR(BJ636/BI636-1),"NA",BJ636/BI636-1)</f>
        <v>2.3529411764706687E-3</v>
      </c>
      <c r="BK637" s="842">
        <f t="shared" ref="BK637" si="3325">IF(ISERROR(BK636/BJ636-1),"NA",BK636/BJ636-1)</f>
        <v>-4.9295774647887369E-2</v>
      </c>
      <c r="BL637" s="842">
        <f t="shared" ref="BL637" si="3326">IF(ISERROR(BL636/BK636-1),"NA",BL636/BK636-1)</f>
        <v>-1.4814814814814836E-2</v>
      </c>
      <c r="BM637" s="842">
        <f t="shared" ref="BM637:BP637" si="3327">IF(ISERROR(BM636/BL636-1),"NA",BM636/BL636-1)</f>
        <v>0.47365518847995647</v>
      </c>
      <c r="BN637" s="842">
        <f t="shared" si="3327"/>
        <v>2.9461863993733628E-2</v>
      </c>
      <c r="BO637" s="842">
        <f t="shared" si="3327"/>
        <v>2.8668740782430424E-2</v>
      </c>
      <c r="BP637" s="842">
        <f t="shared" si="3327"/>
        <v>2.7919473707439968E-2</v>
      </c>
      <c r="BR637" s="1379"/>
      <c r="BS637" s="1379"/>
      <c r="BT637" s="1379"/>
      <c r="BU637" s="1260"/>
    </row>
    <row r="638" spans="1:73" s="305" customFormat="1" ht="12" hidden="1" customHeight="1" outlineLevel="2">
      <c r="A638" s="983"/>
      <c r="B638" s="837"/>
      <c r="C638" s="837"/>
      <c r="D638" s="837"/>
      <c r="E638" s="838"/>
      <c r="F638" s="837"/>
      <c r="G638" s="837"/>
      <c r="H638" s="837"/>
      <c r="I638" s="838"/>
      <c r="J638" s="837"/>
      <c r="K638" s="837"/>
      <c r="L638" s="837"/>
      <c r="M638" s="838"/>
      <c r="N638" s="836"/>
      <c r="O638" s="836"/>
      <c r="P638" s="836"/>
      <c r="Q638" s="1041"/>
      <c r="R638" s="836"/>
      <c r="S638" s="836"/>
      <c r="T638" s="836"/>
      <c r="U638" s="1041"/>
      <c r="V638" s="836"/>
      <c r="W638" s="836"/>
      <c r="X638" s="836"/>
      <c r="Y638" s="1041"/>
      <c r="Z638" s="836"/>
      <c r="AA638" s="836"/>
      <c r="AB638" s="836"/>
      <c r="AC638" s="1041"/>
      <c r="AD638" s="836"/>
      <c r="AE638" s="836"/>
      <c r="AF638" s="836"/>
      <c r="AG638" s="1041"/>
      <c r="AH638" s="398"/>
      <c r="AI638" s="398"/>
      <c r="AJ638" s="398"/>
      <c r="AK638" s="401"/>
      <c r="AL638" s="398"/>
      <c r="AM638" s="398"/>
      <c r="AN638" s="398"/>
      <c r="AO638" s="401"/>
      <c r="AP638" s="398"/>
      <c r="AQ638" s="398"/>
      <c r="AR638" s="398"/>
      <c r="AS638" s="401"/>
      <c r="AT638" s="398"/>
      <c r="AU638" s="398"/>
      <c r="AV638" s="398"/>
      <c r="AW638" s="401"/>
      <c r="AX638" s="398"/>
      <c r="AY638" s="398"/>
      <c r="AZ638" s="398"/>
      <c r="BA638" s="401"/>
      <c r="BB638" s="401"/>
      <c r="BC638" s="1084"/>
      <c r="BD638" s="294"/>
      <c r="BE638" s="296"/>
      <c r="BF638" s="292"/>
      <c r="BG638" s="294"/>
      <c r="BH638" s="294"/>
      <c r="BI638" s="294"/>
      <c r="BJ638" s="294"/>
      <c r="BK638" s="294"/>
      <c r="BL638" s="294"/>
      <c r="BM638" s="294"/>
      <c r="BN638" s="294"/>
      <c r="BO638" s="294"/>
      <c r="BP638" s="294"/>
      <c r="BR638" s="1379"/>
      <c r="BS638" s="1379"/>
      <c r="BT638" s="1379"/>
      <c r="BU638" s="1260"/>
    </row>
    <row r="639" spans="1:73" s="1096" customFormat="1" ht="12" hidden="1" customHeight="1" outlineLevel="2">
      <c r="A639" s="1063" t="s">
        <v>82</v>
      </c>
      <c r="B639" s="1088"/>
      <c r="C639" s="1003">
        <v>3</v>
      </c>
      <c r="D639" s="1003">
        <v>2.2999999999999998</v>
      </c>
      <c r="E639" s="1004"/>
      <c r="F639" s="1168"/>
      <c r="G639" s="1168">
        <v>3</v>
      </c>
      <c r="H639" s="1168">
        <v>2.2999999999999998</v>
      </c>
      <c r="I639" s="1169"/>
      <c r="J639" s="1168"/>
      <c r="K639" s="1168">
        <v>2.8</v>
      </c>
      <c r="L639" s="1168">
        <v>2.2000000000000002</v>
      </c>
      <c r="M639" s="1169"/>
      <c r="N639" s="1168"/>
      <c r="O639" s="1168">
        <v>2.8</v>
      </c>
      <c r="P639" s="1168">
        <v>2.1</v>
      </c>
      <c r="Q639" s="1169"/>
      <c r="R639" s="1089"/>
      <c r="S639" s="1089"/>
      <c r="T639" s="1089"/>
      <c r="U639" s="1090"/>
      <c r="V639" s="1089"/>
      <c r="W639" s="1091"/>
      <c r="X639" s="1091"/>
      <c r="Y639" s="1092"/>
      <c r="Z639" s="1093"/>
      <c r="AA639" s="1093"/>
      <c r="AB639" s="1093"/>
      <c r="AC639" s="1094"/>
      <c r="AD639" s="1093"/>
      <c r="AE639" s="1093"/>
      <c r="AF639" s="1093"/>
      <c r="AG639" s="1094"/>
      <c r="AH639" s="1093"/>
      <c r="AI639" s="1093"/>
      <c r="AJ639" s="1093"/>
      <c r="AK639" s="1094"/>
      <c r="AL639" s="1093"/>
      <c r="AM639" s="1093"/>
      <c r="AN639" s="1093"/>
      <c r="AO639" s="1094"/>
      <c r="AP639" s="1093"/>
      <c r="AQ639" s="1093"/>
      <c r="AR639" s="1093"/>
      <c r="AS639" s="1094"/>
      <c r="AT639" s="1093"/>
      <c r="AU639" s="1093"/>
      <c r="AV639" s="1093"/>
      <c r="AW639" s="1094"/>
      <c r="AX639" s="1093"/>
      <c r="AY639" s="1093"/>
      <c r="AZ639" s="1093"/>
      <c r="BA639" s="1094"/>
      <c r="BB639" s="401"/>
      <c r="BC639" s="1054">
        <v>5.4</v>
      </c>
      <c r="BD639" s="1039">
        <v>5.3</v>
      </c>
      <c r="BE639" s="1039">
        <v>5.3</v>
      </c>
      <c r="BF639" s="1039">
        <v>5</v>
      </c>
      <c r="BG639" s="1039">
        <v>4.9000000000000004</v>
      </c>
      <c r="BH639" s="1039">
        <v>4.9000000000000004</v>
      </c>
      <c r="BI639" s="1039">
        <v>4.8</v>
      </c>
      <c r="BJ639" s="1039">
        <v>4.7</v>
      </c>
      <c r="BK639" s="1039">
        <v>4.5</v>
      </c>
      <c r="BL639" s="1039">
        <v>4.5999999999999996</v>
      </c>
      <c r="BM639" s="1039">
        <f t="shared" ref="BM639:BP639" si="3328">+BL639*(1+BM640)</f>
        <v>4.7022222222222219</v>
      </c>
      <c r="BN639" s="1039">
        <f t="shared" si="3328"/>
        <v>4.8067160493827155</v>
      </c>
      <c r="BO639" s="1039">
        <f t="shared" si="3328"/>
        <v>4.9135319615912199</v>
      </c>
      <c r="BP639" s="1039">
        <f t="shared" si="3328"/>
        <v>5.0227215607376907</v>
      </c>
      <c r="BQ639" s="1095"/>
      <c r="BR639" s="1438"/>
      <c r="BS639" s="1438"/>
      <c r="BT639" s="1438"/>
      <c r="BU639" s="1264"/>
    </row>
    <row r="640" spans="1:73" s="305" customFormat="1" ht="12" hidden="1" customHeight="1" outlineLevel="2">
      <c r="A640" s="983" t="s">
        <v>181</v>
      </c>
      <c r="B640" s="837"/>
      <c r="C640" s="984" t="str">
        <f t="shared" ref="C640:D640" si="3329">IF(ISERROR(C639/#REF!-1),"NA",C639/#REF!-1)</f>
        <v>NA</v>
      </c>
      <c r="D640" s="984" t="str">
        <f t="shared" si="3329"/>
        <v>NA</v>
      </c>
      <c r="E640" s="985"/>
      <c r="F640" s="837"/>
      <c r="G640" s="984">
        <f t="shared" ref="G640" si="3330">IF(ISERROR(G639/C639-1),"NA",G639/C639-1)</f>
        <v>0</v>
      </c>
      <c r="H640" s="984">
        <f t="shared" ref="H640" si="3331">IF(ISERROR(H639/D639-1),"NA",H639/D639-1)</f>
        <v>0</v>
      </c>
      <c r="I640" s="985"/>
      <c r="J640" s="837"/>
      <c r="K640" s="984">
        <f t="shared" ref="K640" si="3332">IF(ISERROR(K639/G639-1),"NA",K639/G639-1)</f>
        <v>-6.6666666666666763E-2</v>
      </c>
      <c r="L640" s="984">
        <f t="shared" ref="L640" si="3333">IF(ISERROR(L639/H639-1),"NA",L639/H639-1)</f>
        <v>-4.3478260869565077E-2</v>
      </c>
      <c r="M640" s="985"/>
      <c r="N640" s="836"/>
      <c r="O640" s="984">
        <f t="shared" ref="O640" si="3334">IF(ISERROR(O639/K639-1),"NA",O639/K639-1)</f>
        <v>0</v>
      </c>
      <c r="P640" s="984">
        <f t="shared" ref="P640" si="3335">IF(ISERROR(P639/L639-1),"NA",P639/L639-1)</f>
        <v>-4.5454545454545525E-2</v>
      </c>
      <c r="Q640" s="985"/>
      <c r="R640" s="836"/>
      <c r="S640" s="836"/>
      <c r="T640" s="836"/>
      <c r="U640" s="1041"/>
      <c r="V640" s="836"/>
      <c r="W640" s="836"/>
      <c r="X640" s="836"/>
      <c r="Y640" s="838"/>
      <c r="Z640" s="836"/>
      <c r="AA640" s="836"/>
      <c r="AB640" s="836"/>
      <c r="AC640" s="1041"/>
      <c r="AD640" s="836"/>
      <c r="AE640" s="836"/>
      <c r="AF640" s="836"/>
      <c r="AG640" s="1041"/>
      <c r="AH640" s="398"/>
      <c r="AI640" s="398"/>
      <c r="AJ640" s="398"/>
      <c r="AK640" s="401"/>
      <c r="AL640" s="398"/>
      <c r="AM640" s="398"/>
      <c r="AN640" s="398"/>
      <c r="AO640" s="401"/>
      <c r="AP640" s="398"/>
      <c r="AQ640" s="398"/>
      <c r="AR640" s="398"/>
      <c r="AS640" s="401"/>
      <c r="AT640" s="398"/>
      <c r="AU640" s="398"/>
      <c r="AV640" s="398"/>
      <c r="AW640" s="401"/>
      <c r="AX640" s="398"/>
      <c r="AY640" s="398"/>
      <c r="AZ640" s="398"/>
      <c r="BA640" s="401"/>
      <c r="BB640" s="401"/>
      <c r="BC640" s="985" t="str">
        <f t="shared" ref="BC640" si="3336">IF(ISERROR(BC639/BB639-1),"NA",BC639/BB639-1)</f>
        <v>NA</v>
      </c>
      <c r="BD640" s="842">
        <f t="shared" ref="BD640" si="3337">IF(ISERROR(BD639/BC639-1),"NA",BD639/BC639-1)</f>
        <v>-1.8518518518518601E-2</v>
      </c>
      <c r="BE640" s="842">
        <f t="shared" ref="BE640" si="3338">IF(ISERROR(BE639/BD639-1),"NA",BE639/BD639-1)</f>
        <v>0</v>
      </c>
      <c r="BF640" s="842">
        <f t="shared" ref="BF640" si="3339">IF(ISERROR(BF639/BE639-1),"NA",BF639/BE639-1)</f>
        <v>-5.6603773584905648E-2</v>
      </c>
      <c r="BG640" s="842">
        <f t="shared" ref="BG640" si="3340">IF(ISERROR(BG639/BF639-1),"NA",BG639/BF639-1)</f>
        <v>-1.9999999999999907E-2</v>
      </c>
      <c r="BH640" s="842">
        <f t="shared" ref="BH640" si="3341">IF(ISERROR(BH639/BG639-1),"NA",BH639/BG639-1)</f>
        <v>0</v>
      </c>
      <c r="BI640" s="842">
        <f>+BH640</f>
        <v>0</v>
      </c>
      <c r="BJ640" s="842">
        <f t="shared" ref="BJ640:BP640" si="3342">+BI640</f>
        <v>0</v>
      </c>
      <c r="BK640" s="842">
        <f t="shared" ref="BK640:BL640" si="3343">IF(ISERROR(BK639/BJ639-1),"NA",BK639/BJ639-1)</f>
        <v>-4.2553191489361764E-2</v>
      </c>
      <c r="BL640" s="842">
        <f t="shared" si="3343"/>
        <v>2.2222222222222143E-2</v>
      </c>
      <c r="BM640" s="842">
        <f t="shared" si="3342"/>
        <v>2.2222222222222143E-2</v>
      </c>
      <c r="BN640" s="842">
        <f t="shared" si="3342"/>
        <v>2.2222222222222143E-2</v>
      </c>
      <c r="BO640" s="842">
        <f t="shared" si="3342"/>
        <v>2.2222222222222143E-2</v>
      </c>
      <c r="BP640" s="842">
        <f t="shared" si="3342"/>
        <v>2.2222222222222143E-2</v>
      </c>
      <c r="BR640" s="1379"/>
      <c r="BS640" s="1379"/>
      <c r="BT640" s="1379"/>
      <c r="BU640" s="1260"/>
    </row>
    <row r="641" spans="1:73" s="305" customFormat="1" ht="12" hidden="1" customHeight="1" outlineLevel="2">
      <c r="A641" s="1049" t="s">
        <v>374</v>
      </c>
      <c r="B641" s="837"/>
      <c r="C641" s="837"/>
      <c r="D641" s="837"/>
      <c r="E641" s="838"/>
      <c r="F641" s="837"/>
      <c r="G641" s="837"/>
      <c r="H641" s="837"/>
      <c r="I641" s="838"/>
      <c r="J641" s="837"/>
      <c r="K641" s="837"/>
      <c r="L641" s="837"/>
      <c r="M641" s="838"/>
      <c r="N641" s="836"/>
      <c r="O641" s="836"/>
      <c r="P641" s="836"/>
      <c r="Q641" s="1041"/>
      <c r="R641" s="836"/>
      <c r="S641" s="836"/>
      <c r="T641" s="836"/>
      <c r="U641" s="1041"/>
      <c r="V641" s="836"/>
      <c r="W641" s="836"/>
      <c r="X641" s="836"/>
      <c r="Y641" s="838"/>
      <c r="Z641" s="836"/>
      <c r="AA641" s="836"/>
      <c r="AB641" s="836"/>
      <c r="AC641" s="1041"/>
      <c r="AD641" s="836"/>
      <c r="AE641" s="836"/>
      <c r="AF641" s="836"/>
      <c r="AG641" s="1041"/>
      <c r="AH641" s="398"/>
      <c r="AI641" s="398"/>
      <c r="AJ641" s="398"/>
      <c r="AK641" s="401"/>
      <c r="AL641" s="398"/>
      <c r="AM641" s="398"/>
      <c r="AN641" s="398"/>
      <c r="AO641" s="401"/>
      <c r="AP641" s="398"/>
      <c r="AQ641" s="398"/>
      <c r="AR641" s="398"/>
      <c r="AS641" s="401"/>
      <c r="AT641" s="398"/>
      <c r="AU641" s="398"/>
      <c r="AV641" s="398"/>
      <c r="AW641" s="401"/>
      <c r="AX641" s="398"/>
      <c r="AY641" s="398"/>
      <c r="AZ641" s="398"/>
      <c r="BA641" s="401"/>
      <c r="BB641" s="401"/>
      <c r="BC641" s="1873">
        <f t="shared" ref="BC641:BG641" si="3344">+((BC656*1000)-BC643-BC646)/BC639</f>
        <v>1.9629629629629628</v>
      </c>
      <c r="BD641" s="1121">
        <f t="shared" si="3344"/>
        <v>2.0943396226415096</v>
      </c>
      <c r="BE641" s="1121">
        <f t="shared" si="3344"/>
        <v>1.9433962264150946</v>
      </c>
      <c r="BF641" s="1121">
        <f t="shared" si="3344"/>
        <v>2.12</v>
      </c>
      <c r="BG641" s="1121">
        <f t="shared" si="3344"/>
        <v>1.9387755102040822</v>
      </c>
      <c r="BH641" s="1121">
        <f>+((BH656*1000)-BH643-BH646)/BH639</f>
        <v>2.081632653061225</v>
      </c>
      <c r="BI641" s="1121">
        <f t="shared" ref="BI641:BJ641" si="3345">+((BI656*1000)-BI643-BI646)/BI639</f>
        <v>1.9374999999999996</v>
      </c>
      <c r="BJ641" s="1121">
        <f t="shared" si="3345"/>
        <v>1.9361702127659577</v>
      </c>
      <c r="BK641" s="1121">
        <f t="shared" ref="BK641:BL641" si="3346">+((BK656*1000)-BK643-BK646)/BK639</f>
        <v>2</v>
      </c>
      <c r="BL641" s="1121">
        <f t="shared" si="3346"/>
        <v>-0.30434782608695626</v>
      </c>
      <c r="BM641" s="1122">
        <f t="shared" ref="BM641:BP641" si="3347">+BL641</f>
        <v>-0.30434782608695626</v>
      </c>
      <c r="BN641" s="1122">
        <f t="shared" si="3347"/>
        <v>-0.30434782608695626</v>
      </c>
      <c r="BO641" s="1122">
        <f t="shared" si="3347"/>
        <v>-0.30434782608695626</v>
      </c>
      <c r="BP641" s="1122">
        <f t="shared" si="3347"/>
        <v>-0.30434782608695626</v>
      </c>
      <c r="BR641" s="1379"/>
      <c r="BS641" s="1379"/>
      <c r="BT641" s="1379"/>
      <c r="BU641" s="1260"/>
    </row>
    <row r="642" spans="1:73" s="305" customFormat="1" ht="12" hidden="1" customHeight="1" outlineLevel="2">
      <c r="A642" s="1049"/>
      <c r="B642" s="837"/>
      <c r="C642" s="837"/>
      <c r="D642" s="837"/>
      <c r="E642" s="838"/>
      <c r="F642" s="837"/>
      <c r="G642" s="837"/>
      <c r="H642" s="837"/>
      <c r="I642" s="838"/>
      <c r="J642" s="837"/>
      <c r="K642" s="837"/>
      <c r="L642" s="837"/>
      <c r="M642" s="838"/>
      <c r="N642" s="836"/>
      <c r="O642" s="836"/>
      <c r="P642" s="836"/>
      <c r="Q642" s="1041"/>
      <c r="R642" s="836"/>
      <c r="S642" s="836"/>
      <c r="T642" s="836"/>
      <c r="U642" s="1041"/>
      <c r="V642" s="836"/>
      <c r="W642" s="836"/>
      <c r="X642" s="836"/>
      <c r="Y642" s="838"/>
      <c r="Z642" s="836"/>
      <c r="AA642" s="836"/>
      <c r="AB642" s="836"/>
      <c r="AC642" s="1041"/>
      <c r="AD642" s="836"/>
      <c r="AE642" s="836"/>
      <c r="AF642" s="836"/>
      <c r="AG642" s="1041"/>
      <c r="AH642" s="398"/>
      <c r="AI642" s="398"/>
      <c r="AJ642" s="398"/>
      <c r="AK642" s="401"/>
      <c r="AL642" s="398"/>
      <c r="AM642" s="398"/>
      <c r="AN642" s="398"/>
      <c r="AO642" s="401"/>
      <c r="AP642" s="398"/>
      <c r="AQ642" s="398"/>
      <c r="AR642" s="398"/>
      <c r="AS642" s="401"/>
      <c r="AT642" s="398"/>
      <c r="AU642" s="398"/>
      <c r="AV642" s="398"/>
      <c r="AW642" s="401"/>
      <c r="AX642" s="398"/>
      <c r="AY642" s="398"/>
      <c r="AZ642" s="398"/>
      <c r="BA642" s="401"/>
      <c r="BB642" s="401"/>
      <c r="BC642" s="1084"/>
      <c r="BD642" s="294"/>
      <c r="BE642" s="296"/>
      <c r="BF642" s="292"/>
      <c r="BG642" s="294"/>
      <c r="BH642" s="294"/>
      <c r="BI642" s="294"/>
      <c r="BJ642" s="294"/>
      <c r="BK642" s="294"/>
      <c r="BL642" s="294"/>
      <c r="BM642" s="294"/>
      <c r="BN642" s="294"/>
      <c r="BO642" s="294"/>
      <c r="BP642" s="294"/>
      <c r="BR642" s="1379"/>
      <c r="BS642" s="1379"/>
      <c r="BT642" s="1379"/>
      <c r="BU642" s="1260"/>
    </row>
    <row r="643" spans="1:73" s="1096" customFormat="1" ht="12" hidden="1" customHeight="1" outlineLevel="2">
      <c r="A643" s="1063" t="s">
        <v>83</v>
      </c>
      <c r="B643" s="1088"/>
      <c r="C643" s="1003">
        <v>6.3</v>
      </c>
      <c r="D643" s="1003">
        <v>21.3</v>
      </c>
      <c r="E643" s="1004">
        <v>0.3</v>
      </c>
      <c r="F643" s="1168"/>
      <c r="G643" s="1168">
        <v>6.2</v>
      </c>
      <c r="H643" s="1168">
        <v>21.9</v>
      </c>
      <c r="I643" s="1169">
        <v>0.3</v>
      </c>
      <c r="J643" s="1168"/>
      <c r="K643" s="1168">
        <v>6.4</v>
      </c>
      <c r="L643" s="1168">
        <v>23.5</v>
      </c>
      <c r="M643" s="1169">
        <v>0.3</v>
      </c>
      <c r="N643" s="1168"/>
      <c r="O643" s="1168">
        <v>6.4</v>
      </c>
      <c r="P643" s="1168">
        <v>25.6</v>
      </c>
      <c r="Q643" s="1169">
        <v>0.3</v>
      </c>
      <c r="R643" s="1089"/>
      <c r="S643" s="1089"/>
      <c r="T643" s="1089"/>
      <c r="U643" s="1090"/>
      <c r="V643" s="1089"/>
      <c r="W643" s="1091"/>
      <c r="X643" s="1091"/>
      <c r="Y643" s="1092"/>
      <c r="Z643" s="1093"/>
      <c r="AA643" s="1093"/>
      <c r="AB643" s="1093"/>
      <c r="AC643" s="1094"/>
      <c r="AD643" s="1093"/>
      <c r="AE643" s="1093"/>
      <c r="AF643" s="1093"/>
      <c r="AG643" s="1094"/>
      <c r="AH643" s="1093"/>
      <c r="AI643" s="1093"/>
      <c r="AJ643" s="1093"/>
      <c r="AK643" s="1094"/>
      <c r="AL643" s="1093"/>
      <c r="AM643" s="1093"/>
      <c r="AN643" s="1093"/>
      <c r="AO643" s="1094"/>
      <c r="AP643" s="1093"/>
      <c r="AQ643" s="1093"/>
      <c r="AR643" s="1093"/>
      <c r="AS643" s="1094"/>
      <c r="AT643" s="1093"/>
      <c r="AU643" s="1093"/>
      <c r="AV643" s="1093"/>
      <c r="AW643" s="1094"/>
      <c r="AX643" s="1093"/>
      <c r="AY643" s="1093"/>
      <c r="AZ643" s="1093"/>
      <c r="BA643" s="1094"/>
      <c r="BB643" s="401"/>
      <c r="BC643" s="1054">
        <v>24.3</v>
      </c>
      <c r="BD643" s="1039">
        <v>27.9</v>
      </c>
      <c r="BE643" s="1039">
        <v>28.5</v>
      </c>
      <c r="BF643" s="1039">
        <v>30.2</v>
      </c>
      <c r="BG643" s="1039">
        <v>32.299999999999997</v>
      </c>
      <c r="BH643" s="1039">
        <v>35.799999999999997</v>
      </c>
      <c r="BI643" s="1039">
        <v>37.700000000000003</v>
      </c>
      <c r="BJ643" s="1039">
        <v>37.9</v>
      </c>
      <c r="BK643" s="1039">
        <v>36</v>
      </c>
      <c r="BL643" s="1039">
        <v>35.4</v>
      </c>
      <c r="BM643" s="1039">
        <f t="shared" ref="BM643" si="3348">+(BM656*1000)-(BM639*BM641)-BM646</f>
        <v>46.096619798128046</v>
      </c>
      <c r="BN643" s="1039">
        <f t="shared" ref="BN643:BO643" si="3349">+(BN656*1000)-(BN639*BN641)-BN646</f>
        <v>55.724449457560141</v>
      </c>
      <c r="BO643" s="1039">
        <f t="shared" si="3349"/>
        <v>57.352985838528582</v>
      </c>
      <c r="BP643" s="1039">
        <f t="shared" ref="BP643" si="3350">+(BP656*1000)-(BP639*BP641)-BP646</f>
        <v>58.982244645956406</v>
      </c>
      <c r="BQ643" s="1095"/>
      <c r="BR643" s="1438"/>
      <c r="BS643" s="1438"/>
      <c r="BT643" s="1438"/>
      <c r="BU643" s="1264"/>
    </row>
    <row r="644" spans="1:73" s="305" customFormat="1" ht="12" hidden="1" customHeight="1" outlineLevel="2">
      <c r="A644" s="983" t="s">
        <v>181</v>
      </c>
      <c r="B644" s="837"/>
      <c r="C644" s="984" t="str">
        <f t="shared" ref="C644" si="3351">IF(ISERROR(C643/#REF!-1),"NA",C643/#REF!-1)</f>
        <v>NA</v>
      </c>
      <c r="D644" s="984" t="str">
        <f t="shared" ref="D644" si="3352">IF(ISERROR(D643/#REF!-1),"NA",D643/#REF!-1)</f>
        <v>NA</v>
      </c>
      <c r="E644" s="985" t="str">
        <f t="shared" ref="E644" si="3353">IF(ISERROR(E643/A643-1),"NA",E643/A643-1)</f>
        <v>NA</v>
      </c>
      <c r="F644" s="837"/>
      <c r="G644" s="984">
        <f t="shared" ref="G644" si="3354">IF(ISERROR(G643/C643-1),"NA",G643/C643-1)</f>
        <v>-1.5873015873015817E-2</v>
      </c>
      <c r="H644" s="984">
        <f t="shared" ref="H644" si="3355">IF(ISERROR(H643/D643-1),"NA",H643/D643-1)</f>
        <v>2.8169014084507005E-2</v>
      </c>
      <c r="I644" s="985">
        <f t="shared" ref="I644" si="3356">IF(ISERROR(I643/E643-1),"NA",I643/E643-1)</f>
        <v>0</v>
      </c>
      <c r="J644" s="837"/>
      <c r="K644" s="984">
        <f t="shared" ref="K644" si="3357">IF(ISERROR(K643/G643-1),"NA",K643/G643-1)</f>
        <v>3.2258064516129004E-2</v>
      </c>
      <c r="L644" s="984">
        <f t="shared" ref="L644" si="3358">IF(ISERROR(L643/H643-1),"NA",L643/H643-1)</f>
        <v>7.3059360730593603E-2</v>
      </c>
      <c r="M644" s="985">
        <f t="shared" ref="M644" si="3359">IF(ISERROR(M643/I643-1),"NA",M643/I643-1)</f>
        <v>0</v>
      </c>
      <c r="N644" s="836"/>
      <c r="O644" s="984">
        <f t="shared" ref="O644" si="3360">IF(ISERROR(O643/K643-1),"NA",O643/K643-1)</f>
        <v>0</v>
      </c>
      <c r="P644" s="984">
        <f t="shared" ref="P644" si="3361">IF(ISERROR(P643/L643-1),"NA",P643/L643-1)</f>
        <v>8.9361702127659592E-2</v>
      </c>
      <c r="Q644" s="985">
        <f t="shared" ref="Q644" si="3362">IF(ISERROR(Q643/M643-1),"NA",Q643/M643-1)</f>
        <v>0</v>
      </c>
      <c r="R644" s="836"/>
      <c r="S644" s="836"/>
      <c r="T644" s="836"/>
      <c r="U644" s="1041"/>
      <c r="V644" s="836"/>
      <c r="W644" s="836"/>
      <c r="X644" s="836"/>
      <c r="Y644" s="838"/>
      <c r="Z644" s="836"/>
      <c r="AA644" s="836"/>
      <c r="AB644" s="836"/>
      <c r="AC644" s="1041"/>
      <c r="AD644" s="836"/>
      <c r="AE644" s="836"/>
      <c r="AF644" s="836"/>
      <c r="AG644" s="1041"/>
      <c r="AH644" s="398"/>
      <c r="AI644" s="398"/>
      <c r="AJ644" s="398"/>
      <c r="AK644" s="401"/>
      <c r="AL644" s="398"/>
      <c r="AM644" s="398"/>
      <c r="AN644" s="398"/>
      <c r="AO644" s="401"/>
      <c r="AP644" s="398"/>
      <c r="AQ644" s="398"/>
      <c r="AR644" s="398"/>
      <c r="AS644" s="401"/>
      <c r="AT644" s="398"/>
      <c r="AU644" s="398"/>
      <c r="AV644" s="398"/>
      <c r="AW644" s="401"/>
      <c r="AX644" s="398"/>
      <c r="AY644" s="398"/>
      <c r="AZ644" s="398"/>
      <c r="BA644" s="401"/>
      <c r="BB644" s="401"/>
      <c r="BC644" s="985" t="str">
        <f t="shared" ref="BC644" si="3363">IF(ISERROR(BC643/BB643-1),"NA",BC643/BB643-1)</f>
        <v>NA</v>
      </c>
      <c r="BD644" s="842">
        <f t="shared" ref="BD644" si="3364">IF(ISERROR(BD643/BC643-1),"NA",BD643/BC643-1)</f>
        <v>0.14814814814814814</v>
      </c>
      <c r="BE644" s="842">
        <f t="shared" ref="BE644" si="3365">IF(ISERROR(BE643/BD643-1),"NA",BE643/BD643-1)</f>
        <v>2.1505376344086002E-2</v>
      </c>
      <c r="BF644" s="842">
        <f t="shared" ref="BF644" si="3366">IF(ISERROR(BF643/BE643-1),"NA",BF643/BE643-1)</f>
        <v>5.9649122807017507E-2</v>
      </c>
      <c r="BG644" s="842">
        <f t="shared" ref="BG644" si="3367">IF(ISERROR(BG643/BF643-1),"NA",BG643/BF643-1)</f>
        <v>6.9536423841059625E-2</v>
      </c>
      <c r="BH644" s="842">
        <f t="shared" ref="BH644" si="3368">IF(ISERROR(BH643/BG643-1),"NA",BH643/BG643-1)</f>
        <v>0.1083591331269349</v>
      </c>
      <c r="BI644" s="842">
        <f t="shared" ref="BI644" si="3369">IF(ISERROR(BI643/BH643-1),"NA",BI643/BH643-1)</f>
        <v>5.3072625698324272E-2</v>
      </c>
      <c r="BJ644" s="842">
        <f t="shared" ref="BJ644" si="3370">IF(ISERROR(BJ643/BI643-1),"NA",BJ643/BI643-1)</f>
        <v>5.3050397877982824E-3</v>
      </c>
      <c r="BK644" s="842">
        <f t="shared" ref="BK644" si="3371">IF(ISERROR(BK643/BJ643-1),"NA",BK643/BJ643-1)</f>
        <v>-5.0131926121371961E-2</v>
      </c>
      <c r="BL644" s="842">
        <f t="shared" ref="BL644:BP644" si="3372">IF(ISERROR(BL643/BK643-1),"NA",BL643/BK643-1)</f>
        <v>-1.6666666666666718E-2</v>
      </c>
      <c r="BM644" s="842">
        <f t="shared" si="3372"/>
        <v>0.30216440107706344</v>
      </c>
      <c r="BN644" s="842">
        <f t="shared" si="3372"/>
        <v>0.20886194479325093</v>
      </c>
      <c r="BO644" s="842">
        <f t="shared" si="3372"/>
        <v>2.922480880154299E-2</v>
      </c>
      <c r="BP644" s="842">
        <f t="shared" si="3372"/>
        <v>2.84075673412163E-2</v>
      </c>
      <c r="BR644" s="1379"/>
      <c r="BS644" s="1379"/>
      <c r="BT644" s="1379"/>
      <c r="BU644" s="1260"/>
    </row>
    <row r="645" spans="1:73" s="305" customFormat="1" ht="12" hidden="1" customHeight="1" outlineLevel="2">
      <c r="A645" s="1049"/>
      <c r="B645" s="837"/>
      <c r="C645" s="837"/>
      <c r="D645" s="837"/>
      <c r="E645" s="838"/>
      <c r="F645" s="837"/>
      <c r="G645" s="837"/>
      <c r="H645" s="837"/>
      <c r="I645" s="838"/>
      <c r="J645" s="837"/>
      <c r="K645" s="837"/>
      <c r="L645" s="837"/>
      <c r="M645" s="838"/>
      <c r="N645" s="836"/>
      <c r="O645" s="836"/>
      <c r="P645" s="836"/>
      <c r="Q645" s="1041"/>
      <c r="R645" s="836"/>
      <c r="S645" s="836"/>
      <c r="T645" s="836"/>
      <c r="U645" s="1041"/>
      <c r="V645" s="836"/>
      <c r="W645" s="836"/>
      <c r="X645" s="836"/>
      <c r="Y645" s="838"/>
      <c r="Z645" s="836"/>
      <c r="AA645" s="836"/>
      <c r="AB645" s="836"/>
      <c r="AC645" s="1041"/>
      <c r="AD645" s="836"/>
      <c r="AE645" s="836"/>
      <c r="AF645" s="836"/>
      <c r="AG645" s="1041"/>
      <c r="AH645" s="398"/>
      <c r="AI645" s="398"/>
      <c r="AJ645" s="398"/>
      <c r="AK645" s="401"/>
      <c r="AL645" s="398"/>
      <c r="AM645" s="398"/>
      <c r="AN645" s="398"/>
      <c r="AO645" s="401"/>
      <c r="AP645" s="398"/>
      <c r="AQ645" s="398"/>
      <c r="AR645" s="398"/>
      <c r="AS645" s="401"/>
      <c r="AT645" s="398"/>
      <c r="AU645" s="398"/>
      <c r="AV645" s="398"/>
      <c r="AW645" s="401"/>
      <c r="AX645" s="398"/>
      <c r="AY645" s="398"/>
      <c r="AZ645" s="398"/>
      <c r="BA645" s="401"/>
      <c r="BB645" s="401"/>
      <c r="BC645" s="1084"/>
      <c r="BD645" s="294"/>
      <c r="BE645" s="296"/>
      <c r="BF645" s="292"/>
      <c r="BG645" s="294"/>
      <c r="BH645" s="294"/>
      <c r="BI645" s="294"/>
      <c r="BJ645" s="294"/>
      <c r="BK645" s="294"/>
      <c r="BL645" s="294"/>
      <c r="BM645" s="294"/>
      <c r="BN645" s="294"/>
      <c r="BO645" s="294"/>
      <c r="BP645" s="294"/>
      <c r="BR645" s="1379"/>
      <c r="BS645" s="1379"/>
      <c r="BT645" s="1379"/>
      <c r="BU645" s="1260"/>
    </row>
    <row r="646" spans="1:73" s="1096" customFormat="1" ht="12" hidden="1" customHeight="1" outlineLevel="2">
      <c r="A646" s="1063" t="s">
        <v>84</v>
      </c>
      <c r="B646" s="1088"/>
      <c r="C646" s="1003">
        <v>0.2</v>
      </c>
      <c r="D646" s="1003">
        <v>0.8</v>
      </c>
      <c r="E646" s="1004"/>
      <c r="F646" s="1168"/>
      <c r="G646" s="1168">
        <v>0.2</v>
      </c>
      <c r="H646" s="1168">
        <v>1</v>
      </c>
      <c r="I646" s="1169"/>
      <c r="J646" s="1168"/>
      <c r="K646" s="1168">
        <v>0.1</v>
      </c>
      <c r="L646" s="1168">
        <v>1</v>
      </c>
      <c r="M646" s="1169"/>
      <c r="N646" s="1168"/>
      <c r="O646" s="1168">
        <v>0.1</v>
      </c>
      <c r="P646" s="1168">
        <v>1</v>
      </c>
      <c r="Q646" s="1169"/>
      <c r="R646" s="1089"/>
      <c r="S646" s="1089"/>
      <c r="T646" s="1089"/>
      <c r="U646" s="1090"/>
      <c r="V646" s="1089"/>
      <c r="W646" s="1091"/>
      <c r="X646" s="1091"/>
      <c r="Y646" s="1092"/>
      <c r="Z646" s="1093"/>
      <c r="AA646" s="1093"/>
      <c r="AB646" s="1093"/>
      <c r="AC646" s="1094"/>
      <c r="AD646" s="1093"/>
      <c r="AE646" s="1093"/>
      <c r="AF646" s="1093"/>
      <c r="AG646" s="1094"/>
      <c r="AH646" s="1093"/>
      <c r="AI646" s="1093"/>
      <c r="AJ646" s="1093"/>
      <c r="AK646" s="1094"/>
      <c r="AL646" s="1093"/>
      <c r="AM646" s="1093"/>
      <c r="AN646" s="1093"/>
      <c r="AO646" s="1094"/>
      <c r="AP646" s="1093"/>
      <c r="AQ646" s="1093"/>
      <c r="AR646" s="1093"/>
      <c r="AS646" s="1094"/>
      <c r="AT646" s="1093"/>
      <c r="AU646" s="1093"/>
      <c r="AV646" s="1093"/>
      <c r="AW646" s="1094"/>
      <c r="AX646" s="1093"/>
      <c r="AY646" s="1093"/>
      <c r="AZ646" s="1093"/>
      <c r="BA646" s="1094"/>
      <c r="BB646" s="401"/>
      <c r="BC646" s="1054">
        <v>1.1000000000000001</v>
      </c>
      <c r="BD646" s="1039">
        <v>1</v>
      </c>
      <c r="BE646" s="1039">
        <v>1.2</v>
      </c>
      <c r="BF646" s="1039">
        <v>1.2</v>
      </c>
      <c r="BG646" s="1039">
        <v>1.2</v>
      </c>
      <c r="BH646" s="1039">
        <v>2</v>
      </c>
      <c r="BI646" s="1039">
        <v>3</v>
      </c>
      <c r="BJ646" s="1039"/>
      <c r="BK646" s="1039"/>
      <c r="BL646" s="1039">
        <v>10</v>
      </c>
      <c r="BM646" s="1051">
        <v>8</v>
      </c>
      <c r="BN646" s="1051"/>
      <c r="BO646" s="1051"/>
      <c r="BP646" s="1051"/>
      <c r="BQ646" s="1095"/>
      <c r="BR646" s="1438"/>
      <c r="BS646" s="1438"/>
      <c r="BT646" s="1438"/>
      <c r="BU646" s="1264"/>
    </row>
    <row r="647" spans="1:73" s="305" customFormat="1" ht="12" hidden="1" customHeight="1" outlineLevel="2">
      <c r="A647" s="983" t="s">
        <v>181</v>
      </c>
      <c r="B647" s="837"/>
      <c r="C647" s="984" t="str">
        <f t="shared" ref="C647" si="3373">IF(ISERROR(C646/#REF!-1),"NA",C646/#REF!-1)</f>
        <v>NA</v>
      </c>
      <c r="D647" s="984" t="str">
        <f t="shared" ref="D647" si="3374">IF(ISERROR(D646/#REF!-1),"NA",D646/#REF!-1)</f>
        <v>NA</v>
      </c>
      <c r="E647" s="985"/>
      <c r="F647" s="837"/>
      <c r="G647" s="984">
        <f t="shared" ref="G647" si="3375">IF(ISERROR(G646/C646-1),"NA",G646/C646-1)</f>
        <v>0</v>
      </c>
      <c r="H647" s="984">
        <f t="shared" ref="H647" si="3376">IF(ISERROR(H646/D646-1),"NA",H646/D646-1)</f>
        <v>0.25</v>
      </c>
      <c r="I647" s="985"/>
      <c r="J647" s="837"/>
      <c r="K647" s="984">
        <f t="shared" ref="K647" si="3377">IF(ISERROR(K646/G646-1),"NA",K646/G646-1)</f>
        <v>-0.5</v>
      </c>
      <c r="L647" s="984">
        <f t="shared" ref="L647" si="3378">IF(ISERROR(L646/H646-1),"NA",L646/H646-1)</f>
        <v>0</v>
      </c>
      <c r="M647" s="985"/>
      <c r="N647" s="836"/>
      <c r="O647" s="984">
        <f t="shared" ref="O647" si="3379">IF(ISERROR(O646/K646-1),"NA",O646/K646-1)</f>
        <v>0</v>
      </c>
      <c r="P647" s="984">
        <f t="shared" ref="P647" si="3380">IF(ISERROR(P646/L646-1),"NA",P646/L646-1)</f>
        <v>0</v>
      </c>
      <c r="Q647" s="985"/>
      <c r="R647" s="836"/>
      <c r="S647" s="836"/>
      <c r="T647" s="836"/>
      <c r="U647" s="1041"/>
      <c r="V647" s="836"/>
      <c r="W647" s="836"/>
      <c r="X647" s="836"/>
      <c r="Y647" s="838"/>
      <c r="Z647" s="836"/>
      <c r="AA647" s="836"/>
      <c r="AB647" s="836"/>
      <c r="AC647" s="1041"/>
      <c r="AD647" s="836"/>
      <c r="AE647" s="836"/>
      <c r="AF647" s="836"/>
      <c r="AG647" s="1041"/>
      <c r="AH647" s="398"/>
      <c r="AI647" s="398"/>
      <c r="AJ647" s="398"/>
      <c r="AK647" s="401"/>
      <c r="AL647" s="398"/>
      <c r="AM647" s="398"/>
      <c r="AN647" s="398"/>
      <c r="AO647" s="401"/>
      <c r="AP647" s="398"/>
      <c r="AQ647" s="398"/>
      <c r="AR647" s="398"/>
      <c r="AS647" s="401"/>
      <c r="AT647" s="398"/>
      <c r="AU647" s="398"/>
      <c r="AV647" s="398"/>
      <c r="AW647" s="401"/>
      <c r="AX647" s="398"/>
      <c r="AY647" s="398"/>
      <c r="AZ647" s="398"/>
      <c r="BA647" s="401"/>
      <c r="BB647" s="401"/>
      <c r="BC647" s="985" t="str">
        <f t="shared" ref="BC647" si="3381">IF(ISERROR(BC646/BB646-1),"NA",BC646/BB646-1)</f>
        <v>NA</v>
      </c>
      <c r="BD647" s="842">
        <f t="shared" ref="BD647" si="3382">IF(ISERROR(BD646/BC646-1),"NA",BD646/BC646-1)</f>
        <v>-9.0909090909090939E-2</v>
      </c>
      <c r="BE647" s="842">
        <f t="shared" ref="BE647" si="3383">IF(ISERROR(BE646/BD646-1),"NA",BE646/BD646-1)</f>
        <v>0.19999999999999996</v>
      </c>
      <c r="BF647" s="842">
        <f t="shared" ref="BF647" si="3384">IF(ISERROR(BF646/BE646-1),"NA",BF646/BE646-1)</f>
        <v>0</v>
      </c>
      <c r="BG647" s="842">
        <f t="shared" ref="BG647:BI647" si="3385">IF(ISERROR(BG646/BF646-1),"NA",BG646/BF646-1)</f>
        <v>0</v>
      </c>
      <c r="BH647" s="842">
        <f t="shared" si="3385"/>
        <v>0.66666666666666674</v>
      </c>
      <c r="BI647" s="842">
        <f t="shared" si="3385"/>
        <v>0.5</v>
      </c>
      <c r="BJ647" s="1099"/>
      <c r="BK647" s="1099"/>
      <c r="BL647" s="1099"/>
      <c r="BM647" s="1100"/>
      <c r="BN647" s="1100"/>
      <c r="BO647" s="1100"/>
      <c r="BP647" s="1100"/>
      <c r="BQ647" s="650"/>
      <c r="BR647" s="1379"/>
      <c r="BS647" s="1379"/>
      <c r="BT647" s="1379"/>
      <c r="BU647" s="1260"/>
    </row>
    <row r="648" spans="1:73" s="305" customFormat="1" ht="12" hidden="1" customHeight="1" outlineLevel="2">
      <c r="A648" s="1049"/>
      <c r="B648" s="837"/>
      <c r="C648" s="837"/>
      <c r="D648" s="837"/>
      <c r="E648" s="838"/>
      <c r="F648" s="837"/>
      <c r="G648" s="837"/>
      <c r="H648" s="837"/>
      <c r="I648" s="838"/>
      <c r="J648" s="837"/>
      <c r="K648" s="837"/>
      <c r="L648" s="837"/>
      <c r="M648" s="838"/>
      <c r="N648" s="836"/>
      <c r="O648" s="836"/>
      <c r="P648" s="836"/>
      <c r="Q648" s="1041"/>
      <c r="R648" s="836"/>
      <c r="S648" s="836"/>
      <c r="T648" s="836"/>
      <c r="U648" s="1041"/>
      <c r="V648" s="836"/>
      <c r="W648" s="836"/>
      <c r="X648" s="836"/>
      <c r="Y648" s="838"/>
      <c r="Z648" s="836"/>
      <c r="AA648" s="836"/>
      <c r="AB648" s="836"/>
      <c r="AC648" s="1041"/>
      <c r="AD648" s="836"/>
      <c r="AE648" s="836"/>
      <c r="AF648" s="836"/>
      <c r="AG648" s="1041"/>
      <c r="AH648" s="398"/>
      <c r="AI648" s="398"/>
      <c r="AJ648" s="398"/>
      <c r="AK648" s="401"/>
      <c r="AL648" s="398"/>
      <c r="AM648" s="398"/>
      <c r="AN648" s="398"/>
      <c r="AO648" s="401"/>
      <c r="AP648" s="398"/>
      <c r="AQ648" s="398"/>
      <c r="AR648" s="398"/>
      <c r="AS648" s="401"/>
      <c r="AT648" s="398"/>
      <c r="AU648" s="398"/>
      <c r="AV648" s="398"/>
      <c r="AW648" s="401"/>
      <c r="AX648" s="398"/>
      <c r="AY648" s="398"/>
      <c r="AZ648" s="398"/>
      <c r="BA648" s="401"/>
      <c r="BB648" s="401"/>
      <c r="BC648" s="1084"/>
      <c r="BD648" s="1084"/>
      <c r="BE648" s="294"/>
      <c r="BF648" s="296"/>
      <c r="BG648" s="292"/>
      <c r="BH648" s="294"/>
      <c r="BI648" s="294"/>
      <c r="BJ648" s="294"/>
      <c r="BK648" s="294"/>
      <c r="BL648" s="294"/>
      <c r="BM648" s="293"/>
      <c r="BN648" s="293"/>
      <c r="BO648" s="293"/>
      <c r="BP648" s="293"/>
      <c r="BQ648" s="650"/>
      <c r="BR648" s="1379"/>
      <c r="BS648" s="1379"/>
      <c r="BT648" s="1379"/>
      <c r="BU648" s="1260"/>
    </row>
    <row r="649" spans="1:73" s="305" customFormat="1" ht="12" hidden="1" customHeight="1" outlineLevel="2">
      <c r="A649" s="1002" t="s">
        <v>382</v>
      </c>
      <c r="B649" s="837"/>
      <c r="C649" s="837"/>
      <c r="D649" s="837"/>
      <c r="E649" s="838"/>
      <c r="F649" s="837"/>
      <c r="G649" s="837"/>
      <c r="H649" s="837"/>
      <c r="I649" s="838"/>
      <c r="J649" s="837"/>
      <c r="K649" s="837"/>
      <c r="L649" s="837"/>
      <c r="M649" s="838"/>
      <c r="N649" s="836"/>
      <c r="O649" s="836"/>
      <c r="P649" s="836"/>
      <c r="Q649" s="1041"/>
      <c r="R649" s="836"/>
      <c r="S649" s="836"/>
      <c r="T649" s="836"/>
      <c r="U649" s="1041"/>
      <c r="V649" s="836"/>
      <c r="W649" s="836"/>
      <c r="X649" s="836"/>
      <c r="Y649" s="838"/>
      <c r="Z649" s="836"/>
      <c r="AA649" s="836"/>
      <c r="AB649" s="836"/>
      <c r="AC649" s="1041"/>
      <c r="AD649" s="836"/>
      <c r="AE649" s="836"/>
      <c r="AF649" s="836"/>
      <c r="AG649" s="1041"/>
      <c r="AH649" s="398"/>
      <c r="AI649" s="398"/>
      <c r="AJ649" s="398"/>
      <c r="AK649" s="401"/>
      <c r="AL649" s="398"/>
      <c r="AM649" s="398"/>
      <c r="AN649" s="398"/>
      <c r="AO649" s="401"/>
      <c r="AP649" s="398"/>
      <c r="AQ649" s="398"/>
      <c r="AR649" s="398"/>
      <c r="AS649" s="401"/>
      <c r="AT649" s="398"/>
      <c r="AU649" s="398"/>
      <c r="AV649" s="398"/>
      <c r="AW649" s="401"/>
      <c r="AX649" s="398"/>
      <c r="AY649" s="398"/>
      <c r="AZ649" s="398"/>
      <c r="BA649" s="401"/>
      <c r="BB649" s="401"/>
      <c r="BC649" s="1874">
        <v>58.63</v>
      </c>
      <c r="BD649" s="1097">
        <f t="shared" ref="BD649:BL649" si="3386">+BD178/(BD656*1000)</f>
        <v>51.125</v>
      </c>
      <c r="BE649" s="1097">
        <f t="shared" si="3386"/>
        <v>55.024999999999999</v>
      </c>
      <c r="BF649" s="1097">
        <f t="shared" si="3386"/>
        <v>59.714285714285715</v>
      </c>
      <c r="BG649" s="1097">
        <f t="shared" si="3386"/>
        <v>64.534883720930239</v>
      </c>
      <c r="BH649" s="1097">
        <f t="shared" si="3386"/>
        <v>65.333333333333329</v>
      </c>
      <c r="BI649" s="1097">
        <f t="shared" si="3386"/>
        <v>71.260000000000005</v>
      </c>
      <c r="BJ649" s="1097">
        <f t="shared" si="3386"/>
        <v>83.297872340425528</v>
      </c>
      <c r="BK649" s="1097">
        <f t="shared" si="3386"/>
        <v>91.888888888888886</v>
      </c>
      <c r="BL649" s="1097">
        <f t="shared" si="3386"/>
        <v>101.02272727272727</v>
      </c>
      <c r="BM649" s="1101">
        <f t="shared" ref="BM649:BP649" si="3387">+BL649*(1+BM650)</f>
        <v>104.76056818181817</v>
      </c>
      <c r="BN649" s="1101">
        <f t="shared" si="3387"/>
        <v>108.63670920454544</v>
      </c>
      <c r="BO649" s="1101">
        <f t="shared" si="3387"/>
        <v>112.65626744511361</v>
      </c>
      <c r="BP649" s="1101">
        <f t="shared" si="3387"/>
        <v>116.82454934058281</v>
      </c>
      <c r="BQ649" s="650"/>
      <c r="BR649" s="1379"/>
      <c r="BS649" s="1379"/>
      <c r="BT649" s="1379"/>
      <c r="BU649" s="1260"/>
    </row>
    <row r="650" spans="1:73" s="305" customFormat="1" ht="12" hidden="1" customHeight="1" outlineLevel="2">
      <c r="A650" s="1098" t="s">
        <v>181</v>
      </c>
      <c r="B650" s="837"/>
      <c r="C650" s="837"/>
      <c r="D650" s="837"/>
      <c r="E650" s="838"/>
      <c r="F650" s="837"/>
      <c r="G650" s="837"/>
      <c r="H650" s="837"/>
      <c r="I650" s="838"/>
      <c r="J650" s="837"/>
      <c r="K650" s="837"/>
      <c r="L650" s="837"/>
      <c r="M650" s="838"/>
      <c r="N650" s="836"/>
      <c r="O650" s="836"/>
      <c r="P650" s="836"/>
      <c r="Q650" s="1041"/>
      <c r="R650" s="836"/>
      <c r="S650" s="836"/>
      <c r="T650" s="836"/>
      <c r="U650" s="1041"/>
      <c r="V650" s="836"/>
      <c r="W650" s="836"/>
      <c r="X650" s="836"/>
      <c r="Y650" s="838"/>
      <c r="Z650" s="836"/>
      <c r="AA650" s="836"/>
      <c r="AB650" s="836"/>
      <c r="AC650" s="1041"/>
      <c r="AD650" s="836"/>
      <c r="AE650" s="836"/>
      <c r="AF650" s="836"/>
      <c r="AG650" s="1041"/>
      <c r="AH650" s="398"/>
      <c r="AI650" s="398"/>
      <c r="AJ650" s="398"/>
      <c r="AK650" s="401"/>
      <c r="AL650" s="398"/>
      <c r="AM650" s="398"/>
      <c r="AN650" s="398"/>
      <c r="AO650" s="401"/>
      <c r="AP650" s="398"/>
      <c r="AQ650" s="398"/>
      <c r="AR650" s="398"/>
      <c r="AS650" s="401"/>
      <c r="AT650" s="398"/>
      <c r="AU650" s="398"/>
      <c r="AV650" s="398"/>
      <c r="AW650" s="401"/>
      <c r="AX650" s="398"/>
      <c r="AY650" s="398"/>
      <c r="AZ650" s="398"/>
      <c r="BA650" s="401"/>
      <c r="BB650" s="401"/>
      <c r="BC650" s="985" t="str">
        <f t="shared" ref="BC650" si="3388">IF(ISERROR(BC649/BB649-1),"NA",BC649/BB649-1)</f>
        <v>NA</v>
      </c>
      <c r="BD650" s="842">
        <f t="shared" ref="BD650" si="3389">IF(ISERROR(BD649/BC649-1),"NA",BD649/BC649-1)</f>
        <v>-0.12800614020126222</v>
      </c>
      <c r="BE650" s="842">
        <f t="shared" ref="BE650" si="3390">IF(ISERROR(BE649/BD649-1),"NA",BE649/BD649-1)</f>
        <v>7.6283618581907131E-2</v>
      </c>
      <c r="BF650" s="842">
        <f t="shared" ref="BF650" si="3391">IF(ISERROR(BF649/BE649-1),"NA",BF649/BE649-1)</f>
        <v>8.5221003439994947E-2</v>
      </c>
      <c r="BG650" s="842">
        <f t="shared" ref="BG650" si="3392">IF(ISERROR(BG649/BF649-1),"NA",BG649/BF649-1)</f>
        <v>8.0727717814621291E-2</v>
      </c>
      <c r="BH650" s="842">
        <f t="shared" ref="BH650" si="3393">IF(ISERROR(BH649/BG649-1),"NA",BH649/BG649-1)</f>
        <v>1.2372372372372098E-2</v>
      </c>
      <c r="BI650" s="842">
        <f t="shared" ref="BI650" si="3394">IF(ISERROR(BI649/BH649-1),"NA",BI649/BH649-1)</f>
        <v>9.0714285714285969E-2</v>
      </c>
      <c r="BJ650" s="842">
        <f t="shared" ref="BJ650:BL650" si="3395">IF(ISERROR(BJ649/BI649-1),"NA",BJ649/BI649-1)</f>
        <v>0.16892888493440239</v>
      </c>
      <c r="BK650" s="842">
        <f t="shared" si="3395"/>
        <v>0.10313608627784876</v>
      </c>
      <c r="BL650" s="842">
        <f t="shared" si="3395"/>
        <v>9.9400901396064612E-2</v>
      </c>
      <c r="BM650" s="1100">
        <v>3.6999999999999998E-2</v>
      </c>
      <c r="BN650" s="1100">
        <v>3.6999999999999998E-2</v>
      </c>
      <c r="BO650" s="1100">
        <v>3.6999999999999998E-2</v>
      </c>
      <c r="BP650" s="1100">
        <v>3.6999999999999998E-2</v>
      </c>
      <c r="BQ650" s="650"/>
      <c r="BR650" s="1379"/>
      <c r="BS650" s="1379"/>
      <c r="BT650" s="1379"/>
      <c r="BU650" s="1260"/>
    </row>
    <row r="651" spans="1:73" s="305" customFormat="1" ht="12" hidden="1" customHeight="1" outlineLevel="2">
      <c r="A651" s="1049"/>
      <c r="B651" s="837"/>
      <c r="C651" s="837"/>
      <c r="D651" s="837"/>
      <c r="E651" s="838"/>
      <c r="F651" s="837"/>
      <c r="G651" s="837"/>
      <c r="H651" s="837"/>
      <c r="I651" s="838"/>
      <c r="J651" s="837"/>
      <c r="K651" s="837"/>
      <c r="L651" s="837"/>
      <c r="M651" s="838"/>
      <c r="N651" s="836"/>
      <c r="O651" s="836"/>
      <c r="P651" s="836"/>
      <c r="Q651" s="1041"/>
      <c r="R651" s="836"/>
      <c r="S651" s="836"/>
      <c r="T651" s="836"/>
      <c r="U651" s="1041"/>
      <c r="V651" s="836"/>
      <c r="W651" s="836"/>
      <c r="X651" s="836"/>
      <c r="Y651" s="838"/>
      <c r="Z651" s="836"/>
      <c r="AA651" s="836"/>
      <c r="AB651" s="836"/>
      <c r="AC651" s="1041"/>
      <c r="AD651" s="836"/>
      <c r="AE651" s="836"/>
      <c r="AF651" s="836"/>
      <c r="AG651" s="1041"/>
      <c r="AH651" s="398"/>
      <c r="AI651" s="398"/>
      <c r="AJ651" s="398"/>
      <c r="AK651" s="401"/>
      <c r="AL651" s="398"/>
      <c r="AM651" s="398"/>
      <c r="AN651" s="398"/>
      <c r="AO651" s="401"/>
      <c r="AP651" s="398"/>
      <c r="AQ651" s="398"/>
      <c r="AR651" s="398"/>
      <c r="AS651" s="401"/>
      <c r="AT651" s="398"/>
      <c r="AU651" s="398"/>
      <c r="AV651" s="398"/>
      <c r="AW651" s="401"/>
      <c r="AX651" s="398"/>
      <c r="AY651" s="398"/>
      <c r="AZ651" s="398"/>
      <c r="BA651" s="401"/>
      <c r="BB651" s="401"/>
      <c r="BC651" s="1084"/>
      <c r="BD651" s="1084"/>
      <c r="BE651" s="294"/>
      <c r="BF651" s="296"/>
      <c r="BG651" s="292"/>
      <c r="BH651" s="294"/>
      <c r="BI651" s="294"/>
      <c r="BJ651" s="294"/>
      <c r="BK651" s="294"/>
      <c r="BL651" s="294"/>
      <c r="BM651" s="293"/>
      <c r="BN651" s="293"/>
      <c r="BO651" s="293"/>
      <c r="BP651" s="293"/>
      <c r="BQ651" s="650"/>
      <c r="BR651" s="1379"/>
      <c r="BS651" s="1379"/>
      <c r="BT651" s="1379"/>
      <c r="BU651" s="1260"/>
    </row>
    <row r="652" spans="1:73" s="305" customFormat="1" ht="12" hidden="1" customHeight="1" outlineLevel="2">
      <c r="A652" s="1159" t="s">
        <v>375</v>
      </c>
      <c r="B652" s="1125"/>
      <c r="C652" s="1125"/>
      <c r="D652" s="1125"/>
      <c r="E652" s="1126"/>
      <c r="F652" s="1125"/>
      <c r="G652" s="1125"/>
      <c r="H652" s="1125"/>
      <c r="I652" s="1126"/>
      <c r="J652" s="1125"/>
      <c r="K652" s="1125"/>
      <c r="L652" s="1125"/>
      <c r="M652" s="1126"/>
      <c r="N652" s="1127"/>
      <c r="O652" s="1127"/>
      <c r="P652" s="1127"/>
      <c r="Q652" s="1128"/>
      <c r="R652" s="1127"/>
      <c r="S652" s="1127"/>
      <c r="T652" s="1127"/>
      <c r="U652" s="1128"/>
      <c r="V652" s="1127"/>
      <c r="W652" s="1127"/>
      <c r="X652" s="1127"/>
      <c r="Y652" s="1126"/>
      <c r="Z652" s="1127"/>
      <c r="AA652" s="1127"/>
      <c r="AB652" s="1127"/>
      <c r="AC652" s="1128"/>
      <c r="AD652" s="1127"/>
      <c r="AE652" s="1127"/>
      <c r="AF652" s="1127"/>
      <c r="AG652" s="1128"/>
      <c r="AH652" s="398"/>
      <c r="AI652" s="398"/>
      <c r="AJ652" s="398"/>
      <c r="AK652" s="401"/>
      <c r="AL652" s="398"/>
      <c r="AM652" s="398"/>
      <c r="AN652" s="398"/>
      <c r="AO652" s="401"/>
      <c r="AP652" s="398"/>
      <c r="AQ652" s="398"/>
      <c r="AR652" s="398"/>
      <c r="AS652" s="401"/>
      <c r="AT652" s="398"/>
      <c r="AU652" s="398"/>
      <c r="AV652" s="398"/>
      <c r="AW652" s="401"/>
      <c r="AX652" s="398"/>
      <c r="AY652" s="398"/>
      <c r="AZ652" s="398"/>
      <c r="BA652" s="401"/>
      <c r="BB652" s="401"/>
      <c r="BC652" s="1084"/>
      <c r="BD652" s="1084"/>
      <c r="BE652" s="294"/>
      <c r="BF652" s="296"/>
      <c r="BG652" s="292"/>
      <c r="BH652" s="294"/>
      <c r="BI652" s="294"/>
      <c r="BJ652" s="294"/>
      <c r="BK652" s="294"/>
      <c r="BL652" s="294"/>
      <c r="BM652" s="1050"/>
      <c r="BN652" s="1050"/>
      <c r="BO652" s="1050"/>
      <c r="BP652" s="1050"/>
      <c r="BR652" s="1379"/>
      <c r="BS652" s="1379"/>
      <c r="BT652" s="1379"/>
      <c r="BU652" s="1260"/>
    </row>
    <row r="653" spans="1:73" s="305" customFormat="1" ht="12" hidden="1" customHeight="1" outlineLevel="2">
      <c r="A653" s="1107" t="s">
        <v>140</v>
      </c>
      <c r="B653" s="1108"/>
      <c r="C653" s="1108"/>
      <c r="D653" s="1108"/>
      <c r="E653" s="1109"/>
      <c r="F653" s="1108"/>
      <c r="G653" s="1108"/>
      <c r="H653" s="1108"/>
      <c r="I653" s="1109"/>
      <c r="J653" s="1108"/>
      <c r="K653" s="1108"/>
      <c r="L653" s="1108"/>
      <c r="M653" s="1109"/>
      <c r="N653" s="1110"/>
      <c r="O653" s="1110"/>
      <c r="P653" s="1110"/>
      <c r="Q653" s="1111"/>
      <c r="R653" s="1110"/>
      <c r="S653" s="1110"/>
      <c r="T653" s="1110"/>
      <c r="U653" s="1111"/>
      <c r="V653" s="1110"/>
      <c r="W653" s="1110"/>
      <c r="X653" s="1110"/>
      <c r="Y653" s="1109"/>
      <c r="Z653" s="1110"/>
      <c r="AA653" s="1110"/>
      <c r="AB653" s="1110"/>
      <c r="AC653" s="1111"/>
      <c r="AD653" s="1110"/>
      <c r="AE653" s="1110"/>
      <c r="AF653" s="1110"/>
      <c r="AG653" s="1111"/>
      <c r="AH653" s="398"/>
      <c r="AI653" s="398"/>
      <c r="AJ653" s="398"/>
      <c r="AK653" s="401"/>
      <c r="AL653" s="398"/>
      <c r="AM653" s="398"/>
      <c r="AN653" s="398"/>
      <c r="AO653" s="401"/>
      <c r="AP653" s="398"/>
      <c r="AQ653" s="398"/>
      <c r="AR653" s="398"/>
      <c r="AS653" s="401"/>
      <c r="AT653" s="398"/>
      <c r="AU653" s="398"/>
      <c r="AV653" s="398"/>
      <c r="AW653" s="401"/>
      <c r="AX653" s="398"/>
      <c r="AY653" s="398"/>
      <c r="AZ653" s="398"/>
      <c r="BA653" s="401"/>
      <c r="BB653" s="401"/>
      <c r="BC653" s="1115">
        <v>0.14899999999999999</v>
      </c>
      <c r="BD653" s="1115">
        <v>0.151</v>
      </c>
      <c r="BE653" s="1112">
        <v>0.15</v>
      </c>
      <c r="BF653" s="1116">
        <v>0.153</v>
      </c>
      <c r="BG653" s="1117">
        <v>0.155</v>
      </c>
      <c r="BH653" s="1112">
        <v>0.16042499999999998</v>
      </c>
      <c r="BI653" s="1112">
        <v>0.16400000000000001</v>
      </c>
      <c r="BJ653" s="1112">
        <v>0.16</v>
      </c>
      <c r="BK653" s="1112">
        <v>0.157</v>
      </c>
      <c r="BL653" s="1488">
        <v>0.158</v>
      </c>
      <c r="BM653" s="1113">
        <v>0.17260738502463607</v>
      </c>
      <c r="BN653" s="1113">
        <v>0.17260738502463607</v>
      </c>
      <c r="BO653" s="1113">
        <v>0.17260738502463607</v>
      </c>
      <c r="BP653" s="1113">
        <v>0.17260738502463607</v>
      </c>
      <c r="BR653" s="1379"/>
      <c r="BS653" s="1379"/>
      <c r="BT653" s="1379"/>
      <c r="BU653" s="1260"/>
    </row>
    <row r="654" spans="1:73" s="305" customFormat="1" ht="12" hidden="1" customHeight="1" outlineLevel="2">
      <c r="A654" s="1049" t="s">
        <v>141</v>
      </c>
      <c r="B654" s="837"/>
      <c r="C654" s="837"/>
      <c r="D654" s="837"/>
      <c r="E654" s="838"/>
      <c r="F654" s="837"/>
      <c r="G654" s="837"/>
      <c r="H654" s="837"/>
      <c r="I654" s="838"/>
      <c r="J654" s="837"/>
      <c r="K654" s="837"/>
      <c r="L654" s="837"/>
      <c r="M654" s="838"/>
      <c r="N654" s="836"/>
      <c r="O654" s="836"/>
      <c r="P654" s="836"/>
      <c r="Q654" s="1041"/>
      <c r="R654" s="836"/>
      <c r="S654" s="836"/>
      <c r="T654" s="836"/>
      <c r="U654" s="1041"/>
      <c r="V654" s="836"/>
      <c r="W654" s="836"/>
      <c r="X654" s="836"/>
      <c r="Y654" s="838"/>
      <c r="Z654" s="836"/>
      <c r="AA654" s="836"/>
      <c r="AB654" s="836"/>
      <c r="AC654" s="1041"/>
      <c r="AD654" s="836"/>
      <c r="AE654" s="836"/>
      <c r="AF654" s="836"/>
      <c r="AG654" s="1041"/>
      <c r="AH654" s="398"/>
      <c r="AI654" s="398"/>
      <c r="AJ654" s="398"/>
      <c r="AK654" s="401"/>
      <c r="AL654" s="398"/>
      <c r="AM654" s="398"/>
      <c r="AN654" s="398"/>
      <c r="AO654" s="401"/>
      <c r="AP654" s="398"/>
      <c r="AQ654" s="398"/>
      <c r="AR654" s="398"/>
      <c r="AS654" s="401"/>
      <c r="AT654" s="398"/>
      <c r="AU654" s="398"/>
      <c r="AV654" s="398"/>
      <c r="AW654" s="401"/>
      <c r="AX654" s="398"/>
      <c r="AY654" s="398"/>
      <c r="AZ654" s="398"/>
      <c r="BA654" s="401"/>
      <c r="BB654" s="401"/>
      <c r="BC654" s="1102">
        <v>6.8000000000000005E-2</v>
      </c>
      <c r="BD654" s="1102">
        <v>6.9000000000000006E-2</v>
      </c>
      <c r="BE654" s="1103">
        <v>6.9000000000000006E-2</v>
      </c>
      <c r="BF654" s="1104">
        <v>7.0000000000000007E-2</v>
      </c>
      <c r="BG654" s="1105">
        <v>7.0999999999999994E-2</v>
      </c>
      <c r="BH654" s="1103">
        <v>7.0999999999999994E-2</v>
      </c>
      <c r="BI654" s="1103">
        <v>0.72</v>
      </c>
      <c r="BJ654" s="1103">
        <v>0.72</v>
      </c>
      <c r="BK654" s="1103">
        <v>0.72</v>
      </c>
      <c r="BL654" s="1490"/>
      <c r="BM654" s="1114"/>
      <c r="BN654" s="1114"/>
      <c r="BO654" s="1114"/>
      <c r="BP654" s="1114"/>
      <c r="BR654" s="1379"/>
      <c r="BS654" s="1379"/>
      <c r="BT654" s="1379"/>
      <c r="BU654" s="1260"/>
    </row>
    <row r="655" spans="1:73" s="305" customFormat="1" ht="12" hidden="1" customHeight="1" outlineLevel="2">
      <c r="A655" s="1049" t="s">
        <v>142</v>
      </c>
      <c r="B655" s="837"/>
      <c r="C655" s="837"/>
      <c r="D655" s="837"/>
      <c r="E655" s="838"/>
      <c r="F655" s="837"/>
      <c r="G655" s="837"/>
      <c r="H655" s="837"/>
      <c r="I655" s="838"/>
      <c r="J655" s="837"/>
      <c r="K655" s="837"/>
      <c r="L655" s="837"/>
      <c r="M655" s="838"/>
      <c r="N655" s="836"/>
      <c r="O655" s="836"/>
      <c r="P655" s="836"/>
      <c r="Q655" s="1041"/>
      <c r="R655" s="836"/>
      <c r="S655" s="836"/>
      <c r="T655" s="836"/>
      <c r="U655" s="1041"/>
      <c r="V655" s="836"/>
      <c r="W655" s="836"/>
      <c r="X655" s="836"/>
      <c r="Y655" s="838"/>
      <c r="Z655" s="836"/>
      <c r="AA655" s="836"/>
      <c r="AB655" s="836"/>
      <c r="AC655" s="1041"/>
      <c r="AD655" s="836"/>
      <c r="AE655" s="836"/>
      <c r="AF655" s="836"/>
      <c r="AG655" s="1041"/>
      <c r="AH655" s="398"/>
      <c r="AI655" s="398"/>
      <c r="AJ655" s="398"/>
      <c r="AK655" s="401"/>
      <c r="AL655" s="398"/>
      <c r="AM655" s="398"/>
      <c r="AN655" s="398"/>
      <c r="AO655" s="401"/>
      <c r="AP655" s="398"/>
      <c r="AQ655" s="398"/>
      <c r="AR655" s="398"/>
      <c r="AS655" s="401"/>
      <c r="AT655" s="398"/>
      <c r="AU655" s="398"/>
      <c r="AV655" s="398"/>
      <c r="AW655" s="401"/>
      <c r="AX655" s="398"/>
      <c r="AY655" s="398"/>
      <c r="AZ655" s="398"/>
      <c r="BA655" s="401"/>
      <c r="BB655" s="401"/>
      <c r="BC655" s="1102">
        <v>1.7000000000000001E-2</v>
      </c>
      <c r="BD655" s="1102">
        <v>1.6E-2</v>
      </c>
      <c r="BE655" s="1103">
        <v>1.6E-2</v>
      </c>
      <c r="BF655" s="1104">
        <v>1.6E-2</v>
      </c>
      <c r="BG655" s="1105">
        <v>1.4999999999999999E-2</v>
      </c>
      <c r="BH655" s="1103">
        <v>1.4E-2</v>
      </c>
      <c r="BI655" s="1103">
        <v>0.15</v>
      </c>
      <c r="BJ655" s="1103">
        <v>0.15</v>
      </c>
      <c r="BK655" s="1103">
        <v>0.15</v>
      </c>
      <c r="BL655" s="1490"/>
      <c r="BM655" s="1114"/>
      <c r="BN655" s="1114"/>
      <c r="BO655" s="1114"/>
      <c r="BP655" s="1114"/>
      <c r="BR655" s="1379"/>
      <c r="BS655" s="1379"/>
      <c r="BT655" s="1379"/>
      <c r="BU655" s="1260"/>
    </row>
    <row r="656" spans="1:73" s="305" customFormat="1" ht="12" hidden="1" customHeight="1" outlineLevel="2">
      <c r="A656" s="1107" t="s">
        <v>376</v>
      </c>
      <c r="B656" s="1108"/>
      <c r="C656" s="1108"/>
      <c r="D656" s="1108"/>
      <c r="E656" s="1109"/>
      <c r="F656" s="1108"/>
      <c r="G656" s="1108"/>
      <c r="H656" s="1108"/>
      <c r="I656" s="1109"/>
      <c r="J656" s="1108"/>
      <c r="K656" s="1108"/>
      <c r="L656" s="1108"/>
      <c r="M656" s="1109"/>
      <c r="N656" s="1110"/>
      <c r="O656" s="1110"/>
      <c r="P656" s="1110"/>
      <c r="Q656" s="1111"/>
      <c r="R656" s="1110"/>
      <c r="S656" s="1110"/>
      <c r="T656" s="1110"/>
      <c r="U656" s="1111"/>
      <c r="V656" s="1110"/>
      <c r="W656" s="1110"/>
      <c r="X656" s="1110"/>
      <c r="Y656" s="1109"/>
      <c r="Z656" s="1110"/>
      <c r="AA656" s="1110"/>
      <c r="AB656" s="1110"/>
      <c r="AC656" s="1111"/>
      <c r="AD656" s="1110"/>
      <c r="AE656" s="1110"/>
      <c r="AF656" s="1110"/>
      <c r="AG656" s="1111"/>
      <c r="AH656" s="398"/>
      <c r="AI656" s="398"/>
      <c r="AJ656" s="398"/>
      <c r="AK656" s="401"/>
      <c r="AL656" s="398"/>
      <c r="AM656" s="398"/>
      <c r="AN656" s="398"/>
      <c r="AO656" s="401"/>
      <c r="AP656" s="398"/>
      <c r="AQ656" s="398"/>
      <c r="AR656" s="398"/>
      <c r="AS656" s="401"/>
      <c r="AT656" s="398"/>
      <c r="AU656" s="398"/>
      <c r="AV656" s="398"/>
      <c r="AW656" s="401"/>
      <c r="AX656" s="398"/>
      <c r="AY656" s="398"/>
      <c r="AZ656" s="398"/>
      <c r="BA656" s="401"/>
      <c r="BB656" s="401"/>
      <c r="BC656" s="1115">
        <v>3.5999999999999997E-2</v>
      </c>
      <c r="BD656" s="1115">
        <v>0.04</v>
      </c>
      <c r="BE656" s="1112">
        <v>0.04</v>
      </c>
      <c r="BF656" s="1116">
        <v>4.2000000000000003E-2</v>
      </c>
      <c r="BG656" s="1117">
        <v>4.2999999999999997E-2</v>
      </c>
      <c r="BH656" s="1112">
        <v>4.8000000000000001E-2</v>
      </c>
      <c r="BI656" s="1112">
        <v>0.05</v>
      </c>
      <c r="BJ656" s="1112">
        <v>4.7E-2</v>
      </c>
      <c r="BK656" s="1112">
        <v>4.4999999999999998E-2</v>
      </c>
      <c r="BL656" s="1488">
        <v>4.3999999999999997E-2</v>
      </c>
      <c r="BM656" s="1120">
        <f t="shared" ref="BM656" si="3396">+BM653*BM663*BM664</f>
        <v>5.2665508687016936E-2</v>
      </c>
      <c r="BN656" s="1120">
        <f t="shared" ref="BN656:BO656" si="3397">+BN653*BN663*BN664</f>
        <v>5.4261535877313229E-2</v>
      </c>
      <c r="BO656" s="1120">
        <f t="shared" si="3397"/>
        <v>5.5857563067609521E-2</v>
      </c>
      <c r="BP656" s="1120">
        <f t="shared" ref="BP656" si="3398">+BP653*BP663*BP664</f>
        <v>5.7453590257905807E-2</v>
      </c>
      <c r="BR656" s="1379"/>
      <c r="BS656" s="1379"/>
      <c r="BT656" s="1379"/>
      <c r="BU656" s="1260"/>
    </row>
    <row r="657" spans="1:73" s="305" customFormat="1" ht="12" hidden="1" customHeight="1" outlineLevel="2">
      <c r="A657" s="1049" t="s">
        <v>143</v>
      </c>
      <c r="B657" s="837"/>
      <c r="C657" s="837"/>
      <c r="D657" s="837"/>
      <c r="E657" s="838"/>
      <c r="F657" s="837"/>
      <c r="G657" s="837"/>
      <c r="H657" s="837"/>
      <c r="I657" s="838"/>
      <c r="J657" s="837"/>
      <c r="K657" s="837"/>
      <c r="L657" s="837"/>
      <c r="M657" s="838"/>
      <c r="N657" s="836"/>
      <c r="O657" s="836"/>
      <c r="P657" s="836"/>
      <c r="Q657" s="1041"/>
      <c r="R657" s="836"/>
      <c r="S657" s="836"/>
      <c r="T657" s="836"/>
      <c r="U657" s="1041"/>
      <c r="V657" s="836"/>
      <c r="W657" s="836"/>
      <c r="X657" s="836"/>
      <c r="Y657" s="838"/>
      <c r="Z657" s="836"/>
      <c r="AA657" s="836"/>
      <c r="AB657" s="836"/>
      <c r="AC657" s="1041"/>
      <c r="AD657" s="836"/>
      <c r="AE657" s="836"/>
      <c r="AF657" s="836"/>
      <c r="AG657" s="1041"/>
      <c r="AH657" s="398"/>
      <c r="AI657" s="398"/>
      <c r="AJ657" s="398"/>
      <c r="AK657" s="401"/>
      <c r="AL657" s="398"/>
      <c r="AM657" s="398"/>
      <c r="AN657" s="398"/>
      <c r="AO657" s="401"/>
      <c r="AP657" s="398"/>
      <c r="AQ657" s="398"/>
      <c r="AR657" s="398"/>
      <c r="AS657" s="401"/>
      <c r="AT657" s="398"/>
      <c r="AU657" s="398"/>
      <c r="AV657" s="398"/>
      <c r="AW657" s="401"/>
      <c r="AX657" s="398"/>
      <c r="AY657" s="398"/>
      <c r="AZ657" s="398"/>
      <c r="BA657" s="401"/>
      <c r="BB657" s="401"/>
      <c r="BC657" s="1102">
        <v>2.1000000000000001E-2</v>
      </c>
      <c r="BD657" s="1102">
        <v>2.1000000000000001E-2</v>
      </c>
      <c r="BE657" s="1103">
        <v>2.1000000000000001E-2</v>
      </c>
      <c r="BF657" s="1104">
        <v>2.1000000000000001E-2</v>
      </c>
      <c r="BG657" s="1105">
        <v>2.1999999999999999E-2</v>
      </c>
      <c r="BH657" s="1043">
        <v>2.5000000000000001E-2</v>
      </c>
      <c r="BI657" s="1043">
        <v>2.5000000000000001E-2</v>
      </c>
      <c r="BJ657" s="1043">
        <v>2.7E-2</v>
      </c>
      <c r="BK657" s="1043">
        <v>2.8000000000000001E-2</v>
      </c>
      <c r="BL657" s="1491"/>
      <c r="BM657" s="1106"/>
      <c r="BN657" s="1106"/>
      <c r="BO657" s="1106"/>
      <c r="BP657" s="1106"/>
      <c r="BR657" s="1379"/>
      <c r="BS657" s="1379"/>
      <c r="BT657" s="1379"/>
      <c r="BU657" s="1260"/>
    </row>
    <row r="658" spans="1:73" s="305" customFormat="1" ht="12" hidden="1" customHeight="1" outlineLevel="2">
      <c r="A658" s="1049" t="s">
        <v>144</v>
      </c>
      <c r="B658" s="837"/>
      <c r="C658" s="837"/>
      <c r="D658" s="837"/>
      <c r="E658" s="838"/>
      <c r="F658" s="837"/>
      <c r="G658" s="837"/>
      <c r="H658" s="837"/>
      <c r="I658" s="838"/>
      <c r="J658" s="837"/>
      <c r="K658" s="837"/>
      <c r="L658" s="837"/>
      <c r="M658" s="838"/>
      <c r="N658" s="836"/>
      <c r="O658" s="836"/>
      <c r="P658" s="836"/>
      <c r="Q658" s="1041"/>
      <c r="R658" s="836"/>
      <c r="S658" s="836"/>
      <c r="T658" s="836"/>
      <c r="U658" s="1041"/>
      <c r="V658" s="836"/>
      <c r="W658" s="836"/>
      <c r="X658" s="836"/>
      <c r="Y658" s="838"/>
      <c r="Z658" s="836"/>
      <c r="AA658" s="836"/>
      <c r="AB658" s="836"/>
      <c r="AC658" s="1041"/>
      <c r="AD658" s="836"/>
      <c r="AE658" s="836"/>
      <c r="AF658" s="836"/>
      <c r="AG658" s="1041"/>
      <c r="AH658" s="398"/>
      <c r="AI658" s="398"/>
      <c r="AJ658" s="398"/>
      <c r="AK658" s="401"/>
      <c r="AL658" s="398"/>
      <c r="AM658" s="398"/>
      <c r="AN658" s="398"/>
      <c r="AO658" s="401"/>
      <c r="AP658" s="398"/>
      <c r="AQ658" s="398"/>
      <c r="AR658" s="398"/>
      <c r="AS658" s="401"/>
      <c r="AT658" s="398"/>
      <c r="AU658" s="398"/>
      <c r="AV658" s="398"/>
      <c r="AW658" s="401"/>
      <c r="AX658" s="398"/>
      <c r="AY658" s="398"/>
      <c r="AZ658" s="398"/>
      <c r="BA658" s="401"/>
      <c r="BB658" s="401"/>
      <c r="BC658" s="1102">
        <v>6.0000000000000001E-3</v>
      </c>
      <c r="BD658" s="1102">
        <v>6.0000000000000001E-3</v>
      </c>
      <c r="BE658" s="1103">
        <v>5.0000000000000001E-3</v>
      </c>
      <c r="BF658" s="1104">
        <v>5.0000000000000001E-3</v>
      </c>
      <c r="BG658" s="1105">
        <v>4.0000000000000001E-3</v>
      </c>
      <c r="BH658" s="1043">
        <v>3.0000000000000001E-3</v>
      </c>
      <c r="BI658" s="1043">
        <v>1E-3</v>
      </c>
      <c r="BJ658" s="1043">
        <f>0.001</f>
        <v>1E-3</v>
      </c>
      <c r="BK658" s="1043">
        <v>0</v>
      </c>
      <c r="BL658" s="1491"/>
      <c r="BM658" s="1106"/>
      <c r="BN658" s="1106"/>
      <c r="BO658" s="1106"/>
      <c r="BP658" s="1106"/>
      <c r="BR658" s="1379"/>
      <c r="BS658" s="1379"/>
      <c r="BT658" s="1379"/>
      <c r="BU658" s="1260"/>
    </row>
    <row r="659" spans="1:73" s="305" customFormat="1" ht="12" hidden="1" customHeight="1" outlineLevel="2">
      <c r="A659" s="1049"/>
      <c r="B659" s="837"/>
      <c r="C659" s="837"/>
      <c r="D659" s="837"/>
      <c r="E659" s="838"/>
      <c r="F659" s="837"/>
      <c r="G659" s="837"/>
      <c r="H659" s="837"/>
      <c r="I659" s="838"/>
      <c r="J659" s="837"/>
      <c r="K659" s="837"/>
      <c r="L659" s="837"/>
      <c r="M659" s="838"/>
      <c r="N659" s="836"/>
      <c r="O659" s="836"/>
      <c r="P659" s="836"/>
      <c r="Q659" s="1041"/>
      <c r="R659" s="836"/>
      <c r="S659" s="836"/>
      <c r="T659" s="836"/>
      <c r="U659" s="1041"/>
      <c r="V659" s="836"/>
      <c r="W659" s="836"/>
      <c r="X659" s="836"/>
      <c r="Y659" s="838"/>
      <c r="Z659" s="836"/>
      <c r="AA659" s="836"/>
      <c r="AB659" s="836"/>
      <c r="AC659" s="1041"/>
      <c r="AD659" s="836"/>
      <c r="AE659" s="836"/>
      <c r="AF659" s="836"/>
      <c r="AG659" s="1041"/>
      <c r="AH659" s="398"/>
      <c r="AI659" s="398"/>
      <c r="AJ659" s="398"/>
      <c r="AK659" s="401"/>
      <c r="AL659" s="398"/>
      <c r="AM659" s="398"/>
      <c r="AN659" s="398"/>
      <c r="AO659" s="401"/>
      <c r="AP659" s="398"/>
      <c r="AQ659" s="398"/>
      <c r="AR659" s="398"/>
      <c r="AS659" s="401"/>
      <c r="AT659" s="398"/>
      <c r="AU659" s="398"/>
      <c r="AV659" s="398"/>
      <c r="AW659" s="401"/>
      <c r="AX659" s="398"/>
      <c r="AY659" s="398"/>
      <c r="AZ659" s="398"/>
      <c r="BA659" s="401"/>
      <c r="BB659" s="401"/>
      <c r="BC659" s="1084"/>
      <c r="BD659" s="1084"/>
      <c r="BE659" s="294"/>
      <c r="BF659" s="296"/>
      <c r="BG659" s="292"/>
      <c r="BH659" s="294"/>
      <c r="BI659" s="294"/>
      <c r="BJ659" s="294"/>
      <c r="BK659" s="294"/>
      <c r="BL659" s="404"/>
      <c r="BM659" s="1050"/>
      <c r="BN659" s="1050"/>
      <c r="BO659" s="1050"/>
      <c r="BP659" s="1050"/>
      <c r="BR659" s="1379"/>
      <c r="BS659" s="1379"/>
      <c r="BT659" s="1379"/>
      <c r="BU659" s="1260"/>
    </row>
    <row r="660" spans="1:73" s="305" customFormat="1" ht="12" hidden="1" customHeight="1" outlineLevel="2">
      <c r="A660" s="1049" t="s">
        <v>378</v>
      </c>
      <c r="B660" s="837"/>
      <c r="C660" s="837"/>
      <c r="D660" s="837"/>
      <c r="E660" s="838"/>
      <c r="F660" s="837"/>
      <c r="G660" s="837"/>
      <c r="H660" s="837"/>
      <c r="I660" s="838"/>
      <c r="J660" s="837"/>
      <c r="K660" s="837"/>
      <c r="L660" s="837"/>
      <c r="M660" s="838"/>
      <c r="N660" s="836"/>
      <c r="O660" s="836"/>
      <c r="P660" s="836"/>
      <c r="Q660" s="1041"/>
      <c r="R660" s="836"/>
      <c r="S660" s="836"/>
      <c r="T660" s="836"/>
      <c r="U660" s="1041"/>
      <c r="V660" s="836"/>
      <c r="W660" s="836"/>
      <c r="X660" s="836"/>
      <c r="Y660" s="838"/>
      <c r="Z660" s="836"/>
      <c r="AA660" s="836"/>
      <c r="AB660" s="836"/>
      <c r="AC660" s="1041"/>
      <c r="AD660" s="836"/>
      <c r="AE660" s="836"/>
      <c r="AF660" s="836"/>
      <c r="AG660" s="1041"/>
      <c r="AH660" s="398"/>
      <c r="AI660" s="398"/>
      <c r="AJ660" s="398"/>
      <c r="AK660" s="401"/>
      <c r="AL660" s="398"/>
      <c r="AM660" s="398"/>
      <c r="AN660" s="398"/>
      <c r="AO660" s="401"/>
      <c r="AP660" s="398"/>
      <c r="AQ660" s="398"/>
      <c r="AR660" s="398"/>
      <c r="AS660" s="401"/>
      <c r="AT660" s="398"/>
      <c r="AU660" s="398"/>
      <c r="AV660" s="398"/>
      <c r="AW660" s="401"/>
      <c r="AX660" s="398"/>
      <c r="AY660" s="398"/>
      <c r="AZ660" s="398"/>
      <c r="BA660" s="401"/>
      <c r="BB660" s="401"/>
      <c r="BC660" s="991" t="str">
        <f t="shared" ref="BC660:BF660" si="3399">IF(ISERROR(BC653/BB653-1),"NA",BC653/BB653-1)</f>
        <v>NA</v>
      </c>
      <c r="BD660" s="841">
        <f t="shared" si="3399"/>
        <v>1.3422818791946289E-2</v>
      </c>
      <c r="BE660" s="841">
        <f t="shared" si="3399"/>
        <v>-6.6225165562914245E-3</v>
      </c>
      <c r="BF660" s="841">
        <f t="shared" si="3399"/>
        <v>2.0000000000000018E-2</v>
      </c>
      <c r="BG660" s="841">
        <f>IF(ISERROR(BG653/BF653-1),"NA",BG653/BF653-1)</f>
        <v>1.3071895424836555E-2</v>
      </c>
      <c r="BH660" s="841">
        <f>IF(ISERROR(BH653/BG653-1),"NA",BH653/BG653-1)</f>
        <v>3.499999999999992E-2</v>
      </c>
      <c r="BI660" s="841">
        <f>IF(ISERROR(BI653/BH653-1),"NA",BI653/BH653-1)</f>
        <v>2.2284556646408049E-2</v>
      </c>
      <c r="BJ660" s="841">
        <f>IF(ISERROR(BJ653/BI653-1),"NA",BJ653/BI653-1)</f>
        <v>-2.4390243902439046E-2</v>
      </c>
      <c r="BK660" s="841">
        <f>IF(ISERROR(BK653/BJ653-1),"NA",BK653/BJ653-1)</f>
        <v>-1.8750000000000044E-2</v>
      </c>
      <c r="BL660" s="1118">
        <f t="shared" ref="BL660:BP660" si="3400">+BK660</f>
        <v>-1.8750000000000044E-2</v>
      </c>
      <c r="BM660" s="1118">
        <f t="shared" si="3400"/>
        <v>-1.8750000000000044E-2</v>
      </c>
      <c r="BN660" s="1118">
        <f t="shared" si="3400"/>
        <v>-1.8750000000000044E-2</v>
      </c>
      <c r="BO660" s="1118">
        <f t="shared" si="3400"/>
        <v>-1.8750000000000044E-2</v>
      </c>
      <c r="BP660" s="1118">
        <f t="shared" si="3400"/>
        <v>-1.8750000000000044E-2</v>
      </c>
      <c r="BR660" s="1379"/>
      <c r="BS660" s="1379"/>
      <c r="BT660" s="1379"/>
      <c r="BU660" s="1260"/>
    </row>
    <row r="661" spans="1:73" s="305" customFormat="1" ht="12" hidden="1" customHeight="1" outlineLevel="2">
      <c r="A661" s="1049" t="s">
        <v>377</v>
      </c>
      <c r="B661" s="837"/>
      <c r="C661" s="837"/>
      <c r="D661" s="837"/>
      <c r="E661" s="838"/>
      <c r="F661" s="837"/>
      <c r="G661" s="837"/>
      <c r="H661" s="837"/>
      <c r="I661" s="838"/>
      <c r="J661" s="837"/>
      <c r="K661" s="837"/>
      <c r="L661" s="837"/>
      <c r="M661" s="838"/>
      <c r="N661" s="836"/>
      <c r="O661" s="836"/>
      <c r="P661" s="836"/>
      <c r="Q661" s="1041"/>
      <c r="R661" s="836"/>
      <c r="S661" s="836"/>
      <c r="T661" s="836"/>
      <c r="U661" s="1041"/>
      <c r="V661" s="836"/>
      <c r="W661" s="836"/>
      <c r="X661" s="836"/>
      <c r="Y661" s="838"/>
      <c r="Z661" s="836"/>
      <c r="AA661" s="836"/>
      <c r="AB661" s="836"/>
      <c r="AC661" s="1041"/>
      <c r="AD661" s="836"/>
      <c r="AE661" s="836"/>
      <c r="AF661" s="836"/>
      <c r="AG661" s="1041"/>
      <c r="AH661" s="398"/>
      <c r="AI661" s="398"/>
      <c r="AJ661" s="398"/>
      <c r="AK661" s="401"/>
      <c r="AL661" s="398"/>
      <c r="AM661" s="398"/>
      <c r="AN661" s="398"/>
      <c r="AO661" s="401"/>
      <c r="AP661" s="398"/>
      <c r="AQ661" s="398"/>
      <c r="AR661" s="398"/>
      <c r="AS661" s="401"/>
      <c r="AT661" s="398"/>
      <c r="AU661" s="398"/>
      <c r="AV661" s="398"/>
      <c r="AW661" s="401"/>
      <c r="AX661" s="398"/>
      <c r="AY661" s="398"/>
      <c r="AZ661" s="398"/>
      <c r="BA661" s="401"/>
      <c r="BB661" s="401"/>
      <c r="BC661" s="991" t="str">
        <f>IF(ISERROR(BC656/BB656-1),"NA",BC656/BB656-1)</f>
        <v>NA</v>
      </c>
      <c r="BD661" s="841">
        <f>IF(ISERROR(BD656/BC656-1),"NA",BD656/BC656-1)</f>
        <v>0.11111111111111116</v>
      </c>
      <c r="BE661" s="841">
        <f t="shared" ref="BE661:BP661" si="3401">IF(ISERROR(BE656/BD656-1),"NA",BE656/BD656-1)</f>
        <v>0</v>
      </c>
      <c r="BF661" s="841">
        <f t="shared" si="3401"/>
        <v>5.0000000000000044E-2</v>
      </c>
      <c r="BG661" s="841">
        <f t="shared" si="3401"/>
        <v>2.3809523809523725E-2</v>
      </c>
      <c r="BH661" s="841">
        <f t="shared" si="3401"/>
        <v>0.11627906976744207</v>
      </c>
      <c r="BI661" s="841">
        <f t="shared" si="3401"/>
        <v>4.1666666666666741E-2</v>
      </c>
      <c r="BJ661" s="841">
        <f t="shared" si="3401"/>
        <v>-6.0000000000000053E-2</v>
      </c>
      <c r="BK661" s="841">
        <f t="shared" si="3401"/>
        <v>-4.2553191489361764E-2</v>
      </c>
      <c r="BL661" s="841">
        <f t="shared" si="3401"/>
        <v>-2.2222222222222254E-2</v>
      </c>
      <c r="BM661" s="841">
        <f t="shared" si="3401"/>
        <v>0.19694337925038496</v>
      </c>
      <c r="BN661" s="841">
        <f t="shared" si="3401"/>
        <v>3.0304980054047137E-2</v>
      </c>
      <c r="BO661" s="841">
        <f t="shared" si="3401"/>
        <v>2.9413601448822879E-2</v>
      </c>
      <c r="BP661" s="841">
        <f t="shared" si="3401"/>
        <v>2.8573161853918894E-2</v>
      </c>
      <c r="BR661" s="1379"/>
      <c r="BS661" s="1379"/>
      <c r="BT661" s="1379"/>
      <c r="BU661" s="1260"/>
    </row>
    <row r="662" spans="1:73" s="305" customFormat="1" ht="12" hidden="1" customHeight="1" outlineLevel="2">
      <c r="A662" s="1037"/>
      <c r="B662" s="837"/>
      <c r="C662" s="837"/>
      <c r="D662" s="837"/>
      <c r="E662" s="838"/>
      <c r="F662" s="837"/>
      <c r="G662" s="837"/>
      <c r="H662" s="837"/>
      <c r="I662" s="838"/>
      <c r="J662" s="837"/>
      <c r="K662" s="837"/>
      <c r="L662" s="837"/>
      <c r="M662" s="838"/>
      <c r="N662" s="836"/>
      <c r="O662" s="836"/>
      <c r="P662" s="836"/>
      <c r="Q662" s="1041"/>
      <c r="R662" s="836"/>
      <c r="S662" s="836"/>
      <c r="T662" s="836"/>
      <c r="U662" s="1041"/>
      <c r="V662" s="836"/>
      <c r="W662" s="836"/>
      <c r="X662" s="836"/>
      <c r="Y662" s="838"/>
      <c r="Z662" s="836"/>
      <c r="AA662" s="836"/>
      <c r="AB662" s="836"/>
      <c r="AC662" s="1041"/>
      <c r="AD662" s="836"/>
      <c r="AE662" s="836"/>
      <c r="AF662" s="836"/>
      <c r="AG662" s="1041"/>
      <c r="AH662" s="398"/>
      <c r="AI662" s="398"/>
      <c r="AJ662" s="398"/>
      <c r="AK662" s="401"/>
      <c r="AL662" s="398"/>
      <c r="AM662" s="398"/>
      <c r="AN662" s="398"/>
      <c r="AO662" s="401"/>
      <c r="AP662" s="398"/>
      <c r="AQ662" s="398"/>
      <c r="AR662" s="398"/>
      <c r="AS662" s="401"/>
      <c r="AT662" s="398"/>
      <c r="AU662" s="398"/>
      <c r="AV662" s="398"/>
      <c r="AW662" s="401"/>
      <c r="AX662" s="398"/>
      <c r="AY662" s="398"/>
      <c r="AZ662" s="398"/>
      <c r="BA662" s="401"/>
      <c r="BB662" s="401"/>
      <c r="BC662" s="991"/>
      <c r="BD662" s="990"/>
      <c r="BE662" s="841"/>
      <c r="BF662" s="991"/>
      <c r="BG662" s="990"/>
      <c r="BH662" s="841"/>
      <c r="BI662" s="294"/>
      <c r="BJ662" s="294"/>
      <c r="BK662" s="294"/>
      <c r="BL662" s="404"/>
      <c r="BM662" s="294"/>
      <c r="BN662" s="294"/>
      <c r="BO662" s="294"/>
      <c r="BP662" s="294"/>
      <c r="BR662" s="1379"/>
      <c r="BS662" s="1379"/>
      <c r="BT662" s="1379"/>
      <c r="BU662" s="1260"/>
    </row>
    <row r="663" spans="1:73" s="305" customFormat="1" ht="12" hidden="1" customHeight="1" outlineLevel="2">
      <c r="A663" s="1049" t="s">
        <v>379</v>
      </c>
      <c r="B663" s="837"/>
      <c r="C663" s="837"/>
      <c r="D663" s="837"/>
      <c r="E663" s="838"/>
      <c r="F663" s="837"/>
      <c r="G663" s="837"/>
      <c r="H663" s="837"/>
      <c r="I663" s="838"/>
      <c r="J663" s="837"/>
      <c r="K663" s="837"/>
      <c r="L663" s="837"/>
      <c r="M663" s="838"/>
      <c r="N663" s="836"/>
      <c r="O663" s="836"/>
      <c r="P663" s="836"/>
      <c r="Q663" s="1041"/>
      <c r="R663" s="836"/>
      <c r="S663" s="836"/>
      <c r="T663" s="836"/>
      <c r="U663" s="1041"/>
      <c r="V663" s="836"/>
      <c r="W663" s="836"/>
      <c r="X663" s="836"/>
      <c r="Y663" s="838"/>
      <c r="Z663" s="836"/>
      <c r="AA663" s="836"/>
      <c r="AB663" s="836"/>
      <c r="AC663" s="1041"/>
      <c r="AD663" s="836"/>
      <c r="AE663" s="836"/>
      <c r="AF663" s="836"/>
      <c r="AG663" s="1041"/>
      <c r="AH663" s="398"/>
      <c r="AI663" s="398"/>
      <c r="AJ663" s="398"/>
      <c r="AK663" s="401"/>
      <c r="AL663" s="398"/>
      <c r="AM663" s="398"/>
      <c r="AN663" s="398"/>
      <c r="AO663" s="401"/>
      <c r="AP663" s="398"/>
      <c r="AQ663" s="398"/>
      <c r="AR663" s="398"/>
      <c r="AS663" s="401"/>
      <c r="AT663" s="398"/>
      <c r="AU663" s="398"/>
      <c r="AV663" s="398"/>
      <c r="AW663" s="401"/>
      <c r="AX663" s="398"/>
      <c r="AY663" s="398"/>
      <c r="AZ663" s="398"/>
      <c r="BA663" s="401"/>
      <c r="BB663" s="401"/>
      <c r="BC663" s="991"/>
      <c r="BD663" s="991">
        <f>+(BD656+BD657)/BD653</f>
        <v>0.40397350993377484</v>
      </c>
      <c r="BE663" s="991">
        <f t="shared" ref="BE663:BH663" si="3402">+(BE656+BE657)/BE653</f>
        <v>0.40666666666666668</v>
      </c>
      <c r="BF663" s="991">
        <f t="shared" si="3402"/>
        <v>0.41176470588235298</v>
      </c>
      <c r="BG663" s="991">
        <f t="shared" si="3402"/>
        <v>0.41935483870967744</v>
      </c>
      <c r="BH663" s="991">
        <f t="shared" si="3402"/>
        <v>0.45504129655602316</v>
      </c>
      <c r="BI663" s="991">
        <f t="shared" ref="BI663:BJ663" si="3403">+(BI656+BI657)/BI653</f>
        <v>0.45731707317073178</v>
      </c>
      <c r="BJ663" s="991">
        <f t="shared" si="3403"/>
        <v>0.46249999999999997</v>
      </c>
      <c r="BK663" s="991">
        <f t="shared" ref="BK663" si="3404">+(BK656+BK657)/BK653</f>
        <v>0.46496815286624199</v>
      </c>
      <c r="BL663" s="1119">
        <f t="shared" ref="BL663:BP663" si="3405">BK663+0.015</f>
        <v>0.479968152866242</v>
      </c>
      <c r="BM663" s="1119">
        <f t="shared" si="3405"/>
        <v>0.49496815286624202</v>
      </c>
      <c r="BN663" s="1119">
        <f t="shared" si="3405"/>
        <v>0.50996815286624197</v>
      </c>
      <c r="BO663" s="1119">
        <f t="shared" si="3405"/>
        <v>0.52496815286624199</v>
      </c>
      <c r="BP663" s="1119">
        <f t="shared" si="3405"/>
        <v>0.539968152866242</v>
      </c>
      <c r="BR663" s="1379"/>
      <c r="BS663" s="1379"/>
      <c r="BT663" s="1379"/>
      <c r="BU663" s="1260"/>
    </row>
    <row r="664" spans="1:73" s="305" customFormat="1" ht="12" hidden="1" customHeight="1" outlineLevel="2">
      <c r="A664" s="1049" t="s">
        <v>380</v>
      </c>
      <c r="B664" s="837"/>
      <c r="C664" s="837"/>
      <c r="D664" s="837"/>
      <c r="E664" s="838"/>
      <c r="F664" s="837"/>
      <c r="G664" s="837"/>
      <c r="H664" s="837"/>
      <c r="I664" s="838"/>
      <c r="J664" s="837"/>
      <c r="K664" s="837"/>
      <c r="L664" s="837"/>
      <c r="M664" s="838"/>
      <c r="N664" s="836"/>
      <c r="O664" s="836"/>
      <c r="P664" s="836"/>
      <c r="Q664" s="1041"/>
      <c r="R664" s="836"/>
      <c r="S664" s="836"/>
      <c r="T664" s="836"/>
      <c r="U664" s="1041"/>
      <c r="V664" s="836"/>
      <c r="W664" s="836"/>
      <c r="X664" s="836"/>
      <c r="Y664" s="838"/>
      <c r="Z664" s="836"/>
      <c r="AA664" s="836"/>
      <c r="AB664" s="836"/>
      <c r="AC664" s="1041"/>
      <c r="AD664" s="836"/>
      <c r="AE664" s="836"/>
      <c r="AF664" s="836"/>
      <c r="AG664" s="1041"/>
      <c r="AH664" s="398"/>
      <c r="AI664" s="398"/>
      <c r="AJ664" s="398"/>
      <c r="AK664" s="401"/>
      <c r="AL664" s="398"/>
      <c r="AM664" s="398"/>
      <c r="AN664" s="398"/>
      <c r="AO664" s="401"/>
      <c r="AP664" s="398"/>
      <c r="AQ664" s="398"/>
      <c r="AR664" s="398"/>
      <c r="AS664" s="401"/>
      <c r="AT664" s="398"/>
      <c r="AU664" s="398"/>
      <c r="AV664" s="398"/>
      <c r="AW664" s="401"/>
      <c r="AX664" s="398"/>
      <c r="AY664" s="398"/>
      <c r="AZ664" s="398"/>
      <c r="BA664" s="401"/>
      <c r="BB664" s="401"/>
      <c r="BC664" s="1084"/>
      <c r="BD664" s="991">
        <f>+BD656/(BD656+BD657)</f>
        <v>0.65573770491803285</v>
      </c>
      <c r="BE664" s="991">
        <f t="shared" ref="BE664:BH664" si="3406">+BE656/(BE656+BE657)</f>
        <v>0.65573770491803285</v>
      </c>
      <c r="BF664" s="991">
        <f t="shared" si="3406"/>
        <v>0.66666666666666674</v>
      </c>
      <c r="BG664" s="991">
        <f t="shared" si="3406"/>
        <v>0.66153846153846141</v>
      </c>
      <c r="BH664" s="991">
        <f t="shared" si="3406"/>
        <v>0.65753424657534243</v>
      </c>
      <c r="BI664" s="991">
        <f t="shared" ref="BI664:BJ664" si="3407">+BI656/(BI656+BI657)</f>
        <v>0.66666666666666663</v>
      </c>
      <c r="BJ664" s="991">
        <f t="shared" si="3407"/>
        <v>0.6351351351351352</v>
      </c>
      <c r="BK664" s="991">
        <f t="shared" ref="BK664" si="3408">+BK656/(BK656+BK657)</f>
        <v>0.61643835616438358</v>
      </c>
      <c r="BL664" s="1118">
        <f t="shared" ref="BL664:BP664" si="3409">+BK664</f>
        <v>0.61643835616438358</v>
      </c>
      <c r="BM664" s="1118">
        <f t="shared" si="3409"/>
        <v>0.61643835616438358</v>
      </c>
      <c r="BN664" s="1118">
        <f t="shared" si="3409"/>
        <v>0.61643835616438358</v>
      </c>
      <c r="BO664" s="1118">
        <f t="shared" si="3409"/>
        <v>0.61643835616438358</v>
      </c>
      <c r="BP664" s="1118">
        <f t="shared" si="3409"/>
        <v>0.61643835616438358</v>
      </c>
      <c r="BR664" s="1379"/>
      <c r="BS664" s="1379"/>
      <c r="BT664" s="1379"/>
      <c r="BU664" s="1260"/>
    </row>
    <row r="665" spans="1:73" s="305" customFormat="1" ht="12" hidden="1" customHeight="1" outlineLevel="2">
      <c r="A665" s="1049"/>
      <c r="B665" s="837"/>
      <c r="C665" s="837"/>
      <c r="D665" s="837"/>
      <c r="E665" s="838"/>
      <c r="F665" s="837"/>
      <c r="G665" s="837"/>
      <c r="H665" s="837"/>
      <c r="I665" s="838"/>
      <c r="J665" s="837"/>
      <c r="K665" s="837"/>
      <c r="L665" s="837"/>
      <c r="M665" s="838"/>
      <c r="N665" s="836"/>
      <c r="O665" s="836"/>
      <c r="P665" s="836"/>
      <c r="Q665" s="1041"/>
      <c r="R665" s="836"/>
      <c r="S665" s="836"/>
      <c r="T665" s="836"/>
      <c r="U665" s="1041"/>
      <c r="V665" s="836"/>
      <c r="W665" s="836"/>
      <c r="X665" s="836"/>
      <c r="Y665" s="838"/>
      <c r="Z665" s="836"/>
      <c r="AA665" s="836"/>
      <c r="AB665" s="836"/>
      <c r="AC665" s="1041"/>
      <c r="AD665" s="836"/>
      <c r="AE665" s="836"/>
      <c r="AF665" s="836"/>
      <c r="AG665" s="1041"/>
      <c r="AH665" s="398"/>
      <c r="AI665" s="398"/>
      <c r="AJ665" s="398"/>
      <c r="AK665" s="401"/>
      <c r="AL665" s="398"/>
      <c r="AM665" s="398"/>
      <c r="AN665" s="398"/>
      <c r="AO665" s="401"/>
      <c r="AP665" s="398"/>
      <c r="AQ665" s="398"/>
      <c r="AR665" s="398"/>
      <c r="AS665" s="401"/>
      <c r="AT665" s="398"/>
      <c r="AU665" s="398"/>
      <c r="AV665" s="398"/>
      <c r="AW665" s="401"/>
      <c r="AX665" s="398"/>
      <c r="AY665" s="398"/>
      <c r="AZ665" s="398"/>
      <c r="BA665" s="401"/>
      <c r="BB665" s="401"/>
      <c r="BC665" s="1084"/>
      <c r="BD665" s="991"/>
      <c r="BE665" s="991"/>
      <c r="BF665" s="991"/>
      <c r="BG665" s="991"/>
      <c r="BH665" s="991"/>
      <c r="BI665" s="991"/>
      <c r="BJ665" s="991"/>
      <c r="BK665" s="991"/>
      <c r="BL665" s="1171"/>
      <c r="BM665" s="1171"/>
      <c r="BN665" s="1171"/>
      <c r="BO665" s="1171"/>
      <c r="BP665" s="1171"/>
      <c r="BR665" s="1379"/>
      <c r="BS665" s="1379"/>
      <c r="BT665" s="1379"/>
      <c r="BU665" s="1260"/>
    </row>
    <row r="666" spans="1:73" s="305" customFormat="1" ht="12" hidden="1" customHeight="1" outlineLevel="2">
      <c r="A666" s="1037"/>
      <c r="B666" s="837"/>
      <c r="C666" s="837"/>
      <c r="D666" s="837"/>
      <c r="E666" s="838"/>
      <c r="F666" s="837"/>
      <c r="G666" s="837"/>
      <c r="H666" s="837"/>
      <c r="I666" s="838"/>
      <c r="J666" s="837"/>
      <c r="K666" s="837"/>
      <c r="L666" s="837"/>
      <c r="M666" s="838"/>
      <c r="N666" s="836"/>
      <c r="O666" s="836"/>
      <c r="P666" s="836"/>
      <c r="Q666" s="1041"/>
      <c r="R666" s="836"/>
      <c r="S666" s="836"/>
      <c r="T666" s="836"/>
      <c r="U666" s="1041"/>
      <c r="V666" s="836"/>
      <c r="W666" s="836"/>
      <c r="X666" s="836"/>
      <c r="Y666" s="838"/>
      <c r="Z666" s="836"/>
      <c r="AA666" s="836"/>
      <c r="AB666" s="836"/>
      <c r="AC666" s="1041"/>
      <c r="AD666" s="836"/>
      <c r="AE666" s="836"/>
      <c r="AF666" s="836"/>
      <c r="AG666" s="1041"/>
      <c r="AH666" s="398"/>
      <c r="AI666" s="398"/>
      <c r="AJ666" s="398"/>
      <c r="AK666" s="401"/>
      <c r="AL666" s="398"/>
      <c r="AM666" s="398"/>
      <c r="AN666" s="398"/>
      <c r="AO666" s="401"/>
      <c r="AP666" s="398"/>
      <c r="AQ666" s="398"/>
      <c r="AR666" s="398"/>
      <c r="AS666" s="401"/>
      <c r="AT666" s="398"/>
      <c r="AU666" s="398"/>
      <c r="AV666" s="398"/>
      <c r="AW666" s="401"/>
      <c r="AX666" s="398"/>
      <c r="AY666" s="398"/>
      <c r="AZ666" s="398"/>
      <c r="BA666" s="401"/>
      <c r="BB666" s="401"/>
      <c r="BC666" s="1084"/>
      <c r="BD666" s="841"/>
      <c r="BE666" s="991"/>
      <c r="BF666" s="991"/>
      <c r="BG666" s="1153"/>
      <c r="BH666" s="991"/>
      <c r="BI666" s="1118"/>
      <c r="BJ666" s="1118"/>
      <c r="BK666" s="1118"/>
      <c r="BL666" s="1118"/>
      <c r="BM666" s="1118"/>
      <c r="BN666" s="1118"/>
      <c r="BO666" s="1118"/>
      <c r="BP666" s="1118"/>
      <c r="BR666" s="1379"/>
      <c r="BS666" s="1379"/>
      <c r="BT666" s="1379"/>
      <c r="BU666" s="1260"/>
    </row>
    <row r="667" spans="1:73" s="1014" customFormat="1" ht="12" hidden="1" customHeight="1" outlineLevel="2">
      <c r="A667" s="1002" t="s">
        <v>85</v>
      </c>
      <c r="B667" s="1058"/>
      <c r="C667" s="1003">
        <v>0.2</v>
      </c>
      <c r="D667" s="1003">
        <v>1.7</v>
      </c>
      <c r="E667" s="1004">
        <v>0.3</v>
      </c>
      <c r="F667" s="1168"/>
      <c r="G667" s="1168">
        <v>0.4</v>
      </c>
      <c r="H667" s="1168">
        <v>1.9</v>
      </c>
      <c r="I667" s="1169">
        <v>0.2</v>
      </c>
      <c r="J667" s="1168"/>
      <c r="K667" s="1168">
        <v>0.4</v>
      </c>
      <c r="L667" s="1168">
        <v>2.2000000000000002</v>
      </c>
      <c r="M667" s="1169">
        <v>0.2</v>
      </c>
      <c r="N667" s="1168"/>
      <c r="O667" s="1168">
        <v>0.3</v>
      </c>
      <c r="P667" s="1168">
        <v>2.4</v>
      </c>
      <c r="Q667" s="1169">
        <v>0.2</v>
      </c>
      <c r="R667" s="1067"/>
      <c r="S667" s="1067"/>
      <c r="T667" s="1067"/>
      <c r="U667" s="1068"/>
      <c r="V667" s="1067"/>
      <c r="W667" s="984"/>
      <c r="X667" s="984"/>
      <c r="Y667" s="985"/>
      <c r="Z667" s="1015"/>
      <c r="AA667" s="1015"/>
      <c r="AB667" s="1015"/>
      <c r="AC667" s="1016"/>
      <c r="AD667" s="1015"/>
      <c r="AE667" s="1015"/>
      <c r="AF667" s="1015"/>
      <c r="AG667" s="1016"/>
      <c r="AH667" s="1015"/>
      <c r="AI667" s="1015"/>
      <c r="AJ667" s="1015"/>
      <c r="AK667" s="1016"/>
      <c r="AL667" s="1015"/>
      <c r="AM667" s="1015"/>
      <c r="AN667" s="1015"/>
      <c r="AO667" s="1016"/>
      <c r="AP667" s="1015"/>
      <c r="AQ667" s="1015"/>
      <c r="AR667" s="1015"/>
      <c r="AS667" s="1016"/>
      <c r="AT667" s="1015"/>
      <c r="AU667" s="1015"/>
      <c r="AV667" s="1015"/>
      <c r="AW667" s="1016"/>
      <c r="AX667" s="1015"/>
      <c r="AY667" s="1015"/>
      <c r="AZ667" s="1015"/>
      <c r="BA667" s="1016"/>
      <c r="BB667" s="401"/>
      <c r="BC667" s="1054">
        <v>2.2000000000000002</v>
      </c>
      <c r="BD667" s="1039">
        <v>2.2000000000000002</v>
      </c>
      <c r="BE667" s="1039">
        <v>2.5</v>
      </c>
      <c r="BF667" s="1039">
        <v>2.8</v>
      </c>
      <c r="BG667" s="1052">
        <v>3</v>
      </c>
      <c r="BH667" s="1054">
        <v>3.4</v>
      </c>
      <c r="BI667" s="1052">
        <v>3.5</v>
      </c>
      <c r="BJ667" s="1053">
        <v>3.5</v>
      </c>
      <c r="BK667" s="1054">
        <v>3.7</v>
      </c>
      <c r="BL667" s="1492"/>
      <c r="BM667" s="1039"/>
      <c r="BN667" s="1039"/>
      <c r="BO667" s="1039"/>
      <c r="BP667" s="1039"/>
      <c r="BQ667" s="1081"/>
      <c r="BR667" s="1425"/>
      <c r="BS667" s="1425"/>
      <c r="BT667" s="1425"/>
      <c r="BU667" s="1263"/>
    </row>
    <row r="668" spans="1:73" s="305" customFormat="1" ht="12" hidden="1" customHeight="1" outlineLevel="2">
      <c r="A668" s="983" t="s">
        <v>181</v>
      </c>
      <c r="B668" s="837"/>
      <c r="C668" s="984" t="str">
        <f t="shared" ref="C668:D668" si="3410">IF(ISERROR(C667/#REF!-1),"NA",C667/#REF!-1)</f>
        <v>NA</v>
      </c>
      <c r="D668" s="984" t="str">
        <f t="shared" si="3410"/>
        <v>NA</v>
      </c>
      <c r="E668" s="985" t="str">
        <f t="shared" ref="E668" si="3411">IF(ISERROR(E667/A667-1),"NA",E667/A667-1)</f>
        <v>NA</v>
      </c>
      <c r="F668" s="837"/>
      <c r="G668" s="984">
        <f t="shared" ref="G668" si="3412">IF(ISERROR(G667/C667-1),"NA",G667/C667-1)</f>
        <v>1</v>
      </c>
      <c r="H668" s="984">
        <f t="shared" ref="H668" si="3413">IF(ISERROR(H667/D667-1),"NA",H667/D667-1)</f>
        <v>0.11764705882352944</v>
      </c>
      <c r="I668" s="985">
        <f t="shared" ref="I668" si="3414">IF(ISERROR(I667/E667-1),"NA",I667/E667-1)</f>
        <v>-0.33333333333333326</v>
      </c>
      <c r="J668" s="837"/>
      <c r="K668" s="984">
        <f t="shared" ref="K668" si="3415">IF(ISERROR(K667/G667-1),"NA",K667/G667-1)</f>
        <v>0</v>
      </c>
      <c r="L668" s="984">
        <f t="shared" ref="L668" si="3416">IF(ISERROR(L667/H667-1),"NA",L667/H667-1)</f>
        <v>0.15789473684210531</v>
      </c>
      <c r="M668" s="985">
        <f t="shared" ref="M668" si="3417">IF(ISERROR(M667/I667-1),"NA",M667/I667-1)</f>
        <v>0</v>
      </c>
      <c r="N668" s="836"/>
      <c r="O668" s="984">
        <f t="shared" ref="O668" si="3418">IF(ISERROR(O667/K667-1),"NA",O667/K667-1)</f>
        <v>-0.25000000000000011</v>
      </c>
      <c r="P668" s="984">
        <f t="shared" ref="P668" si="3419">IF(ISERROR(P667/L667-1),"NA",P667/L667-1)</f>
        <v>9.0909090909090828E-2</v>
      </c>
      <c r="Q668" s="985">
        <f t="shared" ref="Q668" si="3420">IF(ISERROR(Q667/M667-1),"NA",Q667/M667-1)</f>
        <v>0</v>
      </c>
      <c r="R668" s="836"/>
      <c r="S668" s="836"/>
      <c r="T668" s="836"/>
      <c r="U668" s="1041"/>
      <c r="V668" s="836"/>
      <c r="W668" s="836"/>
      <c r="X668" s="836"/>
      <c r="Y668" s="838"/>
      <c r="Z668" s="836"/>
      <c r="AA668" s="836"/>
      <c r="AB668" s="836"/>
      <c r="AC668" s="1041"/>
      <c r="AD668" s="836"/>
      <c r="AE668" s="836"/>
      <c r="AF668" s="836"/>
      <c r="AG668" s="1041"/>
      <c r="AH668" s="398"/>
      <c r="AI668" s="398"/>
      <c r="AJ668" s="398"/>
      <c r="AK668" s="401"/>
      <c r="AL668" s="398"/>
      <c r="AM668" s="398"/>
      <c r="AN668" s="398"/>
      <c r="AO668" s="401"/>
      <c r="AP668" s="398"/>
      <c r="AQ668" s="398"/>
      <c r="AR668" s="398"/>
      <c r="AS668" s="401"/>
      <c r="AT668" s="398"/>
      <c r="AU668" s="398"/>
      <c r="AV668" s="398"/>
      <c r="AW668" s="401"/>
      <c r="AX668" s="398"/>
      <c r="AY668" s="398"/>
      <c r="AZ668" s="398"/>
      <c r="BA668" s="401"/>
      <c r="BB668" s="401"/>
      <c r="BC668" s="985" t="str">
        <f t="shared" ref="BC668" si="3421">IF(ISERROR(BC667/BB667-1),"NA",BC667/BB667-1)</f>
        <v>NA</v>
      </c>
      <c r="BD668" s="842">
        <f t="shared" ref="BD668" si="3422">IF(ISERROR(BD667/BC667-1),"NA",BD667/BC667-1)</f>
        <v>0</v>
      </c>
      <c r="BE668" s="842">
        <f t="shared" ref="BE668" si="3423">IF(ISERROR(BE667/BD667-1),"NA",BE667/BD667-1)</f>
        <v>0.13636363636363624</v>
      </c>
      <c r="BF668" s="842">
        <f t="shared" ref="BF668" si="3424">IF(ISERROR(BF667/BE667-1),"NA",BF667/BE667-1)</f>
        <v>0.11999999999999988</v>
      </c>
      <c r="BG668" s="842">
        <f t="shared" ref="BG668" si="3425">IF(ISERROR(BG667/BF667-1),"NA",BG667/BF667-1)</f>
        <v>7.1428571428571397E-2</v>
      </c>
      <c r="BH668" s="842">
        <f t="shared" ref="BH668" si="3426">IF(ISERROR(BH667/BG667-1),"NA",BH667/BG667-1)</f>
        <v>0.1333333333333333</v>
      </c>
      <c r="BI668" s="842">
        <f t="shared" ref="BI668" si="3427">IF(ISERROR(BI667/BH667-1),"NA",BI667/BH667-1)</f>
        <v>2.941176470588247E-2</v>
      </c>
      <c r="BJ668" s="842">
        <f t="shared" ref="BJ668:BK668" si="3428">IF(ISERROR(BJ667/BI667-1),"NA",BJ667/BI667-1)</f>
        <v>0</v>
      </c>
      <c r="BK668" s="842">
        <f t="shared" si="3428"/>
        <v>5.7142857142857162E-2</v>
      </c>
      <c r="BL668" s="1171"/>
      <c r="BM668" s="1171"/>
      <c r="BN668" s="1171"/>
      <c r="BO668" s="1171"/>
      <c r="BP668" s="1171"/>
      <c r="BR668" s="1379"/>
      <c r="BS668" s="1379"/>
      <c r="BT668" s="1379"/>
      <c r="BU668" s="1260"/>
    </row>
    <row r="669" spans="1:73" s="305" customFormat="1" ht="12" hidden="1" customHeight="1" outlineLevel="2">
      <c r="A669" s="1172"/>
      <c r="B669" s="837"/>
      <c r="C669" s="837"/>
      <c r="D669" s="837"/>
      <c r="E669" s="838"/>
      <c r="F669" s="837"/>
      <c r="G669" s="837"/>
      <c r="H669" s="837"/>
      <c r="I669" s="838"/>
      <c r="J669" s="837"/>
      <c r="K669" s="837"/>
      <c r="L669" s="837"/>
      <c r="M669" s="838"/>
      <c r="N669" s="836"/>
      <c r="O669" s="836"/>
      <c r="P669" s="836"/>
      <c r="Q669" s="1041"/>
      <c r="R669" s="836"/>
      <c r="S669" s="836"/>
      <c r="T669" s="836"/>
      <c r="U669" s="1041"/>
      <c r="V669" s="836"/>
      <c r="W669" s="836"/>
      <c r="X669" s="836"/>
      <c r="Y669" s="838"/>
      <c r="Z669" s="836"/>
      <c r="AA669" s="836"/>
      <c r="AB669" s="836"/>
      <c r="AC669" s="1041"/>
      <c r="AD669" s="836"/>
      <c r="AE669" s="836"/>
      <c r="AF669" s="836"/>
      <c r="AG669" s="1041"/>
      <c r="AH669" s="398"/>
      <c r="AI669" s="398"/>
      <c r="AJ669" s="398"/>
      <c r="AK669" s="401"/>
      <c r="AL669" s="398"/>
      <c r="AM669" s="398"/>
      <c r="AN669" s="398"/>
      <c r="AO669" s="401"/>
      <c r="AP669" s="398"/>
      <c r="AQ669" s="398"/>
      <c r="AR669" s="398"/>
      <c r="AS669" s="401"/>
      <c r="AT669" s="398"/>
      <c r="AU669" s="398"/>
      <c r="AV669" s="398"/>
      <c r="AW669" s="401"/>
      <c r="AX669" s="398"/>
      <c r="AY669" s="398"/>
      <c r="AZ669" s="398"/>
      <c r="BA669" s="401"/>
      <c r="BB669" s="401"/>
      <c r="BC669" s="1084"/>
      <c r="BD669" s="1170"/>
      <c r="BE669" s="991"/>
      <c r="BF669" s="991"/>
      <c r="BG669" s="1153"/>
      <c r="BH669" s="991"/>
      <c r="BI669" s="1171"/>
      <c r="BJ669" s="1171"/>
      <c r="BK669" s="1171"/>
      <c r="BL669" s="1171"/>
      <c r="BM669" s="1171"/>
      <c r="BN669" s="1171"/>
      <c r="BO669" s="1171"/>
      <c r="BP669" s="1171"/>
      <c r="BR669" s="1379"/>
      <c r="BS669" s="1379"/>
      <c r="BT669" s="1379"/>
      <c r="BU669" s="1260"/>
    </row>
    <row r="670" spans="1:73" s="1014" customFormat="1" ht="12" hidden="1" customHeight="1" outlineLevel="2">
      <c r="A670" s="1002" t="s">
        <v>387</v>
      </c>
      <c r="B670" s="1058"/>
      <c r="C670" s="1003"/>
      <c r="D670" s="1003"/>
      <c r="E670" s="1004"/>
      <c r="F670" s="1168"/>
      <c r="G670" s="1168"/>
      <c r="H670" s="1168"/>
      <c r="I670" s="1169"/>
      <c r="J670" s="1168"/>
      <c r="K670" s="1168"/>
      <c r="L670" s="1168"/>
      <c r="M670" s="1169"/>
      <c r="N670" s="1168"/>
      <c r="O670" s="1168"/>
      <c r="P670" s="1168"/>
      <c r="Q670" s="1169"/>
      <c r="R670" s="1067"/>
      <c r="S670" s="1067"/>
      <c r="T670" s="1067"/>
      <c r="U670" s="1068"/>
      <c r="V670" s="1067"/>
      <c r="W670" s="984"/>
      <c r="X670" s="984"/>
      <c r="Y670" s="985"/>
      <c r="Z670" s="1015"/>
      <c r="AA670" s="1015"/>
      <c r="AB670" s="1015"/>
      <c r="AC670" s="1016"/>
      <c r="AD670" s="1015"/>
      <c r="AE670" s="1015"/>
      <c r="AF670" s="1015"/>
      <c r="AG670" s="1016"/>
      <c r="AH670" s="1015"/>
      <c r="AI670" s="1015"/>
      <c r="AJ670" s="1015"/>
      <c r="AK670" s="1016"/>
      <c r="AL670" s="1015"/>
      <c r="AM670" s="1015"/>
      <c r="AN670" s="1015"/>
      <c r="AO670" s="1016"/>
      <c r="AP670" s="1015"/>
      <c r="AQ670" s="1015"/>
      <c r="AR670" s="1015"/>
      <c r="AS670" s="1016"/>
      <c r="AT670" s="1015"/>
      <c r="AU670" s="1015"/>
      <c r="AV670" s="1015"/>
      <c r="AW670" s="1016"/>
      <c r="AX670" s="1015"/>
      <c r="AY670" s="1015"/>
      <c r="AZ670" s="1015"/>
      <c r="BA670" s="1016"/>
      <c r="BB670" s="401"/>
      <c r="BC670" s="1054"/>
      <c r="BD670" s="1039"/>
      <c r="BE670" s="1039"/>
      <c r="BF670" s="1039"/>
      <c r="BG670" s="1052"/>
      <c r="BH670" s="1054"/>
      <c r="BI670" s="1052"/>
      <c r="BJ670" s="1053"/>
      <c r="BK670" s="1054"/>
      <c r="BL670" s="1039"/>
      <c r="BM670" s="1039"/>
      <c r="BN670" s="1039"/>
      <c r="BO670" s="1039"/>
      <c r="BP670" s="1039"/>
      <c r="BQ670" s="1081"/>
      <c r="BR670" s="1425"/>
      <c r="BS670" s="1425"/>
      <c r="BT670" s="1425"/>
      <c r="BU670" s="1263"/>
    </row>
    <row r="671" spans="1:73" s="1038" customFormat="1" ht="12" hidden="1" customHeight="1" outlineLevel="2">
      <c r="A671" s="1172" t="s">
        <v>226</v>
      </c>
      <c r="B671" s="837"/>
      <c r="C671" s="837"/>
      <c r="D671" s="837"/>
      <c r="E671" s="838"/>
      <c r="F671" s="837"/>
      <c r="G671" s="837"/>
      <c r="H671" s="837"/>
      <c r="I671" s="838"/>
      <c r="J671" s="837"/>
      <c r="K671" s="837"/>
      <c r="L671" s="837"/>
      <c r="M671" s="838"/>
      <c r="N671" s="836"/>
      <c r="O671" s="836"/>
      <c r="P671" s="836"/>
      <c r="Q671" s="1041"/>
      <c r="R671" s="836"/>
      <c r="S671" s="836"/>
      <c r="T671" s="836"/>
      <c r="U671" s="1203">
        <v>47</v>
      </c>
      <c r="V671" s="836"/>
      <c r="W671" s="836"/>
      <c r="X671" s="836"/>
      <c r="Y671" s="838"/>
      <c r="Z671" s="836"/>
      <c r="AA671" s="836"/>
      <c r="AB671" s="836"/>
      <c r="AC671" s="1041"/>
      <c r="AD671" s="836"/>
      <c r="AE671" s="836"/>
      <c r="AF671" s="836"/>
      <c r="AG671" s="1041"/>
      <c r="AH671" s="1040"/>
      <c r="AI671" s="1040"/>
      <c r="AJ671" s="1040"/>
      <c r="AK671" s="1173"/>
      <c r="AL671" s="1040"/>
      <c r="AM671" s="1040"/>
      <c r="AN671" s="1040"/>
      <c r="AO671" s="1173"/>
      <c r="AP671" s="1040"/>
      <c r="AQ671" s="1040"/>
      <c r="AR671" s="1040"/>
      <c r="AS671" s="1173"/>
      <c r="AT671" s="1040"/>
      <c r="AU671" s="1040"/>
      <c r="AV671" s="1040"/>
      <c r="AW671" s="1173"/>
      <c r="AX671" s="1040"/>
      <c r="AY671" s="1040"/>
      <c r="AZ671" s="1040"/>
      <c r="BA671" s="1173"/>
      <c r="BB671" s="401"/>
      <c r="BC671" s="1086"/>
      <c r="BD671" s="1170"/>
      <c r="BE671" s="991"/>
      <c r="BF671" s="991"/>
      <c r="BG671" s="1153"/>
      <c r="BH671" s="991"/>
      <c r="BI671" s="1171"/>
      <c r="BJ671" s="1171"/>
      <c r="BK671" s="1171"/>
      <c r="BL671" s="1171"/>
      <c r="BM671" s="1171"/>
      <c r="BN671" s="1171"/>
      <c r="BO671" s="1171"/>
      <c r="BP671" s="1171"/>
      <c r="BR671" s="1439"/>
      <c r="BS671" s="1439"/>
      <c r="BT671" s="1439"/>
      <c r="BU671" s="1260"/>
    </row>
    <row r="672" spans="1:73" s="1038" customFormat="1" ht="12" hidden="1" customHeight="1" outlineLevel="2">
      <c r="A672" s="1172" t="s">
        <v>227</v>
      </c>
      <c r="B672" s="837"/>
      <c r="C672" s="837"/>
      <c r="D672" s="837"/>
      <c r="E672" s="838"/>
      <c r="F672" s="837"/>
      <c r="G672" s="837"/>
      <c r="H672" s="837"/>
      <c r="I672" s="838"/>
      <c r="J672" s="837"/>
      <c r="K672" s="837"/>
      <c r="L672" s="837"/>
      <c r="M672" s="838"/>
      <c r="N672" s="836"/>
      <c r="O672" s="836"/>
      <c r="P672" s="836"/>
      <c r="Q672" s="1041"/>
      <c r="R672" s="836"/>
      <c r="S672" s="836"/>
      <c r="T672" s="836"/>
      <c r="U672" s="1203">
        <v>6</v>
      </c>
      <c r="V672" s="836"/>
      <c r="W672" s="836"/>
      <c r="X672" s="836"/>
      <c r="Y672" s="838"/>
      <c r="Z672" s="836"/>
      <c r="AA672" s="836"/>
      <c r="AB672" s="836"/>
      <c r="AC672" s="1041"/>
      <c r="AD672" s="836"/>
      <c r="AE672" s="836"/>
      <c r="AF672" s="836"/>
      <c r="AG672" s="1041"/>
      <c r="AH672" s="1040"/>
      <c r="AI672" s="1040"/>
      <c r="AJ672" s="1040"/>
      <c r="AK672" s="1173"/>
      <c r="AL672" s="1040"/>
      <c r="AM672" s="1040"/>
      <c r="AN672" s="1040"/>
      <c r="AO672" s="1173"/>
      <c r="AP672" s="1040"/>
      <c r="AQ672" s="1040"/>
      <c r="AR672" s="1040"/>
      <c r="AS672" s="1173"/>
      <c r="AT672" s="1040"/>
      <c r="AU672" s="1040"/>
      <c r="AV672" s="1040"/>
      <c r="AW672" s="1173"/>
      <c r="AX672" s="1040"/>
      <c r="AY672" s="1040"/>
      <c r="AZ672" s="1040"/>
      <c r="BA672" s="1173"/>
      <c r="BB672" s="401"/>
      <c r="BC672" s="1086"/>
      <c r="BD672" s="1170"/>
      <c r="BE672" s="991"/>
      <c r="BF672" s="991"/>
      <c r="BG672" s="1153"/>
      <c r="BH672" s="991"/>
      <c r="BI672" s="1171"/>
      <c r="BJ672" s="1171"/>
      <c r="BK672" s="1171"/>
      <c r="BL672" s="1171"/>
      <c r="BM672" s="1171"/>
      <c r="BN672" s="1171"/>
      <c r="BO672" s="1171"/>
      <c r="BP672" s="1171"/>
      <c r="BR672" s="1439"/>
      <c r="BS672" s="1439"/>
      <c r="BT672" s="1439"/>
      <c r="BU672" s="1260"/>
    </row>
    <row r="673" spans="1:73" s="1038" customFormat="1" ht="12" hidden="1" customHeight="1" outlineLevel="2">
      <c r="A673" s="1172" t="s">
        <v>228</v>
      </c>
      <c r="B673" s="837"/>
      <c r="C673" s="837"/>
      <c r="D673" s="837"/>
      <c r="E673" s="838"/>
      <c r="F673" s="837"/>
      <c r="G673" s="837"/>
      <c r="H673" s="837"/>
      <c r="I673" s="838"/>
      <c r="J673" s="837"/>
      <c r="K673" s="837"/>
      <c r="L673" s="837"/>
      <c r="M673" s="838"/>
      <c r="N673" s="836"/>
      <c r="O673" s="836"/>
      <c r="P673" s="836"/>
      <c r="Q673" s="1041"/>
      <c r="R673" s="836"/>
      <c r="S673" s="836"/>
      <c r="T673" s="836"/>
      <c r="U673" s="1203">
        <v>44</v>
      </c>
      <c r="V673" s="836"/>
      <c r="W673" s="836"/>
      <c r="X673" s="836"/>
      <c r="Y673" s="838"/>
      <c r="Z673" s="836"/>
      <c r="AA673" s="836"/>
      <c r="AB673" s="836"/>
      <c r="AC673" s="1041"/>
      <c r="AD673" s="836"/>
      <c r="AE673" s="836"/>
      <c r="AF673" s="836"/>
      <c r="AG673" s="1041"/>
      <c r="AH673" s="1040"/>
      <c r="AI673" s="1040"/>
      <c r="AJ673" s="1040"/>
      <c r="AK673" s="1173"/>
      <c r="AL673" s="1040"/>
      <c r="AM673" s="1040"/>
      <c r="AN673" s="1040"/>
      <c r="AO673" s="1173"/>
      <c r="AP673" s="1040"/>
      <c r="AQ673" s="1040"/>
      <c r="AR673" s="1040"/>
      <c r="AS673" s="1173"/>
      <c r="AT673" s="1040"/>
      <c r="AU673" s="1040"/>
      <c r="AV673" s="1040"/>
      <c r="AW673" s="1173"/>
      <c r="AX673" s="1040"/>
      <c r="AY673" s="1040"/>
      <c r="AZ673" s="1040"/>
      <c r="BA673" s="1173"/>
      <c r="BB673" s="401"/>
      <c r="BC673" s="1086"/>
      <c r="BD673" s="1170"/>
      <c r="BE673" s="991"/>
      <c r="BF673" s="991"/>
      <c r="BG673" s="1153"/>
      <c r="BH673" s="991"/>
      <c r="BI673" s="1171"/>
      <c r="BJ673" s="1171"/>
      <c r="BK673" s="1171"/>
      <c r="BL673" s="1171"/>
      <c r="BM673" s="1171"/>
      <c r="BN673" s="1171"/>
      <c r="BO673" s="1171"/>
      <c r="BP673" s="1171"/>
      <c r="BR673" s="1439"/>
      <c r="BS673" s="1439"/>
      <c r="BT673" s="1439"/>
      <c r="BU673" s="1260"/>
    </row>
    <row r="674" spans="1:73" s="1038" customFormat="1" ht="12" hidden="1" customHeight="1" outlineLevel="2">
      <c r="A674" s="1172"/>
      <c r="B674" s="837"/>
      <c r="C674" s="837"/>
      <c r="D674" s="837"/>
      <c r="E674" s="838"/>
      <c r="F674" s="837"/>
      <c r="G674" s="837"/>
      <c r="H674" s="837"/>
      <c r="I674" s="838"/>
      <c r="J674" s="837"/>
      <c r="K674" s="837"/>
      <c r="L674" s="837"/>
      <c r="M674" s="838"/>
      <c r="N674" s="836"/>
      <c r="O674" s="836"/>
      <c r="P674" s="836"/>
      <c r="Q674" s="1041"/>
      <c r="R674" s="836"/>
      <c r="S674" s="836"/>
      <c r="T674" s="836"/>
      <c r="U674" s="1203"/>
      <c r="V674" s="836"/>
      <c r="W674" s="836"/>
      <c r="X674" s="836"/>
      <c r="Y674" s="838"/>
      <c r="Z674" s="836"/>
      <c r="AA674" s="836"/>
      <c r="AB674" s="836"/>
      <c r="AC674" s="1041"/>
      <c r="AD674" s="836"/>
      <c r="AE674" s="836"/>
      <c r="AF674" s="836"/>
      <c r="AG674" s="1041"/>
      <c r="AH674" s="1040"/>
      <c r="AI674" s="1040"/>
      <c r="AJ674" s="1040"/>
      <c r="AK674" s="1173"/>
      <c r="AL674" s="1040"/>
      <c r="AM674" s="1040"/>
      <c r="AN674" s="1040"/>
      <c r="AO674" s="1173"/>
      <c r="AP674" s="1040"/>
      <c r="AQ674" s="1040"/>
      <c r="AR674" s="1040"/>
      <c r="AS674" s="1173"/>
      <c r="AT674" s="1040"/>
      <c r="AU674" s="1040"/>
      <c r="AV674" s="1040"/>
      <c r="AW674" s="1173"/>
      <c r="AX674" s="1040"/>
      <c r="AY674" s="1040"/>
      <c r="AZ674" s="1040"/>
      <c r="BA674" s="1173"/>
      <c r="BB674" s="401"/>
      <c r="BC674" s="1086"/>
      <c r="BD674" s="1170"/>
      <c r="BE674" s="991"/>
      <c r="BF674" s="991"/>
      <c r="BG674" s="1153"/>
      <c r="BH674" s="991"/>
      <c r="BI674" s="1171"/>
      <c r="BJ674" s="1171"/>
      <c r="BK674" s="1171"/>
      <c r="BL674" s="1171"/>
      <c r="BM674" s="1171"/>
      <c r="BN674" s="1171"/>
      <c r="BO674" s="1171"/>
      <c r="BP674" s="1171"/>
      <c r="BR674" s="1439"/>
      <c r="BS674" s="1439"/>
      <c r="BT674" s="1439"/>
      <c r="BU674" s="1260"/>
    </row>
    <row r="675" spans="1:73" ht="12" customHeight="1" collapsed="1">
      <c r="A675" s="1180" t="s">
        <v>86</v>
      </c>
      <c r="B675" s="1181"/>
      <c r="C675" s="1181"/>
      <c r="D675" s="1181"/>
      <c r="E675" s="1181"/>
      <c r="F675" s="1181"/>
      <c r="G675" s="1181"/>
      <c r="H675" s="1181"/>
      <c r="I675" s="1182"/>
      <c r="J675" s="1182"/>
      <c r="K675" s="1182"/>
      <c r="L675" s="1182"/>
      <c r="M675" s="1182"/>
      <c r="N675" s="1182"/>
      <c r="O675" s="1182"/>
      <c r="P675" s="1182"/>
      <c r="Q675" s="1182"/>
      <c r="R675" s="1182"/>
      <c r="S675" s="1182"/>
      <c r="T675" s="1182"/>
      <c r="U675" s="1182"/>
      <c r="V675" s="1182"/>
      <c r="W675" s="1182"/>
      <c r="X675" s="1182"/>
      <c r="Y675" s="1182"/>
      <c r="Z675" s="1182"/>
      <c r="AA675" s="1182"/>
      <c r="AB675" s="1182"/>
      <c r="AC675" s="1182"/>
      <c r="AD675" s="1182"/>
      <c r="AE675" s="1182"/>
      <c r="AF675" s="1182"/>
      <c r="AG675" s="1182"/>
      <c r="AH675" s="1182"/>
      <c r="AI675" s="1182"/>
      <c r="AJ675" s="1182"/>
      <c r="AK675" s="1182"/>
      <c r="AL675" s="1182"/>
      <c r="AM675" s="1182"/>
      <c r="AN675" s="1182"/>
      <c r="AO675" s="1182"/>
      <c r="AP675" s="1182"/>
      <c r="AQ675" s="1182"/>
      <c r="AR675" s="1182"/>
      <c r="AS675" s="1182"/>
      <c r="AT675" s="1182"/>
      <c r="AU675" s="1182"/>
      <c r="AV675" s="1182"/>
      <c r="AW675" s="1182"/>
      <c r="AX675" s="1182"/>
      <c r="AY675" s="1182"/>
      <c r="AZ675" s="1182"/>
      <c r="BA675" s="1182"/>
      <c r="BB675" s="398"/>
      <c r="BC675" s="1182"/>
      <c r="BD675" s="1182"/>
      <c r="BE675" s="1182"/>
      <c r="BF675" s="1182"/>
      <c r="BG675" s="1182"/>
      <c r="BH675" s="1182"/>
      <c r="BI675" s="1182"/>
      <c r="BJ675" s="1182"/>
      <c r="BK675" s="1182"/>
      <c r="BL675" s="1182"/>
      <c r="BM675" s="1182"/>
      <c r="BN675" s="1182"/>
      <c r="BO675" s="1182"/>
      <c r="BP675" s="1182"/>
      <c r="BU675" s="1265"/>
    </row>
    <row r="676" spans="1:73" ht="12" customHeight="1">
      <c r="A676" s="1234"/>
      <c r="B676" s="1872"/>
      <c r="C676" s="1872"/>
      <c r="D676" s="1872"/>
      <c r="E676" s="1872"/>
      <c r="F676" s="1872"/>
      <c r="G676" s="1872"/>
      <c r="H676" s="1872"/>
      <c r="I676" s="859"/>
      <c r="J676" s="859"/>
      <c r="K676" s="859"/>
      <c r="L676" s="859"/>
      <c r="M676" s="859"/>
      <c r="N676" s="859"/>
      <c r="O676" s="859"/>
      <c r="P676" s="859"/>
      <c r="Q676" s="859"/>
      <c r="R676" s="859"/>
      <c r="S676" s="859"/>
      <c r="T676" s="859"/>
      <c r="U676" s="859"/>
      <c r="V676" s="859"/>
      <c r="W676" s="859"/>
      <c r="X676" s="859"/>
      <c r="Y676" s="859"/>
      <c r="Z676" s="859"/>
      <c r="AA676" s="859"/>
      <c r="AB676" s="859"/>
      <c r="AC676" s="859"/>
      <c r="AD676" s="859"/>
      <c r="AE676" s="859"/>
      <c r="AF676" s="859"/>
      <c r="AG676" s="859"/>
      <c r="AH676" s="859"/>
      <c r="AI676" s="859"/>
      <c r="AJ676" s="859"/>
      <c r="AK676" s="859"/>
      <c r="AL676" s="859"/>
      <c r="AM676" s="859"/>
      <c r="AN676" s="859"/>
      <c r="AO676" s="859"/>
      <c r="AP676" s="859"/>
      <c r="AQ676" s="859"/>
      <c r="AR676" s="859"/>
      <c r="AS676" s="859"/>
      <c r="AT676" s="859"/>
      <c r="AU676" s="859"/>
      <c r="AV676" s="859"/>
      <c r="AW676" s="859"/>
      <c r="AX676" s="859"/>
      <c r="AY676" s="859"/>
      <c r="AZ676" s="859"/>
      <c r="BA676" s="859"/>
      <c r="BB676" s="859"/>
      <c r="BC676" s="859"/>
      <c r="BD676" s="859"/>
      <c r="BE676" s="859"/>
      <c r="BF676" s="859"/>
      <c r="BG676" s="859"/>
      <c r="BH676" s="859"/>
      <c r="BI676" s="859"/>
      <c r="BJ676" s="859"/>
      <c r="BK676" s="859"/>
      <c r="BL676" s="859"/>
      <c r="BM676" s="859"/>
      <c r="BN676" s="859"/>
      <c r="BO676" s="859"/>
      <c r="BP676" s="859"/>
      <c r="BU676" s="1265"/>
    </row>
    <row r="677" spans="1:73" ht="12" customHeight="1">
      <c r="BU677" s="1265"/>
    </row>
  </sheetData>
  <mergeCells count="56">
    <mergeCell ref="V254:Y254"/>
    <mergeCell ref="Z254:AC254"/>
    <mergeCell ref="AD254:AG254"/>
    <mergeCell ref="AH254:AK254"/>
    <mergeCell ref="AL254:AO254"/>
    <mergeCell ref="AT254:AW254"/>
    <mergeCell ref="AX3:BA3"/>
    <mergeCell ref="AX254:BA254"/>
    <mergeCell ref="AP226:AS226"/>
    <mergeCell ref="AT226:AW226"/>
    <mergeCell ref="AX226:BA226"/>
    <mergeCell ref="B254:E254"/>
    <mergeCell ref="F254:I254"/>
    <mergeCell ref="J254:M254"/>
    <mergeCell ref="N254:Q254"/>
    <mergeCell ref="R254:U254"/>
    <mergeCell ref="B3:E3"/>
    <mergeCell ref="F3:I3"/>
    <mergeCell ref="J3:M3"/>
    <mergeCell ref="N3:Q3"/>
    <mergeCell ref="R3:U3"/>
    <mergeCell ref="B226:E226"/>
    <mergeCell ref="F226:I226"/>
    <mergeCell ref="J226:M226"/>
    <mergeCell ref="N226:Q226"/>
    <mergeCell ref="R226:U226"/>
    <mergeCell ref="BC226:BP226"/>
    <mergeCell ref="BC254:BP254"/>
    <mergeCell ref="BC3:BP3"/>
    <mergeCell ref="V226:Y226"/>
    <mergeCell ref="Z226:AC226"/>
    <mergeCell ref="AD226:AG226"/>
    <mergeCell ref="AH226:AK226"/>
    <mergeCell ref="AL226:AO226"/>
    <mergeCell ref="V3:Y3"/>
    <mergeCell ref="Z3:AC3"/>
    <mergeCell ref="AD3:AG3"/>
    <mergeCell ref="AH3:AK3"/>
    <mergeCell ref="AL3:AO3"/>
    <mergeCell ref="AP3:AS3"/>
    <mergeCell ref="AP254:AS254"/>
    <mergeCell ref="AT3:AW3"/>
    <mergeCell ref="BC554:BP554"/>
    <mergeCell ref="B554:E554"/>
    <mergeCell ref="F554:I554"/>
    <mergeCell ref="J554:M554"/>
    <mergeCell ref="N554:Q554"/>
    <mergeCell ref="R554:U554"/>
    <mergeCell ref="V554:Y554"/>
    <mergeCell ref="Z554:AC554"/>
    <mergeCell ref="AD554:AG554"/>
    <mergeCell ref="AH554:AK554"/>
    <mergeCell ref="AL554:AO554"/>
    <mergeCell ref="AP554:AS554"/>
    <mergeCell ref="AT554:AW554"/>
    <mergeCell ref="AX554:BA554"/>
  </mergeCells>
  <pageMargins left="0.7" right="0.7" top="0.75" bottom="0.75" header="0.3" footer="0.3"/>
  <pageSetup scale="50" orientation="portrait" r:id="rId1"/>
  <rowBreaks count="1" manualBreakCount="1">
    <brk id="253" max="53" man="1"/>
  </rowBreaks>
  <ignoredErrors>
    <ignoredError sqref="BD13:BE18 BD142:BI145 BD86:BH86 BD147:BI151 BD207:BI211 BI217 BE212:BH218 BD71:BH71 BD41:BH41 BD36:BH36 BD32:BH33 BD38:BH38 BD68:BH68 BD63:BH63" formulaRange="1"/>
    <ignoredError sqref="W18" 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BV97"/>
  <sheetViews>
    <sheetView showGridLines="0" zoomScale="85" zoomScaleNormal="85" workbookViewId="0">
      <pane xSplit="1" ySplit="4" topLeftCell="B5" activePane="bottomRight" state="frozen"/>
      <selection activeCell="CS46" sqref="CS46"/>
      <selection pane="topRight" activeCell="CS46" sqref="CS46"/>
      <selection pane="bottomLeft" activeCell="CS46" sqref="CS46"/>
      <selection pane="bottomRight" activeCell="Z5" sqref="Z5"/>
    </sheetView>
  </sheetViews>
  <sheetFormatPr defaultColWidth="6.85546875" defaultRowHeight="11.25" outlineLevelRow="1" outlineLevelCol="1"/>
  <cols>
    <col min="1" max="1" width="47.85546875" style="281" customWidth="1"/>
    <col min="2" max="2" width="8" style="384" hidden="1" customWidth="1" outlineLevel="1" collapsed="1"/>
    <col min="3" max="5" width="8" style="384" hidden="1" customWidth="1" outlineLevel="1"/>
    <col min="6" max="6" width="8" style="384" hidden="1" customWidth="1" outlineLevel="1" collapsed="1"/>
    <col min="7" max="25" width="8" style="384" hidden="1" customWidth="1" outlineLevel="1"/>
    <col min="26" max="26" width="8" style="384" customWidth="1" collapsed="1"/>
    <col min="27" max="49" width="8" style="384" customWidth="1"/>
    <col min="50" max="53" width="8" style="384" hidden="1" customWidth="1" outlineLevel="1"/>
    <col min="54" max="54" width="2.5703125" style="384" customWidth="1" collapsed="1"/>
    <col min="55" max="57" width="9.140625" style="384" hidden="1" customWidth="1" outlineLevel="1"/>
    <col min="58" max="59" width="9.140625" style="384" hidden="1" customWidth="1" outlineLevel="1" collapsed="1"/>
    <col min="60" max="62" width="9.140625" style="384" hidden="1" customWidth="1" outlineLevel="1"/>
    <col min="63" max="63" width="9.140625" style="384" customWidth="1" collapsed="1"/>
    <col min="64" max="68" width="9.140625" style="384" customWidth="1"/>
    <col min="69" max="69" width="2.85546875" style="384" customWidth="1"/>
    <col min="70" max="72" width="9.85546875" style="1389" customWidth="1"/>
    <col min="73" max="73" width="1.42578125" style="384" customWidth="1"/>
    <col min="74" max="16384" width="6.85546875" style="384"/>
  </cols>
  <sheetData>
    <row r="1" spans="1:73" s="281" customFormat="1" ht="15.75">
      <c r="A1" s="275" t="str">
        <f>+'Income Statement'!A1</f>
        <v>Intuit, Inc.</v>
      </c>
      <c r="BR1" s="284"/>
      <c r="BS1" s="284"/>
      <c r="BT1" s="284"/>
    </row>
    <row r="2" spans="1:73" s="281" customFormat="1" ht="15.75">
      <c r="A2" s="275" t="s">
        <v>325</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282"/>
      <c r="BC2" s="284"/>
      <c r="BD2" s="284">
        <v>0</v>
      </c>
      <c r="BE2" s="284">
        <v>0</v>
      </c>
      <c r="BF2" s="284">
        <v>0</v>
      </c>
      <c r="BG2" s="284">
        <v>0</v>
      </c>
      <c r="BH2" s="284">
        <v>0</v>
      </c>
      <c r="BI2" s="284">
        <v>0</v>
      </c>
      <c r="BJ2" s="284">
        <v>0</v>
      </c>
      <c r="BK2" s="284">
        <v>0</v>
      </c>
      <c r="BL2" s="284">
        <v>0</v>
      </c>
      <c r="BM2" s="284">
        <v>0</v>
      </c>
      <c r="BN2" s="284">
        <v>0</v>
      </c>
      <c r="BO2" s="284">
        <v>0</v>
      </c>
      <c r="BP2" s="284">
        <v>0</v>
      </c>
      <c r="BR2" s="284"/>
      <c r="BS2" s="284"/>
      <c r="BT2" s="284"/>
    </row>
    <row r="3" spans="1:73" s="288" customFormat="1" ht="12" customHeight="1">
      <c r="A3" s="530"/>
      <c r="B3" s="2160" t="str">
        <f>+'Income Statement'!B3:E3</f>
        <v>Fiscal 2016</v>
      </c>
      <c r="C3" s="2160"/>
      <c r="D3" s="2160"/>
      <c r="E3" s="2176"/>
      <c r="F3" s="2160" t="str">
        <f>+'Income Statement'!F3:I3</f>
        <v>Fiscal 2017</v>
      </c>
      <c r="G3" s="2160"/>
      <c r="H3" s="2160"/>
      <c r="I3" s="2176"/>
      <c r="J3" s="2160" t="str">
        <f>+'Income Statement'!J3:M3</f>
        <v>Fiscal 2018</v>
      </c>
      <c r="K3" s="2160"/>
      <c r="L3" s="2160"/>
      <c r="M3" s="2176"/>
      <c r="N3" s="2160" t="str">
        <f>+'Income Statement'!N3:Q3</f>
        <v>Fiscal 2019</v>
      </c>
      <c r="O3" s="2160"/>
      <c r="P3" s="2160"/>
      <c r="Q3" s="2176"/>
      <c r="R3" s="2160" t="str">
        <f>+'Income Statement'!R3:U3</f>
        <v>Fiscal 2020</v>
      </c>
      <c r="S3" s="2160"/>
      <c r="T3" s="2160"/>
      <c r="U3" s="2176"/>
      <c r="V3" s="2160" t="str">
        <f>+'Income Statement'!V3:Y3</f>
        <v>Fiscal 2021</v>
      </c>
      <c r="W3" s="2160"/>
      <c r="X3" s="2160"/>
      <c r="Y3" s="2176"/>
      <c r="Z3" s="2160" t="str">
        <f>+'Income Statement'!Z3:AC3</f>
        <v>Fiscal 2022</v>
      </c>
      <c r="AA3" s="2160"/>
      <c r="AB3" s="2160"/>
      <c r="AC3" s="2176"/>
      <c r="AD3" s="2160" t="str">
        <f>+'Income Statement'!AD3:AG3</f>
        <v>Fiscal 2023</v>
      </c>
      <c r="AE3" s="2160"/>
      <c r="AF3" s="2160"/>
      <c r="AG3" s="2176"/>
      <c r="AH3" s="2160" t="str">
        <f>+'Income Statement'!AH3:AK3</f>
        <v>Fiscal 2024</v>
      </c>
      <c r="AI3" s="2160"/>
      <c r="AJ3" s="2160"/>
      <c r="AK3" s="2176"/>
      <c r="AL3" s="2160" t="str">
        <f>+'Income Statement'!AL3:AO3</f>
        <v>Fiscal 2025</v>
      </c>
      <c r="AM3" s="2160"/>
      <c r="AN3" s="2160"/>
      <c r="AO3" s="2176"/>
      <c r="AP3" s="2160" t="str">
        <f>+'Income Statement'!AP3:AS3</f>
        <v>Fiscal 2026</v>
      </c>
      <c r="AQ3" s="2160"/>
      <c r="AR3" s="2160"/>
      <c r="AS3" s="2176"/>
      <c r="AT3" s="2160" t="str">
        <f>+'Income Statement'!AT3:AW3</f>
        <v>Fiscal 2027</v>
      </c>
      <c r="AU3" s="2160"/>
      <c r="AV3" s="2160"/>
      <c r="AW3" s="2176"/>
      <c r="AX3" s="2160" t="str">
        <f>+'Income Statement'!AX3:BA3</f>
        <v>Fiscal 2028</v>
      </c>
      <c r="AY3" s="2160"/>
      <c r="AZ3" s="2160"/>
      <c r="BA3" s="2176"/>
      <c r="BB3" s="1358"/>
      <c r="BC3" s="2157"/>
      <c r="BD3" s="2158"/>
      <c r="BE3" s="2158"/>
      <c r="BF3" s="2158"/>
      <c r="BG3" s="2158"/>
      <c r="BH3" s="2158"/>
      <c r="BI3" s="2158"/>
      <c r="BJ3" s="2158"/>
      <c r="BK3" s="2158"/>
      <c r="BL3" s="2158"/>
      <c r="BM3" s="2158"/>
      <c r="BN3" s="1359"/>
      <c r="BO3" s="1359"/>
      <c r="BP3" s="1359"/>
      <c r="BQ3" s="414"/>
      <c r="BR3" s="1407"/>
      <c r="BS3" s="1407"/>
      <c r="BT3" s="1407"/>
      <c r="BU3" s="647"/>
    </row>
    <row r="4" spans="1:73" s="305" customFormat="1" ht="12" customHeight="1">
      <c r="A4" s="648" t="s">
        <v>233</v>
      </c>
      <c r="B4" s="398">
        <f>+'Income Statement'!B4</f>
        <v>42308</v>
      </c>
      <c r="C4" s="398">
        <f>+'Income Statement'!C4</f>
        <v>42400</v>
      </c>
      <c r="D4" s="398">
        <f>+'Income Statement'!D4</f>
        <v>42490</v>
      </c>
      <c r="E4" s="398">
        <f>+'Income Statement'!E4</f>
        <v>42582</v>
      </c>
      <c r="F4" s="649">
        <f>+'Income Statement'!F4</f>
        <v>42674</v>
      </c>
      <c r="G4" s="398">
        <f>+'Income Statement'!G4</f>
        <v>42766</v>
      </c>
      <c r="H4" s="398">
        <f>+'Income Statement'!H4</f>
        <v>42855</v>
      </c>
      <c r="I4" s="401">
        <f>+'Income Statement'!I4</f>
        <v>42947</v>
      </c>
      <c r="J4" s="649">
        <f>+'Income Statement'!J4</f>
        <v>43039</v>
      </c>
      <c r="K4" s="398">
        <f>+'Income Statement'!K4</f>
        <v>43131</v>
      </c>
      <c r="L4" s="398">
        <f>+'Income Statement'!L4</f>
        <v>43220</v>
      </c>
      <c r="M4" s="401">
        <f>+'Income Statement'!M4</f>
        <v>43312</v>
      </c>
      <c r="N4" s="649">
        <f>+'Income Statement'!N4</f>
        <v>43404</v>
      </c>
      <c r="O4" s="398">
        <f>+'Income Statement'!O4</f>
        <v>43496</v>
      </c>
      <c r="P4" s="398">
        <f>+'Income Statement'!P4</f>
        <v>43585</v>
      </c>
      <c r="Q4" s="401">
        <f>+'Income Statement'!Q4</f>
        <v>43677</v>
      </c>
      <c r="R4" s="649">
        <f>+'Income Statement'!R4</f>
        <v>43769</v>
      </c>
      <c r="S4" s="398">
        <f>+'Income Statement'!S4</f>
        <v>43861</v>
      </c>
      <c r="T4" s="398">
        <f>+'Income Statement'!T4</f>
        <v>43951</v>
      </c>
      <c r="U4" s="401">
        <f>+'Income Statement'!U4</f>
        <v>44043</v>
      </c>
      <c r="V4" s="649">
        <f>+'Income Statement'!V4</f>
        <v>44135</v>
      </c>
      <c r="W4" s="398" t="str">
        <f>+'Income Statement'!W4</f>
        <v>Jan-21</v>
      </c>
      <c r="X4" s="398" t="str">
        <f>+'Income Statement'!X4</f>
        <v>Apr-21</v>
      </c>
      <c r="Y4" s="401" t="str">
        <f>+'Income Statement'!Y4</f>
        <v>Jul-21</v>
      </c>
      <c r="Z4" s="649" t="str">
        <f>+'Income Statement'!Z4</f>
        <v>Oct-21</v>
      </c>
      <c r="AA4" s="398" t="str">
        <f>+'Income Statement'!AA4</f>
        <v>Jan-22</v>
      </c>
      <c r="AB4" s="398" t="str">
        <f>+'Income Statement'!AB4</f>
        <v>Apr-22</v>
      </c>
      <c r="AC4" s="401" t="str">
        <f>+'Income Statement'!AC4</f>
        <v>Jul-22</v>
      </c>
      <c r="AD4" s="649" t="str">
        <f>+'Income Statement'!AD4</f>
        <v>Oct-22</v>
      </c>
      <c r="AE4" s="398" t="str">
        <f>+'Income Statement'!AE4</f>
        <v>Jan-23</v>
      </c>
      <c r="AF4" s="398" t="str">
        <f>+'Income Statement'!AF4</f>
        <v>Apr-23</v>
      </c>
      <c r="AG4" s="401" t="str">
        <f>+'Income Statement'!AG4</f>
        <v>Jul-23</v>
      </c>
      <c r="AH4" s="649" t="str">
        <f>+'Income Statement'!AH4</f>
        <v>Oct-23</v>
      </c>
      <c r="AI4" s="398" t="str">
        <f>+'Income Statement'!AI4</f>
        <v>Jan-24</v>
      </c>
      <c r="AJ4" s="398" t="str">
        <f>+'Income Statement'!AJ4</f>
        <v>Apr-24</v>
      </c>
      <c r="AK4" s="401" t="str">
        <f>+'Income Statement'!AK4</f>
        <v>Jul-24</v>
      </c>
      <c r="AL4" s="649" t="str">
        <f>+'Income Statement'!AL4</f>
        <v>Oct-24</v>
      </c>
      <c r="AM4" s="398" t="str">
        <f>+'Income Statement'!AM4</f>
        <v>Jan-25</v>
      </c>
      <c r="AN4" s="398" t="str">
        <f>+'Income Statement'!AN4</f>
        <v>Apr-25</v>
      </c>
      <c r="AO4" s="401" t="str">
        <f>+'Income Statement'!AO4</f>
        <v>Jul-25</v>
      </c>
      <c r="AP4" s="649" t="str">
        <f>+'Income Statement'!AP4</f>
        <v>Oct-25</v>
      </c>
      <c r="AQ4" s="398" t="str">
        <f>+'Income Statement'!AQ4</f>
        <v>Jan-26</v>
      </c>
      <c r="AR4" s="398" t="str">
        <f>+'Income Statement'!AR4</f>
        <v>Apr-26E</v>
      </c>
      <c r="AS4" s="401" t="str">
        <f>+'Income Statement'!AS4</f>
        <v>Jul-26E</v>
      </c>
      <c r="AT4" s="649" t="str">
        <f>+'Income Statement'!AT4</f>
        <v>Oct-26E</v>
      </c>
      <c r="AU4" s="398" t="str">
        <f>+'Income Statement'!AU4</f>
        <v>Jan-27E</v>
      </c>
      <c r="AV4" s="398" t="str">
        <f>+'Income Statement'!AV4</f>
        <v>Apr-27E</v>
      </c>
      <c r="AW4" s="401" t="str">
        <f>+'Income Statement'!AW4</f>
        <v>Jul-27E</v>
      </c>
      <c r="AX4" s="649" t="str">
        <f>+'Income Statement'!AX4</f>
        <v>Oct-27E</v>
      </c>
      <c r="AY4" s="398" t="str">
        <f>+'Income Statement'!AY4</f>
        <v>Jan-28E</v>
      </c>
      <c r="AZ4" s="398" t="str">
        <f>+'Income Statement'!AZ4</f>
        <v>Apr-28E</v>
      </c>
      <c r="BA4" s="401" t="str">
        <f>+'Income Statement'!BA4</f>
        <v>Jul-28E</v>
      </c>
      <c r="BB4" s="649"/>
      <c r="BC4" s="402" t="str">
        <f>+'Income Statement'!BC4</f>
        <v>FY15</v>
      </c>
      <c r="BD4" s="402" t="str">
        <f>+'Income Statement'!BD4</f>
        <v>FY16</v>
      </c>
      <c r="BE4" s="402" t="str">
        <f>+'Income Statement'!BE4</f>
        <v>FY17</v>
      </c>
      <c r="BF4" s="404" t="str">
        <f>+'Income Statement'!BF4</f>
        <v>FY18</v>
      </c>
      <c r="BG4" s="404" t="str">
        <f>+'Income Statement'!BG4</f>
        <v>FY19</v>
      </c>
      <c r="BH4" s="404" t="str">
        <f>+'Income Statement'!BH4</f>
        <v>FY20</v>
      </c>
      <c r="BI4" s="404" t="str">
        <f>+'Income Statement'!BI4</f>
        <v>FY21</v>
      </c>
      <c r="BJ4" s="404" t="str">
        <f>+'Income Statement'!BJ4</f>
        <v>FY22</v>
      </c>
      <c r="BK4" s="404" t="str">
        <f>+'Income Statement'!BK4</f>
        <v>FY23</v>
      </c>
      <c r="BL4" s="404" t="str">
        <f>+'Income Statement'!BL4</f>
        <v>FY24</v>
      </c>
      <c r="BM4" s="404" t="str">
        <f>+'Income Statement'!BM4</f>
        <v>FY25</v>
      </c>
      <c r="BN4" s="404" t="str">
        <f>+'Income Statement'!BN4</f>
        <v>FY26E</v>
      </c>
      <c r="BO4" s="404" t="str">
        <f>+'Income Statement'!BO4</f>
        <v>FY27E</v>
      </c>
      <c r="BP4" s="404" t="str">
        <f>+'Income Statement'!BP4</f>
        <v>FY28E</v>
      </c>
      <c r="BQ4" s="650"/>
      <c r="BR4" s="1408"/>
      <c r="BS4" s="1379"/>
      <c r="BT4" s="1379"/>
    </row>
    <row r="5" spans="1:73" s="360" customFormat="1" ht="12" customHeight="1">
      <c r="A5" s="933" t="s">
        <v>326</v>
      </c>
      <c r="B5" s="181"/>
      <c r="C5" s="181"/>
      <c r="D5" s="181"/>
      <c r="E5" s="181"/>
      <c r="F5" s="651"/>
      <c r="G5" s="181"/>
      <c r="H5" s="181"/>
      <c r="I5" s="183"/>
      <c r="J5" s="651"/>
      <c r="K5" s="181"/>
      <c r="L5" s="181"/>
      <c r="M5" s="183"/>
      <c r="N5" s="651"/>
      <c r="O5" s="181"/>
      <c r="P5" s="181"/>
      <c r="Q5" s="183"/>
      <c r="R5" s="651"/>
      <c r="S5" s="181"/>
      <c r="T5" s="181"/>
      <c r="U5" s="183"/>
      <c r="V5" s="651"/>
      <c r="W5" s="181"/>
      <c r="X5" s="184"/>
      <c r="Y5" s="183"/>
      <c r="Z5" s="1284"/>
      <c r="AA5" s="181"/>
      <c r="AB5" s="181"/>
      <c r="AC5" s="183"/>
      <c r="AD5" s="651"/>
      <c r="AE5" s="181"/>
      <c r="AF5" s="181"/>
      <c r="AG5" s="183"/>
      <c r="AH5" s="651"/>
      <c r="AI5" s="181"/>
      <c r="AJ5" s="181"/>
      <c r="AK5" s="183"/>
      <c r="AL5" s="651"/>
      <c r="AM5" s="181"/>
      <c r="AN5" s="181"/>
      <c r="AO5" s="183"/>
      <c r="AP5" s="651"/>
      <c r="AQ5" s="181"/>
      <c r="AR5" s="181"/>
      <c r="AS5" s="183"/>
      <c r="AT5" s="651"/>
      <c r="AU5" s="181"/>
      <c r="AV5" s="181"/>
      <c r="AW5" s="183"/>
      <c r="AX5" s="651"/>
      <c r="AY5" s="181"/>
      <c r="AZ5" s="181"/>
      <c r="BA5" s="183"/>
      <c r="BB5" s="652"/>
      <c r="BC5" s="653"/>
      <c r="BD5" s="653"/>
      <c r="BE5" s="653"/>
      <c r="BF5" s="653"/>
      <c r="BG5" s="653"/>
      <c r="BH5" s="653"/>
      <c r="BI5" s="653"/>
      <c r="BJ5" s="653"/>
      <c r="BK5" s="653"/>
      <c r="BL5" s="653"/>
      <c r="BM5" s="653"/>
      <c r="BN5" s="653"/>
      <c r="BO5" s="653"/>
      <c r="BP5" s="653"/>
      <c r="BR5" s="1409"/>
      <c r="BS5" s="1409"/>
      <c r="BT5" s="1409"/>
    </row>
    <row r="6" spans="1:73" ht="12.75" customHeight="1">
      <c r="A6" s="931" t="s">
        <v>13</v>
      </c>
      <c r="B6" s="716">
        <v>474</v>
      </c>
      <c r="C6" s="716">
        <v>334</v>
      </c>
      <c r="D6" s="716">
        <v>1289</v>
      </c>
      <c r="E6" s="716">
        <v>638</v>
      </c>
      <c r="F6" s="717">
        <v>360</v>
      </c>
      <c r="G6" s="716">
        <v>392</v>
      </c>
      <c r="H6" s="716">
        <v>1350</v>
      </c>
      <c r="I6" s="716">
        <v>529</v>
      </c>
      <c r="J6" s="717">
        <v>529</v>
      </c>
      <c r="K6" s="716">
        <v>478</v>
      </c>
      <c r="L6" s="716">
        <v>1614</v>
      </c>
      <c r="M6" s="716">
        <v>1464</v>
      </c>
      <c r="N6" s="717">
        <v>1084</v>
      </c>
      <c r="O6" s="716">
        <v>1075</v>
      </c>
      <c r="P6" s="707">
        <v>2946</v>
      </c>
      <c r="Q6" s="716">
        <v>2116</v>
      </c>
      <c r="R6" s="708">
        <v>1630</v>
      </c>
      <c r="S6" s="707">
        <v>1641</v>
      </c>
      <c r="T6" s="707">
        <v>3371</v>
      </c>
      <c r="U6" s="707">
        <v>6442</v>
      </c>
      <c r="V6" s="708">
        <v>5174</v>
      </c>
      <c r="W6" s="707">
        <v>1952</v>
      </c>
      <c r="X6" s="884">
        <v>3164</v>
      </c>
      <c r="Y6" s="718">
        <v>2562</v>
      </c>
      <c r="Z6" s="884">
        <v>2864</v>
      </c>
      <c r="AA6" s="884">
        <v>1257</v>
      </c>
      <c r="AB6" s="884">
        <v>3531</v>
      </c>
      <c r="AC6" s="911">
        <v>2796</v>
      </c>
      <c r="AD6" s="907">
        <v>2125</v>
      </c>
      <c r="AE6" s="884">
        <v>1547</v>
      </c>
      <c r="AF6" s="884">
        <v>3745</v>
      </c>
      <c r="AG6" s="911">
        <v>2848</v>
      </c>
      <c r="AH6" s="907">
        <v>1734</v>
      </c>
      <c r="AI6" s="884">
        <v>1474</v>
      </c>
      <c r="AJ6" s="884">
        <v>4215</v>
      </c>
      <c r="AK6" s="911">
        <v>3609</v>
      </c>
      <c r="AL6" s="907">
        <v>2872</v>
      </c>
      <c r="AM6" s="884">
        <v>2435</v>
      </c>
      <c r="AN6" s="884">
        <v>5443</v>
      </c>
      <c r="AO6" s="911">
        <v>2884</v>
      </c>
      <c r="AP6" s="907">
        <v>3506</v>
      </c>
      <c r="AQ6" s="884">
        <v>2942</v>
      </c>
      <c r="AR6" s="871">
        <f>+AQ6+'Cash Flow'!AR59</f>
        <v>7485.7456437109295</v>
      </c>
      <c r="AS6" s="912">
        <f>+AR6+'Cash Flow'!AS59</f>
        <v>8746.203011943604</v>
      </c>
      <c r="AT6" s="913">
        <f>+AS6+'Cash Flow'!AT59</f>
        <v>9818.709316189068</v>
      </c>
      <c r="AU6" s="871">
        <f>+AT6+'Cash Flow'!AU59</f>
        <v>10682.847216461794</v>
      </c>
      <c r="AV6" s="871">
        <f>+AU6+'Cash Flow'!AV59</f>
        <v>15683.560259113994</v>
      </c>
      <c r="AW6" s="912">
        <f>+AV6+'Cash Flow'!AW59</f>
        <v>16690.104186616445</v>
      </c>
      <c r="AX6" s="913">
        <f>+AW6+'Cash Flow'!AX59</f>
        <v>18144.997959454766</v>
      </c>
      <c r="AY6" s="871">
        <f>+AX6+'Cash Flow'!AY59</f>
        <v>19074.677848909254</v>
      </c>
      <c r="AZ6" s="871">
        <f>+AY6+'Cash Flow'!AZ59</f>
        <v>24487.133604343995</v>
      </c>
      <c r="BA6" s="912">
        <f>+AZ6+'Cash Flow'!BA59</f>
        <v>25668.531079260814</v>
      </c>
      <c r="BB6" s="327"/>
      <c r="BC6" s="655"/>
      <c r="BD6" s="925">
        <f t="shared" ref="BD6:BD15" si="0">E6</f>
        <v>638</v>
      </c>
      <c r="BE6" s="925">
        <f t="shared" ref="BE6:BE15" si="1">I6</f>
        <v>529</v>
      </c>
      <c r="BF6" s="925">
        <f t="shared" ref="BF6:BF23" si="2">M6</f>
        <v>1464</v>
      </c>
      <c r="BG6" s="925">
        <f>Q6</f>
        <v>2116</v>
      </c>
      <c r="BH6" s="925">
        <f>U6</f>
        <v>6442</v>
      </c>
      <c r="BI6" s="925">
        <f>Y6</f>
        <v>2562</v>
      </c>
      <c r="BJ6" s="925">
        <f>AC6</f>
        <v>2796</v>
      </c>
      <c r="BK6" s="925">
        <f>+AG6</f>
        <v>2848</v>
      </c>
      <c r="BL6" s="925">
        <f>+AK6</f>
        <v>3609</v>
      </c>
      <c r="BM6" s="925">
        <f t="shared" ref="BM6:BM15" si="3">+AO6</f>
        <v>2884</v>
      </c>
      <c r="BN6" s="925">
        <f t="shared" ref="BN6:BN15" si="4">+AP6</f>
        <v>3506</v>
      </c>
      <c r="BO6" s="925">
        <f t="shared" ref="BO6:BO15" si="5">+AW6</f>
        <v>16690.104186616445</v>
      </c>
      <c r="BP6" s="925">
        <f t="shared" ref="BP6:BP15" si="6">+BA6</f>
        <v>25668.531079260814</v>
      </c>
      <c r="BR6" s="1410"/>
    </row>
    <row r="7" spans="1:73" ht="12.75" customHeight="1">
      <c r="A7" s="931" t="s">
        <v>108</v>
      </c>
      <c r="B7" s="716">
        <v>0</v>
      </c>
      <c r="C7" s="716">
        <v>0</v>
      </c>
      <c r="D7" s="716">
        <v>324</v>
      </c>
      <c r="E7" s="716">
        <v>442</v>
      </c>
      <c r="F7" s="717">
        <v>245</v>
      </c>
      <c r="G7" s="716">
        <v>245</v>
      </c>
      <c r="H7" s="716">
        <v>243</v>
      </c>
      <c r="I7" s="716">
        <v>248</v>
      </c>
      <c r="J7" s="717">
        <v>248</v>
      </c>
      <c r="K7" s="716">
        <v>248</v>
      </c>
      <c r="L7" s="716">
        <v>322</v>
      </c>
      <c r="M7" s="716">
        <v>252</v>
      </c>
      <c r="N7" s="717">
        <v>248</v>
      </c>
      <c r="O7" s="716">
        <v>258</v>
      </c>
      <c r="P7" s="707">
        <v>400</v>
      </c>
      <c r="Q7" s="716">
        <v>624</v>
      </c>
      <c r="R7" s="708">
        <v>625</v>
      </c>
      <c r="S7" s="707">
        <v>625</v>
      </c>
      <c r="T7" s="707">
        <v>600</v>
      </c>
      <c r="U7" s="707">
        <v>608</v>
      </c>
      <c r="V7" s="708">
        <v>619</v>
      </c>
      <c r="W7" s="707">
        <v>786</v>
      </c>
      <c r="X7" s="884">
        <v>952</v>
      </c>
      <c r="Y7" s="718">
        <v>1308</v>
      </c>
      <c r="Z7" s="884">
        <v>386</v>
      </c>
      <c r="AA7" s="884">
        <v>157</v>
      </c>
      <c r="AB7" s="884">
        <v>373</v>
      </c>
      <c r="AC7" s="911">
        <v>485</v>
      </c>
      <c r="AD7" s="907">
        <v>599</v>
      </c>
      <c r="AE7" s="884">
        <v>524</v>
      </c>
      <c r="AF7" s="884">
        <v>523</v>
      </c>
      <c r="AG7" s="911">
        <v>814</v>
      </c>
      <c r="AH7" s="907">
        <v>537</v>
      </c>
      <c r="AI7" s="884">
        <v>15</v>
      </c>
      <c r="AJ7" s="884">
        <v>463</v>
      </c>
      <c r="AK7" s="911">
        <v>465</v>
      </c>
      <c r="AL7" s="907">
        <v>486</v>
      </c>
      <c r="AM7" s="884">
        <v>24</v>
      </c>
      <c r="AN7" s="884">
        <v>731</v>
      </c>
      <c r="AO7" s="911">
        <v>1668</v>
      </c>
      <c r="AP7" s="907">
        <v>190</v>
      </c>
      <c r="AQ7" s="884">
        <v>33</v>
      </c>
      <c r="AR7" s="707">
        <f t="shared" ref="AR7" si="7">+AQ7</f>
        <v>33</v>
      </c>
      <c r="AS7" s="718">
        <f t="shared" ref="AS7" si="8">+AR7</f>
        <v>33</v>
      </c>
      <c r="AT7" s="708">
        <f t="shared" ref="AT7" si="9">+AS7</f>
        <v>33</v>
      </c>
      <c r="AU7" s="707">
        <f t="shared" ref="AU7" si="10">+AT7</f>
        <v>33</v>
      </c>
      <c r="AV7" s="707">
        <f t="shared" ref="AV7" si="11">+AU7</f>
        <v>33</v>
      </c>
      <c r="AW7" s="718">
        <f t="shared" ref="AW7" si="12">+AV7</f>
        <v>33</v>
      </c>
      <c r="AX7" s="708">
        <f t="shared" ref="AX7" si="13">+AW7</f>
        <v>33</v>
      </c>
      <c r="AY7" s="707">
        <f t="shared" ref="AY7" si="14">+AX7</f>
        <v>33</v>
      </c>
      <c r="AZ7" s="707">
        <f t="shared" ref="AZ7" si="15">+AY7</f>
        <v>33</v>
      </c>
      <c r="BA7" s="718">
        <f t="shared" ref="BA7" si="16">+AZ7</f>
        <v>33</v>
      </c>
      <c r="BB7" s="327"/>
      <c r="BC7" s="655"/>
      <c r="BD7" s="925">
        <f t="shared" si="0"/>
        <v>442</v>
      </c>
      <c r="BE7" s="925">
        <f t="shared" si="1"/>
        <v>248</v>
      </c>
      <c r="BF7" s="925">
        <f t="shared" si="2"/>
        <v>252</v>
      </c>
      <c r="BG7" s="925">
        <f>Q7</f>
        <v>624</v>
      </c>
      <c r="BH7" s="925">
        <f>U7</f>
        <v>608</v>
      </c>
      <c r="BI7" s="925">
        <f>Y7</f>
        <v>1308</v>
      </c>
      <c r="BJ7" s="925">
        <f>AC7</f>
        <v>485</v>
      </c>
      <c r="BK7" s="925">
        <f>+AG7</f>
        <v>814</v>
      </c>
      <c r="BL7" s="925">
        <f>+AK7</f>
        <v>465</v>
      </c>
      <c r="BM7" s="925">
        <f t="shared" si="3"/>
        <v>1668</v>
      </c>
      <c r="BN7" s="925">
        <f t="shared" si="4"/>
        <v>190</v>
      </c>
      <c r="BO7" s="925">
        <f t="shared" si="5"/>
        <v>33</v>
      </c>
      <c r="BP7" s="925">
        <f t="shared" si="6"/>
        <v>33</v>
      </c>
      <c r="BR7" s="1410"/>
    </row>
    <row r="8" spans="1:73" ht="12" customHeight="1">
      <c r="A8" s="931" t="s">
        <v>109</v>
      </c>
      <c r="B8" s="716">
        <v>124</v>
      </c>
      <c r="C8" s="716">
        <v>512</v>
      </c>
      <c r="D8" s="716">
        <v>214</v>
      </c>
      <c r="E8" s="716">
        <v>108</v>
      </c>
      <c r="F8" s="717">
        <v>121</v>
      </c>
      <c r="G8" s="716">
        <v>521</v>
      </c>
      <c r="H8" s="716">
        <v>245</v>
      </c>
      <c r="I8" s="716">
        <v>103</v>
      </c>
      <c r="J8" s="717">
        <v>116</v>
      </c>
      <c r="K8" s="716">
        <v>532</v>
      </c>
      <c r="L8" s="716">
        <v>309</v>
      </c>
      <c r="M8" s="716">
        <v>98</v>
      </c>
      <c r="N8" s="717">
        <v>77</v>
      </c>
      <c r="O8" s="716">
        <v>554</v>
      </c>
      <c r="P8" s="707">
        <v>262</v>
      </c>
      <c r="Q8" s="716">
        <v>87</v>
      </c>
      <c r="R8" s="708">
        <v>104</v>
      </c>
      <c r="S8" s="707">
        <v>603</v>
      </c>
      <c r="T8" s="707">
        <v>219</v>
      </c>
      <c r="U8" s="707">
        <v>149</v>
      </c>
      <c r="V8" s="708">
        <v>99</v>
      </c>
      <c r="W8" s="707">
        <v>465</v>
      </c>
      <c r="X8" s="884">
        <v>554</v>
      </c>
      <c r="Y8" s="718">
        <v>391</v>
      </c>
      <c r="Z8" s="884">
        <v>411</v>
      </c>
      <c r="AA8" s="884">
        <v>889</v>
      </c>
      <c r="AB8" s="884">
        <v>738</v>
      </c>
      <c r="AC8" s="911">
        <v>446</v>
      </c>
      <c r="AD8" s="907">
        <v>384</v>
      </c>
      <c r="AE8" s="884">
        <v>903</v>
      </c>
      <c r="AF8" s="884">
        <v>717</v>
      </c>
      <c r="AG8" s="911">
        <v>405</v>
      </c>
      <c r="AH8" s="907">
        <v>372</v>
      </c>
      <c r="AI8" s="884">
        <v>928</v>
      </c>
      <c r="AJ8" s="884">
        <v>790</v>
      </c>
      <c r="AK8" s="911">
        <v>457</v>
      </c>
      <c r="AL8" s="907">
        <v>426</v>
      </c>
      <c r="AM8" s="884">
        <v>1017</v>
      </c>
      <c r="AN8" s="884">
        <v>724</v>
      </c>
      <c r="AO8" s="911">
        <v>530</v>
      </c>
      <c r="AP8" s="907">
        <v>579</v>
      </c>
      <c r="AQ8" s="884">
        <v>1175</v>
      </c>
      <c r="AR8" s="884">
        <f t="shared" ref="AR8:BA8" si="17">+AR70*(AR64/91.25)</f>
        <v>792.58765540366267</v>
      </c>
      <c r="AS8" s="911">
        <f t="shared" si="17"/>
        <v>588.33009005481586</v>
      </c>
      <c r="AT8" s="907">
        <f t="shared" si="17"/>
        <v>706.73996403448461</v>
      </c>
      <c r="AU8" s="884">
        <f t="shared" si="17"/>
        <v>1397.3829370921255</v>
      </c>
      <c r="AV8" s="884">
        <f t="shared" si="17"/>
        <v>970.61054998027464</v>
      </c>
      <c r="AW8" s="911">
        <f t="shared" si="17"/>
        <v>708.51820527861901</v>
      </c>
      <c r="AX8" s="907">
        <f t="shared" si="17"/>
        <v>851.07556996961375</v>
      </c>
      <c r="AY8" s="884">
        <f t="shared" si="17"/>
        <v>1653.6367550127859</v>
      </c>
      <c r="AZ8" s="884">
        <f t="shared" si="17"/>
        <v>1180.2552040233788</v>
      </c>
      <c r="BA8" s="911">
        <f t="shared" si="17"/>
        <v>854.66152356938642</v>
      </c>
      <c r="BB8" s="327"/>
      <c r="BC8" s="655"/>
      <c r="BD8" s="925">
        <f t="shared" si="0"/>
        <v>108</v>
      </c>
      <c r="BE8" s="925">
        <f t="shared" si="1"/>
        <v>103</v>
      </c>
      <c r="BF8" s="925">
        <f t="shared" si="2"/>
        <v>98</v>
      </c>
      <c r="BG8" s="925">
        <f t="shared" ref="BG8:BG23" si="18">Q8</f>
        <v>87</v>
      </c>
      <c r="BH8" s="925">
        <f t="shared" ref="BH8:BH15" si="19">U8</f>
        <v>149</v>
      </c>
      <c r="BI8" s="925">
        <f t="shared" ref="BI8:BI15" si="20">Y8</f>
        <v>391</v>
      </c>
      <c r="BJ8" s="925">
        <f t="shared" ref="BJ8:BJ15" si="21">AC8</f>
        <v>446</v>
      </c>
      <c r="BK8" s="925">
        <f t="shared" ref="BK8:BK15" si="22">+AG8</f>
        <v>405</v>
      </c>
      <c r="BL8" s="925">
        <f t="shared" ref="BL8:BL15" si="23">+AK8</f>
        <v>457</v>
      </c>
      <c r="BM8" s="925">
        <f t="shared" si="3"/>
        <v>530</v>
      </c>
      <c r="BN8" s="925">
        <f t="shared" si="4"/>
        <v>579</v>
      </c>
      <c r="BO8" s="925">
        <f t="shared" si="5"/>
        <v>708.51820527861901</v>
      </c>
      <c r="BP8" s="925">
        <f t="shared" si="6"/>
        <v>854.66152356938642</v>
      </c>
      <c r="BR8" s="1410"/>
    </row>
    <row r="9" spans="1:73" ht="12" customHeight="1">
      <c r="A9" s="931" t="s">
        <v>110</v>
      </c>
      <c r="B9" s="716">
        <v>100</v>
      </c>
      <c r="C9" s="716">
        <v>45761</v>
      </c>
      <c r="D9" s="716">
        <v>4</v>
      </c>
      <c r="E9" s="716">
        <v>20</v>
      </c>
      <c r="F9" s="717">
        <v>57</v>
      </c>
      <c r="G9" s="716">
        <v>41</v>
      </c>
      <c r="H9" s="716">
        <v>0</v>
      </c>
      <c r="I9" s="716">
        <v>63</v>
      </c>
      <c r="J9" s="717">
        <v>61</v>
      </c>
      <c r="K9" s="716">
        <v>33</v>
      </c>
      <c r="L9" s="716">
        <v>2</v>
      </c>
      <c r="M9" s="716">
        <v>39</v>
      </c>
      <c r="N9" s="717">
        <v>116</v>
      </c>
      <c r="O9" s="716">
        <v>70</v>
      </c>
      <c r="P9" s="707">
        <v>3</v>
      </c>
      <c r="Q9" s="716">
        <v>65</v>
      </c>
      <c r="R9" s="708">
        <v>86</v>
      </c>
      <c r="S9" s="707">
        <v>52</v>
      </c>
      <c r="T9" s="707">
        <v>6</v>
      </c>
      <c r="U9" s="707">
        <v>12</v>
      </c>
      <c r="V9" s="708">
        <v>29</v>
      </c>
      <c r="W9" s="707">
        <v>153</v>
      </c>
      <c r="X9" s="884">
        <v>4</v>
      </c>
      <c r="Y9" s="911">
        <v>123</v>
      </c>
      <c r="Z9" s="884">
        <v>111</v>
      </c>
      <c r="AA9" s="884">
        <v>241</v>
      </c>
      <c r="AB9" s="884">
        <v>6</v>
      </c>
      <c r="AC9" s="911">
        <f>93+509</f>
        <v>602</v>
      </c>
      <c r="AD9" s="907">
        <f>566+88</f>
        <v>654</v>
      </c>
      <c r="AE9" s="884">
        <f>948+67</f>
        <v>1015</v>
      </c>
      <c r="AF9" s="884">
        <f>700+2</f>
        <v>702</v>
      </c>
      <c r="AG9" s="911">
        <f>687+29</f>
        <v>716</v>
      </c>
      <c r="AH9" s="907">
        <f>649+9+17</f>
        <v>675</v>
      </c>
      <c r="AI9" s="884">
        <f>1001+21+126</f>
        <v>1148</v>
      </c>
      <c r="AJ9" s="884">
        <f>698+7+4</f>
        <v>709</v>
      </c>
      <c r="AK9" s="911">
        <f>779+3+78</f>
        <v>860</v>
      </c>
      <c r="AL9" s="907">
        <f>892+10+27</f>
        <v>929</v>
      </c>
      <c r="AM9" s="884">
        <f>1376+14+90</f>
        <v>1480</v>
      </c>
      <c r="AN9" s="884">
        <f>1278+47+9</f>
        <v>1334</v>
      </c>
      <c r="AO9" s="911">
        <f>1403+50</f>
        <v>1453</v>
      </c>
      <c r="AP9" s="907">
        <f>1519+31+48</f>
        <v>1598</v>
      </c>
      <c r="AQ9" s="884">
        <f>1699+84+117</f>
        <v>1900</v>
      </c>
      <c r="AR9" s="884">
        <f t="shared" ref="AR9" si="24">+AQ9</f>
        <v>1900</v>
      </c>
      <c r="AS9" s="911">
        <f t="shared" ref="AS9" si="25">+AR9</f>
        <v>1900</v>
      </c>
      <c r="AT9" s="907">
        <f t="shared" ref="AT9" si="26">+AS9</f>
        <v>1900</v>
      </c>
      <c r="AU9" s="884">
        <f t="shared" ref="AU9" si="27">+AT9</f>
        <v>1900</v>
      </c>
      <c r="AV9" s="884">
        <f t="shared" ref="AV9" si="28">+AU9</f>
        <v>1900</v>
      </c>
      <c r="AW9" s="911">
        <f t="shared" ref="AW9" si="29">+AV9</f>
        <v>1900</v>
      </c>
      <c r="AX9" s="907">
        <f t="shared" ref="AX9" si="30">+AW9</f>
        <v>1900</v>
      </c>
      <c r="AY9" s="884">
        <f t="shared" ref="AY9" si="31">+AX9</f>
        <v>1900</v>
      </c>
      <c r="AZ9" s="884">
        <f t="shared" ref="AZ9" si="32">+AY9</f>
        <v>1900</v>
      </c>
      <c r="BA9" s="911">
        <f t="shared" ref="BA9" si="33">+AZ9</f>
        <v>1900</v>
      </c>
      <c r="BB9" s="327"/>
      <c r="BC9" s="655"/>
      <c r="BD9" s="925">
        <f t="shared" si="0"/>
        <v>20</v>
      </c>
      <c r="BE9" s="925">
        <f t="shared" si="1"/>
        <v>63</v>
      </c>
      <c r="BF9" s="925">
        <f t="shared" si="2"/>
        <v>39</v>
      </c>
      <c r="BG9" s="925">
        <f t="shared" si="18"/>
        <v>65</v>
      </c>
      <c r="BH9" s="925">
        <f t="shared" si="19"/>
        <v>12</v>
      </c>
      <c r="BI9" s="925">
        <f t="shared" si="20"/>
        <v>123</v>
      </c>
      <c r="BJ9" s="925">
        <f t="shared" si="21"/>
        <v>602</v>
      </c>
      <c r="BK9" s="925">
        <f t="shared" si="22"/>
        <v>716</v>
      </c>
      <c r="BL9" s="925">
        <f t="shared" si="23"/>
        <v>860</v>
      </c>
      <c r="BM9" s="925">
        <f t="shared" si="3"/>
        <v>1453</v>
      </c>
      <c r="BN9" s="925">
        <f t="shared" si="4"/>
        <v>1598</v>
      </c>
      <c r="BO9" s="925">
        <f t="shared" si="5"/>
        <v>1900</v>
      </c>
      <c r="BP9" s="925">
        <f t="shared" si="6"/>
        <v>1900</v>
      </c>
      <c r="BR9" s="1410"/>
    </row>
    <row r="10" spans="1:73" ht="12" customHeight="1">
      <c r="A10" s="931" t="s">
        <v>363</v>
      </c>
      <c r="B10" s="716">
        <v>244</v>
      </c>
      <c r="C10" s="716">
        <v>110</v>
      </c>
      <c r="D10" s="716">
        <v>108</v>
      </c>
      <c r="E10" s="716">
        <v>102</v>
      </c>
      <c r="F10" s="717">
        <v>153</v>
      </c>
      <c r="G10" s="716">
        <v>156</v>
      </c>
      <c r="H10" s="716">
        <v>94</v>
      </c>
      <c r="I10" s="716">
        <v>100</v>
      </c>
      <c r="J10" s="717">
        <v>142</v>
      </c>
      <c r="K10" s="716">
        <v>189</v>
      </c>
      <c r="L10" s="716">
        <v>179</v>
      </c>
      <c r="M10" s="716">
        <v>202</v>
      </c>
      <c r="N10" s="717">
        <v>269</v>
      </c>
      <c r="O10" s="716">
        <v>253</v>
      </c>
      <c r="P10" s="707">
        <v>255</v>
      </c>
      <c r="Q10" s="716">
        <v>266</v>
      </c>
      <c r="R10" s="708">
        <v>304</v>
      </c>
      <c r="S10" s="707">
        <v>308</v>
      </c>
      <c r="T10" s="707">
        <v>277</v>
      </c>
      <c r="U10" s="707">
        <v>314</v>
      </c>
      <c r="V10" s="708">
        <v>246</v>
      </c>
      <c r="W10" s="707">
        <v>312</v>
      </c>
      <c r="X10" s="884">
        <v>305</v>
      </c>
      <c r="Y10" s="911">
        <v>316</v>
      </c>
      <c r="Z10" s="884">
        <v>409</v>
      </c>
      <c r="AA10" s="884">
        <v>571</v>
      </c>
      <c r="AB10" s="884">
        <v>671</v>
      </c>
      <c r="AC10" s="911">
        <v>287</v>
      </c>
      <c r="AD10" s="907">
        <v>324</v>
      </c>
      <c r="AE10" s="884">
        <v>391</v>
      </c>
      <c r="AF10" s="884">
        <v>574</v>
      </c>
      <c r="AG10" s="911">
        <v>354</v>
      </c>
      <c r="AH10" s="907">
        <v>388</v>
      </c>
      <c r="AI10" s="884">
        <v>345</v>
      </c>
      <c r="AJ10" s="884">
        <v>337</v>
      </c>
      <c r="AK10" s="911">
        <v>366</v>
      </c>
      <c r="AL10" s="907">
        <v>407</v>
      </c>
      <c r="AM10" s="884">
        <v>845</v>
      </c>
      <c r="AN10" s="884">
        <v>512</v>
      </c>
      <c r="AO10" s="911">
        <v>496</v>
      </c>
      <c r="AP10" s="907">
        <v>630</v>
      </c>
      <c r="AQ10" s="884">
        <v>1239</v>
      </c>
      <c r="AR10" s="884">
        <f t="shared" ref="AR10:BA10" si="34">AR76*AR$64</f>
        <v>560.5039773020377</v>
      </c>
      <c r="AS10" s="906">
        <f t="shared" si="34"/>
        <v>550.58815974941263</v>
      </c>
      <c r="AT10" s="884">
        <f t="shared" si="34"/>
        <v>716.31891891891894</v>
      </c>
      <c r="AU10" s="884">
        <f t="shared" si="34"/>
        <v>1412.2349262330913</v>
      </c>
      <c r="AV10" s="884">
        <f t="shared" si="34"/>
        <v>614.29882408429307</v>
      </c>
      <c r="AW10" s="906">
        <f t="shared" si="34"/>
        <v>614.39707953883703</v>
      </c>
      <c r="AX10" s="884">
        <f t="shared" si="34"/>
        <v>807.31319148779039</v>
      </c>
      <c r="AY10" s="884">
        <f t="shared" si="34"/>
        <v>1604.5048154582066</v>
      </c>
      <c r="AZ10" s="884">
        <f t="shared" si="34"/>
        <v>675.97762901906583</v>
      </c>
      <c r="BA10" s="906">
        <f t="shared" si="34"/>
        <v>690.44758198199759</v>
      </c>
      <c r="BB10" s="327"/>
      <c r="BC10" s="655"/>
      <c r="BD10" s="925">
        <f t="shared" si="0"/>
        <v>102</v>
      </c>
      <c r="BE10" s="925">
        <f t="shared" si="1"/>
        <v>100</v>
      </c>
      <c r="BF10" s="925">
        <f t="shared" si="2"/>
        <v>202</v>
      </c>
      <c r="BG10" s="925">
        <f t="shared" si="18"/>
        <v>266</v>
      </c>
      <c r="BH10" s="925">
        <f t="shared" si="19"/>
        <v>314</v>
      </c>
      <c r="BI10" s="925">
        <f t="shared" si="20"/>
        <v>316</v>
      </c>
      <c r="BJ10" s="925">
        <f t="shared" si="21"/>
        <v>287</v>
      </c>
      <c r="BK10" s="925">
        <f t="shared" si="22"/>
        <v>354</v>
      </c>
      <c r="BL10" s="925">
        <f t="shared" si="23"/>
        <v>366</v>
      </c>
      <c r="BM10" s="925">
        <f t="shared" si="3"/>
        <v>496</v>
      </c>
      <c r="BN10" s="925">
        <f t="shared" si="4"/>
        <v>630</v>
      </c>
      <c r="BO10" s="925">
        <f t="shared" si="5"/>
        <v>614.39707953883703</v>
      </c>
      <c r="BP10" s="925">
        <f t="shared" si="6"/>
        <v>690.44758198199759</v>
      </c>
      <c r="BR10" s="1410"/>
    </row>
    <row r="11" spans="1:73" ht="12" hidden="1" customHeight="1" outlineLevel="1">
      <c r="A11" s="931" t="s">
        <v>91</v>
      </c>
      <c r="B11" s="716">
        <v>121</v>
      </c>
      <c r="C11" s="716">
        <v>0</v>
      </c>
      <c r="D11" s="716">
        <v>0</v>
      </c>
      <c r="E11" s="716">
        <v>0</v>
      </c>
      <c r="F11" s="717">
        <v>0</v>
      </c>
      <c r="G11" s="716">
        <v>0</v>
      </c>
      <c r="H11" s="716">
        <v>0</v>
      </c>
      <c r="I11" s="716">
        <v>0</v>
      </c>
      <c r="J11" s="717">
        <v>0</v>
      </c>
      <c r="K11" s="716">
        <v>0</v>
      </c>
      <c r="L11" s="716">
        <v>0</v>
      </c>
      <c r="M11" s="716">
        <v>0</v>
      </c>
      <c r="N11" s="717">
        <v>0</v>
      </c>
      <c r="O11" s="716">
        <v>0</v>
      </c>
      <c r="P11" s="707">
        <v>0</v>
      </c>
      <c r="Q11" s="716">
        <v>0</v>
      </c>
      <c r="R11" s="708">
        <v>0</v>
      </c>
      <c r="S11" s="707">
        <v>0</v>
      </c>
      <c r="T11" s="707">
        <v>0</v>
      </c>
      <c r="U11" s="707">
        <v>0</v>
      </c>
      <c r="V11" s="708">
        <v>0</v>
      </c>
      <c r="W11" s="707">
        <v>0</v>
      </c>
      <c r="X11" s="884">
        <v>0</v>
      </c>
      <c r="Y11" s="906">
        <v>0</v>
      </c>
      <c r="Z11" s="884">
        <v>0</v>
      </c>
      <c r="AA11" s="884">
        <v>0</v>
      </c>
      <c r="AB11" s="884">
        <v>0</v>
      </c>
      <c r="AC11" s="906">
        <v>0</v>
      </c>
      <c r="AD11" s="907">
        <v>0</v>
      </c>
      <c r="AE11" s="884">
        <v>0</v>
      </c>
      <c r="AF11" s="884">
        <v>0</v>
      </c>
      <c r="AG11" s="906">
        <v>0</v>
      </c>
      <c r="AH11" s="907">
        <v>0</v>
      </c>
      <c r="AI11" s="884">
        <v>0</v>
      </c>
      <c r="AJ11" s="884">
        <v>0</v>
      </c>
      <c r="AK11" s="906">
        <v>0</v>
      </c>
      <c r="AL11" s="907">
        <v>0</v>
      </c>
      <c r="AM11" s="884">
        <v>0</v>
      </c>
      <c r="AN11" s="884">
        <v>0</v>
      </c>
      <c r="AO11" s="906">
        <v>0</v>
      </c>
      <c r="AP11" s="907">
        <v>0</v>
      </c>
      <c r="AQ11" s="884">
        <v>0</v>
      </c>
      <c r="AR11" s="1467">
        <v>0</v>
      </c>
      <c r="AS11" s="1465">
        <v>0</v>
      </c>
      <c r="AT11" s="1466">
        <v>0</v>
      </c>
      <c r="AU11" s="1467">
        <v>0</v>
      </c>
      <c r="AV11" s="1467">
        <v>0</v>
      </c>
      <c r="AW11" s="1465">
        <v>0</v>
      </c>
      <c r="AX11" s="1466">
        <v>0</v>
      </c>
      <c r="AY11" s="1467">
        <v>0</v>
      </c>
      <c r="AZ11" s="1467">
        <v>0</v>
      </c>
      <c r="BA11" s="1465">
        <v>0</v>
      </c>
      <c r="BB11" s="1405"/>
      <c r="BC11" s="1463"/>
      <c r="BD11" s="1468">
        <f t="shared" ref="BD11:BD14" si="35">E11</f>
        <v>0</v>
      </c>
      <c r="BE11" s="1468">
        <f t="shared" ref="BE11:BE14" si="36">I11</f>
        <v>0</v>
      </c>
      <c r="BF11" s="1468">
        <f t="shared" ref="BF11:BF14" si="37">M11</f>
        <v>0</v>
      </c>
      <c r="BG11" s="1468">
        <f t="shared" ref="BG11:BG14" si="38">Q11</f>
        <v>0</v>
      </c>
      <c r="BH11" s="1468">
        <f t="shared" ref="BH11:BH14" si="39">U11</f>
        <v>0</v>
      </c>
      <c r="BI11" s="1468">
        <f t="shared" ref="BI11:BI14" si="40">Y11</f>
        <v>0</v>
      </c>
      <c r="BJ11" s="1468">
        <f t="shared" ref="BJ11:BJ14" si="41">AC11</f>
        <v>0</v>
      </c>
      <c r="BK11" s="1468">
        <f t="shared" ref="BK11:BK14" si="42">+AG11</f>
        <v>0</v>
      </c>
      <c r="BL11" s="1468">
        <f t="shared" ref="BL11:BL14" si="43">+AK11</f>
        <v>0</v>
      </c>
      <c r="BM11" s="1468">
        <f t="shared" si="3"/>
        <v>0</v>
      </c>
      <c r="BN11" s="1468">
        <f t="shared" si="4"/>
        <v>0</v>
      </c>
      <c r="BO11" s="1468">
        <f t="shared" si="5"/>
        <v>0</v>
      </c>
      <c r="BP11" s="1468">
        <f t="shared" si="6"/>
        <v>0</v>
      </c>
      <c r="BR11" s="1410"/>
    </row>
    <row r="12" spans="1:73" s="660" customFormat="1" ht="12" hidden="1" customHeight="1" outlineLevel="1">
      <c r="A12" s="934" t="s">
        <v>147</v>
      </c>
      <c r="B12" s="716">
        <v>17</v>
      </c>
      <c r="C12" s="716">
        <v>30</v>
      </c>
      <c r="D12" s="716">
        <v>0</v>
      </c>
      <c r="E12" s="716">
        <v>0</v>
      </c>
      <c r="F12" s="717">
        <v>0</v>
      </c>
      <c r="G12" s="716">
        <v>0</v>
      </c>
      <c r="H12" s="716">
        <v>0</v>
      </c>
      <c r="I12" s="716">
        <v>0</v>
      </c>
      <c r="J12" s="717">
        <v>0</v>
      </c>
      <c r="K12" s="716">
        <v>0</v>
      </c>
      <c r="L12" s="716">
        <v>0</v>
      </c>
      <c r="M12" s="716">
        <v>0</v>
      </c>
      <c r="N12" s="717">
        <v>0</v>
      </c>
      <c r="O12" s="716">
        <v>0</v>
      </c>
      <c r="P12" s="716">
        <v>0</v>
      </c>
      <c r="Q12" s="716">
        <v>0</v>
      </c>
      <c r="R12" s="717">
        <v>0</v>
      </c>
      <c r="S12" s="716">
        <v>0</v>
      </c>
      <c r="T12" s="716">
        <v>0</v>
      </c>
      <c r="U12" s="716">
        <v>0</v>
      </c>
      <c r="V12" s="717">
        <v>0</v>
      </c>
      <c r="W12" s="716">
        <v>0</v>
      </c>
      <c r="X12" s="908">
        <v>0</v>
      </c>
      <c r="Y12" s="909">
        <v>0</v>
      </c>
      <c r="Z12" s="908">
        <v>0</v>
      </c>
      <c r="AA12" s="908">
        <v>0</v>
      </c>
      <c r="AB12" s="908">
        <v>0</v>
      </c>
      <c r="AC12" s="909">
        <v>0</v>
      </c>
      <c r="AD12" s="910">
        <v>0</v>
      </c>
      <c r="AE12" s="908">
        <v>0</v>
      </c>
      <c r="AF12" s="908">
        <v>0</v>
      </c>
      <c r="AG12" s="909">
        <v>0</v>
      </c>
      <c r="AH12" s="910">
        <v>0</v>
      </c>
      <c r="AI12" s="908">
        <v>0</v>
      </c>
      <c r="AJ12" s="908">
        <v>0</v>
      </c>
      <c r="AK12" s="909">
        <v>0</v>
      </c>
      <c r="AL12" s="910">
        <v>0</v>
      </c>
      <c r="AM12" s="908">
        <v>0</v>
      </c>
      <c r="AN12" s="908">
        <v>0</v>
      </c>
      <c r="AO12" s="909">
        <v>0</v>
      </c>
      <c r="AP12" s="910">
        <v>0</v>
      </c>
      <c r="AQ12" s="908">
        <v>0</v>
      </c>
      <c r="AR12" s="1471">
        <v>0</v>
      </c>
      <c r="AS12" s="1469">
        <v>0</v>
      </c>
      <c r="AT12" s="1470">
        <v>0</v>
      </c>
      <c r="AU12" s="1471">
        <v>0</v>
      </c>
      <c r="AV12" s="1471">
        <v>0</v>
      </c>
      <c r="AW12" s="1469">
        <v>0</v>
      </c>
      <c r="AX12" s="1470">
        <v>0</v>
      </c>
      <c r="AY12" s="1471">
        <v>0</v>
      </c>
      <c r="AZ12" s="1471">
        <v>0</v>
      </c>
      <c r="BA12" s="1469">
        <v>0</v>
      </c>
      <c r="BB12" s="1472"/>
      <c r="BC12" s="1473"/>
      <c r="BD12" s="1468">
        <f t="shared" si="35"/>
        <v>0</v>
      </c>
      <c r="BE12" s="1468">
        <f t="shared" si="36"/>
        <v>0</v>
      </c>
      <c r="BF12" s="1468">
        <f t="shared" si="37"/>
        <v>0</v>
      </c>
      <c r="BG12" s="1468">
        <f t="shared" si="38"/>
        <v>0</v>
      </c>
      <c r="BH12" s="1468">
        <f t="shared" si="39"/>
        <v>0</v>
      </c>
      <c r="BI12" s="1468">
        <f t="shared" si="40"/>
        <v>0</v>
      </c>
      <c r="BJ12" s="1468">
        <f t="shared" si="41"/>
        <v>0</v>
      </c>
      <c r="BK12" s="1468">
        <f t="shared" si="42"/>
        <v>0</v>
      </c>
      <c r="BL12" s="1468">
        <f t="shared" si="43"/>
        <v>0</v>
      </c>
      <c r="BM12" s="1468">
        <f t="shared" si="3"/>
        <v>0</v>
      </c>
      <c r="BN12" s="1468">
        <f t="shared" si="4"/>
        <v>0</v>
      </c>
      <c r="BO12" s="1468">
        <f t="shared" si="5"/>
        <v>0</v>
      </c>
      <c r="BP12" s="1468">
        <f t="shared" si="6"/>
        <v>0</v>
      </c>
      <c r="BQ12" s="659"/>
      <c r="BR12" s="1410"/>
      <c r="BS12" s="1411"/>
      <c r="BT12" s="1411"/>
    </row>
    <row r="13" spans="1:73" s="1202" customFormat="1" ht="12" customHeight="1" collapsed="1">
      <c r="A13" s="933" t="s">
        <v>118</v>
      </c>
      <c r="B13" s="725">
        <f>SUM(B6:B12)</f>
        <v>1080</v>
      </c>
      <c r="C13" s="725">
        <f t="shared" ref="C13:AO13" si="44">SUM(C6:C12)</f>
        <v>46747</v>
      </c>
      <c r="D13" s="725">
        <f t="shared" si="44"/>
        <v>1939</v>
      </c>
      <c r="E13" s="725">
        <f t="shared" si="44"/>
        <v>1310</v>
      </c>
      <c r="F13" s="726">
        <f t="shared" si="44"/>
        <v>936</v>
      </c>
      <c r="G13" s="725">
        <f t="shared" si="44"/>
        <v>1355</v>
      </c>
      <c r="H13" s="725">
        <f t="shared" si="44"/>
        <v>1932</v>
      </c>
      <c r="I13" s="725">
        <f t="shared" si="44"/>
        <v>1043</v>
      </c>
      <c r="J13" s="726">
        <f t="shared" si="44"/>
        <v>1096</v>
      </c>
      <c r="K13" s="725">
        <f t="shared" si="44"/>
        <v>1480</v>
      </c>
      <c r="L13" s="725">
        <f t="shared" si="44"/>
        <v>2426</v>
      </c>
      <c r="M13" s="725">
        <f t="shared" si="44"/>
        <v>2055</v>
      </c>
      <c r="N13" s="726">
        <f t="shared" si="44"/>
        <v>1794</v>
      </c>
      <c r="O13" s="725">
        <f t="shared" si="44"/>
        <v>2210</v>
      </c>
      <c r="P13" s="725">
        <f t="shared" si="44"/>
        <v>3866</v>
      </c>
      <c r="Q13" s="725">
        <f t="shared" si="44"/>
        <v>3158</v>
      </c>
      <c r="R13" s="726">
        <f t="shared" si="44"/>
        <v>2749</v>
      </c>
      <c r="S13" s="725">
        <f t="shared" si="44"/>
        <v>3229</v>
      </c>
      <c r="T13" s="725">
        <f t="shared" si="44"/>
        <v>4473</v>
      </c>
      <c r="U13" s="725">
        <f t="shared" si="44"/>
        <v>7525</v>
      </c>
      <c r="V13" s="726">
        <f t="shared" si="44"/>
        <v>6167</v>
      </c>
      <c r="W13" s="725">
        <f t="shared" si="44"/>
        <v>3668</v>
      </c>
      <c r="X13" s="1235">
        <f t="shared" si="44"/>
        <v>4979</v>
      </c>
      <c r="Y13" s="916">
        <f t="shared" si="44"/>
        <v>4700</v>
      </c>
      <c r="Z13" s="1235">
        <f t="shared" si="44"/>
        <v>4181</v>
      </c>
      <c r="AA13" s="1235">
        <f t="shared" si="44"/>
        <v>3115</v>
      </c>
      <c r="AB13" s="1235">
        <f t="shared" si="44"/>
        <v>5319</v>
      </c>
      <c r="AC13" s="1310">
        <f t="shared" si="44"/>
        <v>4616</v>
      </c>
      <c r="AD13" s="1336">
        <f t="shared" si="44"/>
        <v>4086</v>
      </c>
      <c r="AE13" s="725">
        <f t="shared" si="44"/>
        <v>4380</v>
      </c>
      <c r="AF13" s="1235">
        <f t="shared" si="44"/>
        <v>6261</v>
      </c>
      <c r="AG13" s="1310">
        <f t="shared" si="44"/>
        <v>5137</v>
      </c>
      <c r="AH13" s="1336">
        <f t="shared" si="44"/>
        <v>3706</v>
      </c>
      <c r="AI13" s="725">
        <f t="shared" si="44"/>
        <v>3910</v>
      </c>
      <c r="AJ13" s="1235">
        <f t="shared" si="44"/>
        <v>6514</v>
      </c>
      <c r="AK13" s="1310">
        <f t="shared" si="44"/>
        <v>5757</v>
      </c>
      <c r="AL13" s="1336">
        <f t="shared" si="44"/>
        <v>5120</v>
      </c>
      <c r="AM13" s="1235">
        <f t="shared" si="44"/>
        <v>5801</v>
      </c>
      <c r="AN13" s="1235">
        <f t="shared" ref="AN13" si="45">SUM(AN6:AN12)</f>
        <v>8744</v>
      </c>
      <c r="AO13" s="1310">
        <f t="shared" si="44"/>
        <v>7031</v>
      </c>
      <c r="AP13" s="1336">
        <f t="shared" ref="AP13:AQ13" si="46">SUM(AP6:AP12)</f>
        <v>6503</v>
      </c>
      <c r="AQ13" s="1235">
        <f t="shared" si="46"/>
        <v>7289</v>
      </c>
      <c r="AR13" s="725">
        <f t="shared" ref="AR13:AS13" si="47">SUM(AR6:AR12)</f>
        <v>10771.837276416631</v>
      </c>
      <c r="AS13" s="916">
        <f t="shared" si="47"/>
        <v>11818.121261747834</v>
      </c>
      <c r="AT13" s="726">
        <f t="shared" ref="AT13:AW13" si="48">SUM(AT6:AT12)</f>
        <v>13174.768199142472</v>
      </c>
      <c r="AU13" s="725">
        <f t="shared" si="48"/>
        <v>15425.465079787011</v>
      </c>
      <c r="AV13" s="725">
        <f t="shared" si="48"/>
        <v>19201.469633178564</v>
      </c>
      <c r="AW13" s="916">
        <f t="shared" si="48"/>
        <v>19946.019471433901</v>
      </c>
      <c r="AX13" s="726">
        <f t="shared" ref="AX13:BA13" si="49">SUM(AX6:AX12)</f>
        <v>21736.386720912167</v>
      </c>
      <c r="AY13" s="725">
        <f t="shared" si="49"/>
        <v>24265.819419380248</v>
      </c>
      <c r="AZ13" s="725">
        <f t="shared" si="49"/>
        <v>28276.366437386441</v>
      </c>
      <c r="BA13" s="916">
        <f t="shared" si="49"/>
        <v>29146.640184812197</v>
      </c>
      <c r="BB13" s="1199"/>
      <c r="BC13" s="1200"/>
      <c r="BD13" s="926">
        <f t="shared" si="35"/>
        <v>1310</v>
      </c>
      <c r="BE13" s="926">
        <f t="shared" si="36"/>
        <v>1043</v>
      </c>
      <c r="BF13" s="926">
        <f t="shared" si="37"/>
        <v>2055</v>
      </c>
      <c r="BG13" s="926">
        <f t="shared" si="38"/>
        <v>3158</v>
      </c>
      <c r="BH13" s="926">
        <f t="shared" si="39"/>
        <v>7525</v>
      </c>
      <c r="BI13" s="926">
        <f t="shared" si="40"/>
        <v>4700</v>
      </c>
      <c r="BJ13" s="926">
        <f t="shared" si="41"/>
        <v>4616</v>
      </c>
      <c r="BK13" s="926">
        <f t="shared" si="42"/>
        <v>5137</v>
      </c>
      <c r="BL13" s="926">
        <f t="shared" si="43"/>
        <v>5757</v>
      </c>
      <c r="BM13" s="926">
        <f t="shared" si="3"/>
        <v>7031</v>
      </c>
      <c r="BN13" s="926">
        <f t="shared" si="4"/>
        <v>6503</v>
      </c>
      <c r="BO13" s="926">
        <f t="shared" si="5"/>
        <v>19946.019471433901</v>
      </c>
      <c r="BP13" s="926">
        <f t="shared" si="6"/>
        <v>29146.640184812197</v>
      </c>
      <c r="BQ13" s="1201"/>
      <c r="BR13" s="1412"/>
      <c r="BS13" s="1413"/>
      <c r="BT13" s="1413"/>
    </row>
    <row r="14" spans="1:73" s="660" customFormat="1" ht="12" customHeight="1">
      <c r="A14" s="934" t="s">
        <v>119</v>
      </c>
      <c r="B14" s="716">
        <v>347</v>
      </c>
      <c r="C14" s="716">
        <v>373</v>
      </c>
      <c r="D14" s="716">
        <v>372</v>
      </c>
      <c r="E14" s="716">
        <v>304</v>
      </c>
      <c r="F14" s="717">
        <v>326</v>
      </c>
      <c r="G14" s="716">
        <v>324</v>
      </c>
      <c r="H14" s="716">
        <v>323</v>
      </c>
      <c r="I14" s="716">
        <v>372</v>
      </c>
      <c r="J14" s="717">
        <v>319</v>
      </c>
      <c r="K14" s="716">
        <v>422</v>
      </c>
      <c r="L14" s="716">
        <v>419</v>
      </c>
      <c r="M14" s="716">
        <v>367</v>
      </c>
      <c r="N14" s="717">
        <v>438</v>
      </c>
      <c r="O14" s="716">
        <v>434</v>
      </c>
      <c r="P14" s="716">
        <v>383</v>
      </c>
      <c r="Q14" s="716">
        <v>436</v>
      </c>
      <c r="R14" s="717">
        <v>413</v>
      </c>
      <c r="S14" s="716">
        <v>461</v>
      </c>
      <c r="T14" s="716">
        <v>389</v>
      </c>
      <c r="U14" s="716">
        <v>455</v>
      </c>
      <c r="V14" s="717">
        <v>484</v>
      </c>
      <c r="W14" s="716">
        <v>426</v>
      </c>
      <c r="X14" s="908">
        <v>348</v>
      </c>
      <c r="Y14" s="914">
        <v>457</v>
      </c>
      <c r="Z14" s="908">
        <v>306</v>
      </c>
      <c r="AA14" s="908">
        <v>375</v>
      </c>
      <c r="AB14" s="908">
        <v>539</v>
      </c>
      <c r="AC14" s="1311">
        <v>431</v>
      </c>
      <c r="AD14" s="717">
        <v>468</v>
      </c>
      <c r="AE14" s="908">
        <v>376</v>
      </c>
      <c r="AF14" s="908">
        <v>388</v>
      </c>
      <c r="AG14" s="1311">
        <v>420</v>
      </c>
      <c r="AH14" s="910">
        <v>2525</v>
      </c>
      <c r="AI14" s="716">
        <v>3390</v>
      </c>
      <c r="AJ14" s="908">
        <v>2722</v>
      </c>
      <c r="AK14" s="1311">
        <v>3921</v>
      </c>
      <c r="AL14" s="910">
        <v>5606</v>
      </c>
      <c r="AM14" s="908">
        <v>3334</v>
      </c>
      <c r="AN14" s="908">
        <v>5221</v>
      </c>
      <c r="AO14" s="1311">
        <v>7076</v>
      </c>
      <c r="AP14" s="910">
        <v>3918</v>
      </c>
      <c r="AQ14" s="908">
        <v>4414</v>
      </c>
      <c r="AR14" s="716">
        <f t="shared" ref="AR14:AS14" si="50">+AR64*AR74</f>
        <v>5715.6079404178481</v>
      </c>
      <c r="AS14" s="914">
        <f t="shared" si="50"/>
        <v>7854.7617306186366</v>
      </c>
      <c r="AT14" s="717">
        <f t="shared" ref="AT14:AW14" si="51">+AT64*AT74</f>
        <v>4454.8214671814676</v>
      </c>
      <c r="AU14" s="716">
        <f t="shared" si="51"/>
        <v>5031.1581633517881</v>
      </c>
      <c r="AV14" s="716">
        <f t="shared" si="51"/>
        <v>6264.168282312683</v>
      </c>
      <c r="AW14" s="914">
        <f t="shared" si="51"/>
        <v>8765.0680137435702</v>
      </c>
      <c r="AX14" s="717">
        <f t="shared" ref="AX14:BA14" si="52">+AX64*AX74</f>
        <v>5020.7191813478776</v>
      </c>
      <c r="AY14" s="716">
        <f t="shared" si="52"/>
        <v>5716.1293425605527</v>
      </c>
      <c r="AZ14" s="716">
        <f t="shared" si="52"/>
        <v>6893.1234396651216</v>
      </c>
      <c r="BA14" s="914">
        <f t="shared" si="52"/>
        <v>9850.0142945657553</v>
      </c>
      <c r="BB14" s="657"/>
      <c r="BC14" s="658"/>
      <c r="BD14" s="925">
        <f t="shared" si="35"/>
        <v>304</v>
      </c>
      <c r="BE14" s="925">
        <f t="shared" si="36"/>
        <v>372</v>
      </c>
      <c r="BF14" s="925">
        <f t="shared" si="37"/>
        <v>367</v>
      </c>
      <c r="BG14" s="925">
        <f t="shared" si="38"/>
        <v>436</v>
      </c>
      <c r="BH14" s="925">
        <f t="shared" si="39"/>
        <v>455</v>
      </c>
      <c r="BI14" s="925">
        <f t="shared" si="40"/>
        <v>457</v>
      </c>
      <c r="BJ14" s="925">
        <f t="shared" si="41"/>
        <v>431</v>
      </c>
      <c r="BK14" s="925">
        <f t="shared" si="42"/>
        <v>420</v>
      </c>
      <c r="BL14" s="925">
        <f t="shared" si="43"/>
        <v>3921</v>
      </c>
      <c r="BM14" s="925">
        <f t="shared" si="3"/>
        <v>7076</v>
      </c>
      <c r="BN14" s="925">
        <f t="shared" si="4"/>
        <v>3918</v>
      </c>
      <c r="BO14" s="925">
        <f t="shared" si="5"/>
        <v>8765.0680137435702</v>
      </c>
      <c r="BP14" s="925">
        <f t="shared" si="6"/>
        <v>9850.0142945657553</v>
      </c>
      <c r="BQ14" s="659"/>
      <c r="BR14" s="1410"/>
      <c r="BS14" s="1411"/>
      <c r="BT14" s="1411"/>
    </row>
    <row r="15" spans="1:73" s="664" customFormat="1" ht="12" customHeight="1">
      <c r="A15" s="933" t="s">
        <v>9</v>
      </c>
      <c r="B15" s="719">
        <f t="shared" ref="B15:C15" si="53">+SUM(B13:B14)</f>
        <v>1427</v>
      </c>
      <c r="C15" s="719">
        <f t="shared" si="53"/>
        <v>47120</v>
      </c>
      <c r="D15" s="719">
        <f t="shared" ref="D15" si="54">+SUM(D13:D14)</f>
        <v>2311</v>
      </c>
      <c r="E15" s="720">
        <f t="shared" ref="E15" si="55">+SUM(E13:E14)</f>
        <v>1614</v>
      </c>
      <c r="F15" s="721">
        <f t="shared" ref="F15" si="56">+SUM(F13:F14)</f>
        <v>1262</v>
      </c>
      <c r="G15" s="719">
        <f t="shared" ref="G15" si="57">+SUM(G13:G14)</f>
        <v>1679</v>
      </c>
      <c r="H15" s="719">
        <f t="shared" ref="H15" si="58">+SUM(H13:H14)</f>
        <v>2255</v>
      </c>
      <c r="I15" s="720">
        <f t="shared" ref="I15" si="59">+SUM(I13:I14)</f>
        <v>1415</v>
      </c>
      <c r="J15" s="721">
        <f t="shared" ref="J15" si="60">+SUM(J13:J14)</f>
        <v>1415</v>
      </c>
      <c r="K15" s="719">
        <f t="shared" ref="K15" si="61">+SUM(K13:K14)</f>
        <v>1902</v>
      </c>
      <c r="L15" s="719">
        <f t="shared" ref="L15" si="62">+SUM(L13:L14)</f>
        <v>2845</v>
      </c>
      <c r="M15" s="720">
        <f t="shared" ref="M15" si="63">+SUM(M13:M14)</f>
        <v>2422</v>
      </c>
      <c r="N15" s="721">
        <f t="shared" ref="N15" si="64">+SUM(N13:N14)</f>
        <v>2232</v>
      </c>
      <c r="O15" s="719">
        <f t="shared" ref="O15" si="65">+SUM(O13:O14)</f>
        <v>2644</v>
      </c>
      <c r="P15" s="719">
        <f t="shared" ref="P15" si="66">+SUM(P13:P14)</f>
        <v>4249</v>
      </c>
      <c r="Q15" s="720">
        <f t="shared" ref="Q15" si="67">+SUM(Q13:Q14)</f>
        <v>3594</v>
      </c>
      <c r="R15" s="721">
        <f t="shared" ref="R15" si="68">+SUM(R13:R14)</f>
        <v>3162</v>
      </c>
      <c r="S15" s="719">
        <f t="shared" ref="S15" si="69">+SUM(S13:S14)</f>
        <v>3690</v>
      </c>
      <c r="T15" s="719">
        <f t="shared" ref="T15" si="70">+SUM(T13:T14)</f>
        <v>4862</v>
      </c>
      <c r="U15" s="719">
        <f t="shared" ref="U15" si="71">+SUM(U13:U14)</f>
        <v>7980</v>
      </c>
      <c r="V15" s="721">
        <f t="shared" ref="V15:W15" si="72">+SUM(V13:V14)</f>
        <v>6651</v>
      </c>
      <c r="W15" s="719">
        <f t="shared" si="72"/>
        <v>4094</v>
      </c>
      <c r="X15" s="887">
        <f t="shared" ref="X15" si="73">+SUM(X13:X14)</f>
        <v>5327</v>
      </c>
      <c r="Y15" s="720">
        <f t="shared" ref="Y15" si="74">+SUM(Y13:Y14)</f>
        <v>5157</v>
      </c>
      <c r="Z15" s="887">
        <f t="shared" ref="Z15" si="75">+SUM(Z13:Z14)</f>
        <v>4487</v>
      </c>
      <c r="AA15" s="887">
        <f t="shared" ref="AA15" si="76">+SUM(AA13:AA14)</f>
        <v>3490</v>
      </c>
      <c r="AB15" s="887">
        <f t="shared" ref="AB15" si="77">+SUM(AB13:AB14)</f>
        <v>5858</v>
      </c>
      <c r="AC15" s="1312">
        <f t="shared" ref="AC15" si="78">+SUM(AC13:AC14)</f>
        <v>5047</v>
      </c>
      <c r="AD15" s="1337">
        <f t="shared" ref="AD15" si="79">+SUM(AD13:AD14)</f>
        <v>4554</v>
      </c>
      <c r="AE15" s="719">
        <f t="shared" ref="AE15" si="80">+SUM(AE13:AE14)</f>
        <v>4756</v>
      </c>
      <c r="AF15" s="887">
        <f t="shared" ref="AF15" si="81">+SUM(AF13:AF14)</f>
        <v>6649</v>
      </c>
      <c r="AG15" s="1312">
        <f t="shared" ref="AG15" si="82">+SUM(AG13:AG14)</f>
        <v>5557</v>
      </c>
      <c r="AH15" s="1337">
        <f t="shared" ref="AH15" si="83">+SUM(AH13:AH14)</f>
        <v>6231</v>
      </c>
      <c r="AI15" s="719">
        <f t="shared" ref="AI15" si="84">+SUM(AI13:AI14)</f>
        <v>7300</v>
      </c>
      <c r="AJ15" s="887">
        <f t="shared" ref="AJ15" si="85">+SUM(AJ13:AJ14)</f>
        <v>9236</v>
      </c>
      <c r="AK15" s="1312">
        <f t="shared" ref="AK15" si="86">+SUM(AK13:AK14)</f>
        <v>9678</v>
      </c>
      <c r="AL15" s="1337">
        <f t="shared" ref="AL15" si="87">+SUM(AL13:AL14)</f>
        <v>10726</v>
      </c>
      <c r="AM15" s="887">
        <f t="shared" ref="AM15:AN15" si="88">+SUM(AM13:AM14)</f>
        <v>9135</v>
      </c>
      <c r="AN15" s="887">
        <f t="shared" si="88"/>
        <v>13965</v>
      </c>
      <c r="AO15" s="1312">
        <f t="shared" ref="AO15:AR15" si="89">+SUM(AO13:AO14)</f>
        <v>14107</v>
      </c>
      <c r="AP15" s="1337">
        <f t="shared" si="89"/>
        <v>10421</v>
      </c>
      <c r="AQ15" s="887">
        <f t="shared" ref="AQ15" si="90">+SUM(AQ13:AQ14)</f>
        <v>11703</v>
      </c>
      <c r="AR15" s="719">
        <f t="shared" si="89"/>
        <v>16487.44521683448</v>
      </c>
      <c r="AS15" s="720">
        <f t="shared" ref="AS15:AV15" si="91">+SUM(AS13:AS14)</f>
        <v>19672.882992366471</v>
      </c>
      <c r="AT15" s="721">
        <f t="shared" si="91"/>
        <v>17629.58966632394</v>
      </c>
      <c r="AU15" s="719">
        <f t="shared" si="91"/>
        <v>20456.623243138798</v>
      </c>
      <c r="AV15" s="719">
        <f t="shared" si="91"/>
        <v>25465.637915491247</v>
      </c>
      <c r="AW15" s="720">
        <f t="shared" ref="AW15:AZ15" si="92">+SUM(AW13:AW14)</f>
        <v>28711.087485177472</v>
      </c>
      <c r="AX15" s="721">
        <f t="shared" si="92"/>
        <v>26757.105902260046</v>
      </c>
      <c r="AY15" s="719">
        <f t="shared" si="92"/>
        <v>29981.948761940803</v>
      </c>
      <c r="AZ15" s="719">
        <f t="shared" si="92"/>
        <v>35169.489877051565</v>
      </c>
      <c r="BA15" s="720">
        <f t="shared" ref="BA15" si="93">+SUM(BA13:BA14)</f>
        <v>38996.654479377954</v>
      </c>
      <c r="BB15" s="324"/>
      <c r="BC15" s="662"/>
      <c r="BD15" s="926">
        <f t="shared" si="0"/>
        <v>1614</v>
      </c>
      <c r="BE15" s="926">
        <f t="shared" si="1"/>
        <v>1415</v>
      </c>
      <c r="BF15" s="926">
        <f t="shared" si="2"/>
        <v>2422</v>
      </c>
      <c r="BG15" s="926">
        <f t="shared" si="18"/>
        <v>3594</v>
      </c>
      <c r="BH15" s="926">
        <f t="shared" si="19"/>
        <v>7980</v>
      </c>
      <c r="BI15" s="926">
        <f t="shared" si="20"/>
        <v>5157</v>
      </c>
      <c r="BJ15" s="926">
        <f t="shared" si="21"/>
        <v>5047</v>
      </c>
      <c r="BK15" s="926">
        <f t="shared" si="22"/>
        <v>5557</v>
      </c>
      <c r="BL15" s="926">
        <f t="shared" si="23"/>
        <v>9678</v>
      </c>
      <c r="BM15" s="926">
        <f t="shared" si="3"/>
        <v>14107</v>
      </c>
      <c r="BN15" s="926">
        <f t="shared" si="4"/>
        <v>10421</v>
      </c>
      <c r="BO15" s="926">
        <f t="shared" si="5"/>
        <v>28711.087485177472</v>
      </c>
      <c r="BP15" s="926">
        <f t="shared" si="6"/>
        <v>38996.654479377954</v>
      </c>
      <c r="BQ15" s="663"/>
      <c r="BR15" s="1414"/>
      <c r="BS15" s="1415"/>
      <c r="BT15" s="1415"/>
    </row>
    <row r="16" spans="1:73" ht="12" customHeight="1">
      <c r="A16" s="931"/>
      <c r="B16" s="707"/>
      <c r="C16" s="707"/>
      <c r="D16" s="707"/>
      <c r="E16" s="718"/>
      <c r="F16" s="708"/>
      <c r="G16" s="707"/>
      <c r="H16" s="707"/>
      <c r="I16" s="718"/>
      <c r="J16" s="708"/>
      <c r="K16" s="707"/>
      <c r="L16" s="707"/>
      <c r="M16" s="718"/>
      <c r="N16" s="708"/>
      <c r="O16" s="707"/>
      <c r="P16" s="707"/>
      <c r="Q16" s="718"/>
      <c r="R16" s="708"/>
      <c r="S16" s="707"/>
      <c r="T16" s="707"/>
      <c r="U16" s="707"/>
      <c r="V16" s="708"/>
      <c r="W16" s="707"/>
      <c r="X16" s="884"/>
      <c r="Y16" s="718"/>
      <c r="Z16" s="884"/>
      <c r="AA16" s="707"/>
      <c r="AB16" s="884"/>
      <c r="AC16" s="718"/>
      <c r="AD16" s="708"/>
      <c r="AE16" s="707"/>
      <c r="AF16" s="884"/>
      <c r="AG16" s="911"/>
      <c r="AH16" s="907"/>
      <c r="AI16" s="707"/>
      <c r="AJ16" s="707"/>
      <c r="AK16" s="718"/>
      <c r="AL16" s="708"/>
      <c r="AM16" s="707"/>
      <c r="AN16" s="707"/>
      <c r="AO16" s="718"/>
      <c r="AP16" s="708"/>
      <c r="AQ16" s="707"/>
      <c r="AR16" s="707"/>
      <c r="AS16" s="718"/>
      <c r="AT16" s="708"/>
      <c r="AU16" s="707"/>
      <c r="AV16" s="707"/>
      <c r="AW16" s="718"/>
      <c r="AX16" s="708"/>
      <c r="AY16" s="707"/>
      <c r="AZ16" s="707"/>
      <c r="BA16" s="718"/>
      <c r="BB16" s="327"/>
      <c r="BC16" s="656"/>
      <c r="BD16" s="925"/>
      <c r="BE16" s="925"/>
      <c r="BF16" s="925"/>
      <c r="BG16" s="925"/>
      <c r="BH16" s="925"/>
      <c r="BI16" s="925"/>
      <c r="BJ16" s="925"/>
      <c r="BK16" s="925"/>
      <c r="BL16" s="925"/>
      <c r="BM16" s="925"/>
      <c r="BN16" s="925"/>
      <c r="BO16" s="925"/>
      <c r="BP16" s="925"/>
      <c r="BR16" s="1410"/>
    </row>
    <row r="17" spans="1:73" ht="12" customHeight="1">
      <c r="A17" s="931" t="s">
        <v>112</v>
      </c>
      <c r="B17" s="707">
        <v>28</v>
      </c>
      <c r="C17" s="707">
        <v>28</v>
      </c>
      <c r="D17" s="707">
        <v>28</v>
      </c>
      <c r="E17" s="707">
        <v>28</v>
      </c>
      <c r="F17" s="708">
        <v>28</v>
      </c>
      <c r="G17" s="707">
        <v>28</v>
      </c>
      <c r="H17" s="707">
        <v>28</v>
      </c>
      <c r="I17" s="707">
        <v>31</v>
      </c>
      <c r="J17" s="708">
        <v>31</v>
      </c>
      <c r="K17" s="707">
        <v>28</v>
      </c>
      <c r="L17" s="707">
        <v>28</v>
      </c>
      <c r="M17" s="707">
        <v>13</v>
      </c>
      <c r="N17" s="708">
        <v>13</v>
      </c>
      <c r="O17" s="707">
        <v>13</v>
      </c>
      <c r="P17" s="707">
        <v>13</v>
      </c>
      <c r="Q17" s="707">
        <v>13</v>
      </c>
      <c r="R17" s="708">
        <v>13</v>
      </c>
      <c r="S17" s="707">
        <v>13</v>
      </c>
      <c r="T17" s="707">
        <v>19</v>
      </c>
      <c r="U17" s="707">
        <v>19</v>
      </c>
      <c r="V17" s="708">
        <v>28</v>
      </c>
      <c r="W17" s="707">
        <v>41</v>
      </c>
      <c r="X17" s="884">
        <v>41</v>
      </c>
      <c r="Y17" s="718">
        <v>43</v>
      </c>
      <c r="Z17" s="884">
        <v>84</v>
      </c>
      <c r="AA17" s="884">
        <v>90</v>
      </c>
      <c r="AB17" s="884">
        <v>98</v>
      </c>
      <c r="AC17" s="911">
        <v>98</v>
      </c>
      <c r="AD17" s="907">
        <v>98</v>
      </c>
      <c r="AE17" s="884">
        <v>108</v>
      </c>
      <c r="AF17" s="884">
        <v>102</v>
      </c>
      <c r="AG17" s="911">
        <v>105</v>
      </c>
      <c r="AH17" s="907">
        <v>107</v>
      </c>
      <c r="AI17" s="884">
        <v>128</v>
      </c>
      <c r="AJ17" s="884">
        <v>129</v>
      </c>
      <c r="AK17" s="911">
        <v>131</v>
      </c>
      <c r="AL17" s="907">
        <v>90</v>
      </c>
      <c r="AM17" s="884">
        <v>88</v>
      </c>
      <c r="AN17" s="884">
        <v>88</v>
      </c>
      <c r="AO17" s="911">
        <v>94</v>
      </c>
      <c r="AP17" s="907">
        <v>92</v>
      </c>
      <c r="AQ17" s="884">
        <v>127</v>
      </c>
      <c r="AR17" s="707">
        <f t="shared" ref="AR17" si="94">+AQ17</f>
        <v>127</v>
      </c>
      <c r="AS17" s="718">
        <f t="shared" ref="AS17" si="95">+AR17</f>
        <v>127</v>
      </c>
      <c r="AT17" s="708">
        <f t="shared" ref="AT17" si="96">+AS17</f>
        <v>127</v>
      </c>
      <c r="AU17" s="707">
        <f t="shared" ref="AU17" si="97">+AT17</f>
        <v>127</v>
      </c>
      <c r="AV17" s="707">
        <f t="shared" ref="AV17" si="98">+AU17</f>
        <v>127</v>
      </c>
      <c r="AW17" s="718">
        <f t="shared" ref="AW17" si="99">+AV17</f>
        <v>127</v>
      </c>
      <c r="AX17" s="708">
        <f t="shared" ref="AX17" si="100">+AW17</f>
        <v>127</v>
      </c>
      <c r="AY17" s="707">
        <f t="shared" ref="AY17" si="101">+AX17</f>
        <v>127</v>
      </c>
      <c r="AZ17" s="707">
        <f t="shared" ref="AZ17" si="102">+AY17</f>
        <v>127</v>
      </c>
      <c r="BA17" s="718">
        <f t="shared" ref="BA17" si="103">+AZ17</f>
        <v>127</v>
      </c>
      <c r="BB17" s="327"/>
      <c r="BC17" s="655"/>
      <c r="BD17" s="925">
        <f t="shared" ref="BD17:BD23" si="104">E17</f>
        <v>28</v>
      </c>
      <c r="BE17" s="925">
        <f t="shared" ref="BE17:BE23" si="105">I17</f>
        <v>31</v>
      </c>
      <c r="BF17" s="925">
        <f t="shared" si="2"/>
        <v>13</v>
      </c>
      <c r="BG17" s="925">
        <f t="shared" ref="BG17" si="106">Q17</f>
        <v>13</v>
      </c>
      <c r="BH17" s="925">
        <f t="shared" ref="BH17:BH23" si="107">U17</f>
        <v>19</v>
      </c>
      <c r="BI17" s="925">
        <f t="shared" ref="BI17:BI23" si="108">Y17</f>
        <v>43</v>
      </c>
      <c r="BJ17" s="925">
        <f t="shared" ref="BJ17:BJ23" si="109">AC17</f>
        <v>98</v>
      </c>
      <c r="BK17" s="925">
        <f t="shared" ref="BK17:BK24" si="110">+AG17</f>
        <v>105</v>
      </c>
      <c r="BL17" s="925">
        <f t="shared" ref="BL17:BL23" si="111">+AK17</f>
        <v>131</v>
      </c>
      <c r="BM17" s="925">
        <f t="shared" ref="BM17:BN23" si="112">+AO17</f>
        <v>94</v>
      </c>
      <c r="BN17" s="925">
        <f t="shared" si="112"/>
        <v>92</v>
      </c>
      <c r="BO17" s="925">
        <f t="shared" ref="BO17:BO23" si="113">+AW17</f>
        <v>127</v>
      </c>
      <c r="BP17" s="925">
        <f t="shared" ref="BP17:BP23" si="114">+BA17</f>
        <v>127</v>
      </c>
      <c r="BR17" s="1410"/>
    </row>
    <row r="18" spans="1:73" s="665" customFormat="1" ht="12" customHeight="1">
      <c r="A18" s="931" t="s">
        <v>113</v>
      </c>
      <c r="B18" s="707">
        <v>701</v>
      </c>
      <c r="C18" s="707">
        <v>980</v>
      </c>
      <c r="D18" s="707">
        <v>989</v>
      </c>
      <c r="E18" s="707">
        <v>1031</v>
      </c>
      <c r="F18" s="708">
        <v>1047</v>
      </c>
      <c r="G18" s="707">
        <v>1047</v>
      </c>
      <c r="H18" s="707">
        <v>1041</v>
      </c>
      <c r="I18" s="707">
        <v>1030</v>
      </c>
      <c r="J18" s="708">
        <v>1016</v>
      </c>
      <c r="K18" s="707">
        <v>984</v>
      </c>
      <c r="L18" s="707">
        <v>950</v>
      </c>
      <c r="M18" s="707">
        <v>812</v>
      </c>
      <c r="N18" s="708">
        <v>805</v>
      </c>
      <c r="O18" s="707">
        <v>810</v>
      </c>
      <c r="P18" s="707">
        <v>799</v>
      </c>
      <c r="Q18" s="707">
        <v>780</v>
      </c>
      <c r="R18" s="708">
        <v>773</v>
      </c>
      <c r="S18" s="707">
        <v>758</v>
      </c>
      <c r="T18" s="707">
        <v>745</v>
      </c>
      <c r="U18" s="707">
        <v>734</v>
      </c>
      <c r="V18" s="708">
        <v>743</v>
      </c>
      <c r="W18" s="707">
        <v>792</v>
      </c>
      <c r="X18" s="884">
        <v>791</v>
      </c>
      <c r="Y18" s="718">
        <v>780</v>
      </c>
      <c r="Z18" s="884">
        <v>789</v>
      </c>
      <c r="AA18" s="884">
        <v>831</v>
      </c>
      <c r="AB18" s="884">
        <v>858</v>
      </c>
      <c r="AC18" s="911">
        <v>888</v>
      </c>
      <c r="AD18" s="907">
        <v>926</v>
      </c>
      <c r="AE18" s="884">
        <v>931</v>
      </c>
      <c r="AF18" s="884">
        <v>938</v>
      </c>
      <c r="AG18" s="911">
        <v>969</v>
      </c>
      <c r="AH18" s="907">
        <v>1013</v>
      </c>
      <c r="AI18" s="884">
        <v>1049</v>
      </c>
      <c r="AJ18" s="884">
        <v>1032</v>
      </c>
      <c r="AK18" s="911">
        <v>1009</v>
      </c>
      <c r="AL18" s="907">
        <v>1008</v>
      </c>
      <c r="AM18" s="884">
        <v>992</v>
      </c>
      <c r="AN18" s="884">
        <v>975</v>
      </c>
      <c r="AO18" s="911">
        <v>961</v>
      </c>
      <c r="AP18" s="907">
        <v>965</v>
      </c>
      <c r="AQ18" s="884">
        <v>974</v>
      </c>
      <c r="AR18" s="871">
        <f>+AQ18-'Cash Flow'!AR37-'Cash Flow'!AR36-'Cash Flow'!AR7-'Cash Flow'!AR8</f>
        <v>797.92642378127414</v>
      </c>
      <c r="AS18" s="912">
        <f>+AR18-'Cash Flow'!AS37-'Cash Flow'!AS36-'Cash Flow'!AS7-'Cash Flow'!AS8</f>
        <v>621.44398251267592</v>
      </c>
      <c r="AT18" s="913">
        <f>+AS18-'Cash Flow'!AT37-'Cash Flow'!AT36-'Cash Flow'!AT7-'Cash Flow'!AT8</f>
        <v>445.47785960405304</v>
      </c>
      <c r="AU18" s="871">
        <f>+AT18-'Cash Flow'!AU37-'Cash Flow'!AU36-'Cash Flow'!AU7-'Cash Flow'!AU8</f>
        <v>269.65397753847111</v>
      </c>
      <c r="AV18" s="871">
        <f>+AU18-'Cash Flow'!AV37-'Cash Flow'!AV36-'Cash Flow'!AV7-'Cash Flow'!AV8</f>
        <v>90.722630984516798</v>
      </c>
      <c r="AW18" s="912">
        <f>+AV18-'Cash Flow'!AW37-'Cash Flow'!AW36-'Cash Flow'!AW7-'Cash Flow'!AW8</f>
        <v>-89.466436646874314</v>
      </c>
      <c r="AX18" s="913">
        <f>+AW18-'Cash Flow'!AX37-'Cash Flow'!AX36-'Cash Flow'!AX7-'Cash Flow'!AX8</f>
        <v>-210.85021509998984</v>
      </c>
      <c r="AY18" s="871">
        <f>+AX18-'Cash Flow'!AY37-'Cash Flow'!AY36-'Cash Flow'!AY7-'Cash Flow'!AY8</f>
        <v>-332.83020854644758</v>
      </c>
      <c r="AZ18" s="871">
        <f>+AY18-'Cash Flow'!AZ37-'Cash Flow'!AZ36-'Cash Flow'!AZ7-'Cash Flow'!AZ8</f>
        <v>-454.60176723359569</v>
      </c>
      <c r="BA18" s="912">
        <f>+AZ18-'Cash Flow'!BA37-'Cash Flow'!BA36-'Cash Flow'!BA7-'Cash Flow'!BA8</f>
        <v>-579.45911809090603</v>
      </c>
      <c r="BB18" s="327"/>
      <c r="BC18" s="655"/>
      <c r="BD18" s="925">
        <f t="shared" si="104"/>
        <v>1031</v>
      </c>
      <c r="BE18" s="925">
        <f t="shared" si="105"/>
        <v>1030</v>
      </c>
      <c r="BF18" s="925">
        <f t="shared" si="2"/>
        <v>812</v>
      </c>
      <c r="BG18" s="925">
        <f t="shared" si="18"/>
        <v>780</v>
      </c>
      <c r="BH18" s="925">
        <f t="shared" si="107"/>
        <v>734</v>
      </c>
      <c r="BI18" s="925">
        <f t="shared" si="108"/>
        <v>780</v>
      </c>
      <c r="BJ18" s="925">
        <f t="shared" si="109"/>
        <v>888</v>
      </c>
      <c r="BK18" s="925">
        <f t="shared" si="110"/>
        <v>969</v>
      </c>
      <c r="BL18" s="925">
        <f t="shared" si="111"/>
        <v>1009</v>
      </c>
      <c r="BM18" s="925">
        <f t="shared" si="112"/>
        <v>961</v>
      </c>
      <c r="BN18" s="925">
        <f t="shared" si="112"/>
        <v>965</v>
      </c>
      <c r="BO18" s="925">
        <f t="shared" si="113"/>
        <v>-89.466436646874314</v>
      </c>
      <c r="BP18" s="925">
        <f t="shared" si="114"/>
        <v>-579.45911809090603</v>
      </c>
      <c r="BR18" s="1410"/>
      <c r="BS18" s="1416"/>
      <c r="BT18" s="1416"/>
    </row>
    <row r="19" spans="1:73" s="665" customFormat="1" ht="12" customHeight="1">
      <c r="A19" s="931" t="s">
        <v>114</v>
      </c>
      <c r="B19" s="707">
        <v>0</v>
      </c>
      <c r="C19" s="707">
        <v>0</v>
      </c>
      <c r="D19" s="707">
        <v>0</v>
      </c>
      <c r="E19" s="707">
        <v>0</v>
      </c>
      <c r="F19" s="708">
        <v>0</v>
      </c>
      <c r="G19" s="707">
        <v>0</v>
      </c>
      <c r="H19" s="707">
        <v>0</v>
      </c>
      <c r="I19" s="707">
        <v>0</v>
      </c>
      <c r="J19" s="708">
        <v>0</v>
      </c>
      <c r="K19" s="707">
        <v>0</v>
      </c>
      <c r="L19" s="707">
        <v>0</v>
      </c>
      <c r="M19" s="707">
        <v>0</v>
      </c>
      <c r="N19" s="708">
        <v>0</v>
      </c>
      <c r="O19" s="707">
        <v>0</v>
      </c>
      <c r="P19" s="707">
        <v>0</v>
      </c>
      <c r="Q19" s="707">
        <v>0</v>
      </c>
      <c r="R19" s="708">
        <v>307</v>
      </c>
      <c r="S19" s="707">
        <v>297</v>
      </c>
      <c r="T19" s="707">
        <v>220</v>
      </c>
      <c r="U19" s="707">
        <v>226</v>
      </c>
      <c r="V19" s="708">
        <v>232</v>
      </c>
      <c r="W19" s="707">
        <v>392</v>
      </c>
      <c r="X19" s="884">
        <v>370</v>
      </c>
      <c r="Y19" s="718">
        <v>380</v>
      </c>
      <c r="Z19" s="884">
        <v>405</v>
      </c>
      <c r="AA19" s="884">
        <v>439</v>
      </c>
      <c r="AB19" s="884">
        <v>425</v>
      </c>
      <c r="AC19" s="911">
        <v>549</v>
      </c>
      <c r="AD19" s="907">
        <v>535</v>
      </c>
      <c r="AE19" s="884">
        <v>508</v>
      </c>
      <c r="AF19" s="884">
        <v>485</v>
      </c>
      <c r="AG19" s="911">
        <v>469</v>
      </c>
      <c r="AH19" s="907">
        <v>457</v>
      </c>
      <c r="AI19" s="884">
        <v>444</v>
      </c>
      <c r="AJ19" s="884">
        <v>428</v>
      </c>
      <c r="AK19" s="911">
        <v>411</v>
      </c>
      <c r="AL19" s="907">
        <v>538</v>
      </c>
      <c r="AM19" s="884">
        <v>518</v>
      </c>
      <c r="AN19" s="884">
        <v>560</v>
      </c>
      <c r="AO19" s="911">
        <v>541</v>
      </c>
      <c r="AP19" s="907">
        <v>596</v>
      </c>
      <c r="AQ19" s="884">
        <v>593</v>
      </c>
      <c r="AR19" s="707">
        <f t="shared" ref="AR19:AR22" si="115">+AQ19</f>
        <v>593</v>
      </c>
      <c r="AS19" s="718">
        <f t="shared" ref="AS19:AS22" si="116">+AR19</f>
        <v>593</v>
      </c>
      <c r="AT19" s="708">
        <f t="shared" ref="AT19:AT22" si="117">+AS19</f>
        <v>593</v>
      </c>
      <c r="AU19" s="707">
        <f t="shared" ref="AU19:AU22" si="118">+AT19</f>
        <v>593</v>
      </c>
      <c r="AV19" s="707">
        <f t="shared" ref="AV19:AV22" si="119">+AU19</f>
        <v>593</v>
      </c>
      <c r="AW19" s="718">
        <f t="shared" ref="AW19:AW22" si="120">+AV19</f>
        <v>593</v>
      </c>
      <c r="AX19" s="708">
        <f t="shared" ref="AX19:AX22" si="121">+AW19</f>
        <v>593</v>
      </c>
      <c r="AY19" s="707">
        <f t="shared" ref="AY19:AY22" si="122">+AX19</f>
        <v>593</v>
      </c>
      <c r="AZ19" s="707">
        <f t="shared" ref="AZ19:AZ22" si="123">+AY19</f>
        <v>593</v>
      </c>
      <c r="BA19" s="718">
        <f t="shared" ref="BA19:BA22" si="124">+AZ19</f>
        <v>593</v>
      </c>
      <c r="BB19" s="327"/>
      <c r="BC19" s="655"/>
      <c r="BD19" s="925">
        <f t="shared" si="104"/>
        <v>0</v>
      </c>
      <c r="BE19" s="925">
        <f t="shared" si="105"/>
        <v>0</v>
      </c>
      <c r="BF19" s="925">
        <f t="shared" si="2"/>
        <v>0</v>
      </c>
      <c r="BG19" s="925">
        <f t="shared" si="18"/>
        <v>0</v>
      </c>
      <c r="BH19" s="925">
        <f t="shared" si="107"/>
        <v>226</v>
      </c>
      <c r="BI19" s="925">
        <f t="shared" si="108"/>
        <v>380</v>
      </c>
      <c r="BJ19" s="925">
        <f t="shared" si="109"/>
        <v>549</v>
      </c>
      <c r="BK19" s="925">
        <f t="shared" si="110"/>
        <v>469</v>
      </c>
      <c r="BL19" s="925">
        <f t="shared" si="111"/>
        <v>411</v>
      </c>
      <c r="BM19" s="925">
        <f t="shared" si="112"/>
        <v>541</v>
      </c>
      <c r="BN19" s="925">
        <f t="shared" si="112"/>
        <v>596</v>
      </c>
      <c r="BO19" s="925">
        <f t="shared" si="113"/>
        <v>593</v>
      </c>
      <c r="BP19" s="925">
        <f t="shared" si="114"/>
        <v>593</v>
      </c>
      <c r="BR19" s="1410"/>
      <c r="BS19" s="1416"/>
      <c r="BT19" s="1416"/>
    </row>
    <row r="20" spans="1:73" s="665" customFormat="1" ht="12" customHeight="1">
      <c r="A20" s="931" t="s">
        <v>4</v>
      </c>
      <c r="B20" s="707">
        <v>1274</v>
      </c>
      <c r="C20" s="707">
        <v>1278</v>
      </c>
      <c r="D20" s="707">
        <v>1282</v>
      </c>
      <c r="E20" s="707">
        <v>1282</v>
      </c>
      <c r="F20" s="708">
        <v>1293</v>
      </c>
      <c r="G20" s="707">
        <v>1293</v>
      </c>
      <c r="H20" s="707">
        <v>1294</v>
      </c>
      <c r="I20" s="707">
        <v>1295</v>
      </c>
      <c r="J20" s="708">
        <v>1294</v>
      </c>
      <c r="K20" s="707">
        <v>1615</v>
      </c>
      <c r="L20" s="707">
        <v>1613</v>
      </c>
      <c r="M20" s="707">
        <v>1611</v>
      </c>
      <c r="N20" s="708">
        <v>1610</v>
      </c>
      <c r="O20" s="707">
        <v>1611</v>
      </c>
      <c r="P20" s="707">
        <v>1611</v>
      </c>
      <c r="Q20" s="707">
        <v>1655</v>
      </c>
      <c r="R20" s="708">
        <v>1655</v>
      </c>
      <c r="S20" s="707">
        <v>1655</v>
      </c>
      <c r="T20" s="707">
        <v>1653</v>
      </c>
      <c r="U20" s="707">
        <v>1654</v>
      </c>
      <c r="V20" s="708">
        <v>1697</v>
      </c>
      <c r="W20" s="707">
        <v>5598</v>
      </c>
      <c r="X20" s="884">
        <v>5614</v>
      </c>
      <c r="Y20" s="718">
        <v>5613</v>
      </c>
      <c r="Z20" s="884">
        <v>5613</v>
      </c>
      <c r="AA20" s="884">
        <v>13732</v>
      </c>
      <c r="AB20" s="884">
        <v>13731</v>
      </c>
      <c r="AC20" s="911">
        <v>13736</v>
      </c>
      <c r="AD20" s="907">
        <v>13732</v>
      </c>
      <c r="AE20" s="884">
        <v>13779</v>
      </c>
      <c r="AF20" s="884">
        <v>13778</v>
      </c>
      <c r="AG20" s="911">
        <v>13780</v>
      </c>
      <c r="AH20" s="907">
        <v>13776</v>
      </c>
      <c r="AI20" s="884">
        <v>13779</v>
      </c>
      <c r="AJ20" s="884">
        <v>13778</v>
      </c>
      <c r="AK20" s="911">
        <v>13844</v>
      </c>
      <c r="AL20" s="907">
        <v>13844</v>
      </c>
      <c r="AM20" s="884">
        <v>13841</v>
      </c>
      <c r="AN20" s="884">
        <v>13847</v>
      </c>
      <c r="AO20" s="911">
        <v>13980</v>
      </c>
      <c r="AP20" s="907">
        <v>13980</v>
      </c>
      <c r="AQ20" s="884">
        <v>13983</v>
      </c>
      <c r="AR20" s="707">
        <f t="shared" si="115"/>
        <v>13983</v>
      </c>
      <c r="AS20" s="718">
        <f t="shared" si="116"/>
        <v>13983</v>
      </c>
      <c r="AT20" s="708">
        <f t="shared" si="117"/>
        <v>13983</v>
      </c>
      <c r="AU20" s="707">
        <f t="shared" si="118"/>
        <v>13983</v>
      </c>
      <c r="AV20" s="707">
        <f t="shared" si="119"/>
        <v>13983</v>
      </c>
      <c r="AW20" s="718">
        <f t="shared" si="120"/>
        <v>13983</v>
      </c>
      <c r="AX20" s="708">
        <f t="shared" si="121"/>
        <v>13983</v>
      </c>
      <c r="AY20" s="707">
        <f t="shared" si="122"/>
        <v>13983</v>
      </c>
      <c r="AZ20" s="707">
        <f t="shared" si="123"/>
        <v>13983</v>
      </c>
      <c r="BA20" s="718">
        <f t="shared" si="124"/>
        <v>13983</v>
      </c>
      <c r="BB20" s="327"/>
      <c r="BC20" s="655"/>
      <c r="BD20" s="925">
        <f t="shared" si="104"/>
        <v>1282</v>
      </c>
      <c r="BE20" s="925">
        <f t="shared" si="105"/>
        <v>1295</v>
      </c>
      <c r="BF20" s="925">
        <f t="shared" si="2"/>
        <v>1611</v>
      </c>
      <c r="BG20" s="925">
        <f t="shared" si="18"/>
        <v>1655</v>
      </c>
      <c r="BH20" s="925">
        <f t="shared" si="107"/>
        <v>1654</v>
      </c>
      <c r="BI20" s="925">
        <f t="shared" si="108"/>
        <v>5613</v>
      </c>
      <c r="BJ20" s="925">
        <f t="shared" si="109"/>
        <v>13736</v>
      </c>
      <c r="BK20" s="925">
        <f t="shared" si="110"/>
        <v>13780</v>
      </c>
      <c r="BL20" s="925">
        <f t="shared" si="111"/>
        <v>13844</v>
      </c>
      <c r="BM20" s="925">
        <f t="shared" si="112"/>
        <v>13980</v>
      </c>
      <c r="BN20" s="925">
        <f t="shared" si="112"/>
        <v>13980</v>
      </c>
      <c r="BO20" s="925">
        <f t="shared" si="113"/>
        <v>13983</v>
      </c>
      <c r="BP20" s="925">
        <f t="shared" si="114"/>
        <v>13983</v>
      </c>
      <c r="BR20" s="1410"/>
      <c r="BS20" s="1416"/>
      <c r="BT20" s="1416"/>
    </row>
    <row r="21" spans="1:73" s="236" customFormat="1" ht="12" customHeight="1">
      <c r="A21" s="931" t="s">
        <v>115</v>
      </c>
      <c r="B21" s="707">
        <v>77</v>
      </c>
      <c r="C21" s="707">
        <v>67</v>
      </c>
      <c r="D21" s="707">
        <v>57</v>
      </c>
      <c r="E21" s="707">
        <v>44</v>
      </c>
      <c r="F21" s="708">
        <v>39</v>
      </c>
      <c r="G21" s="707">
        <v>34</v>
      </c>
      <c r="H21" s="707">
        <v>27</v>
      </c>
      <c r="I21" s="707">
        <v>22</v>
      </c>
      <c r="J21" s="708">
        <v>18</v>
      </c>
      <c r="K21" s="707">
        <v>75</v>
      </c>
      <c r="L21" s="707">
        <v>68</v>
      </c>
      <c r="M21" s="707">
        <v>61</v>
      </c>
      <c r="N21" s="708">
        <v>55</v>
      </c>
      <c r="O21" s="707">
        <v>49</v>
      </c>
      <c r="P21" s="707">
        <v>43</v>
      </c>
      <c r="Q21" s="707">
        <v>54</v>
      </c>
      <c r="R21" s="708">
        <v>49</v>
      </c>
      <c r="S21" s="707">
        <v>41</v>
      </c>
      <c r="T21" s="707">
        <v>34</v>
      </c>
      <c r="U21" s="707">
        <v>28</v>
      </c>
      <c r="V21" s="708">
        <v>63</v>
      </c>
      <c r="W21" s="707">
        <v>3384</v>
      </c>
      <c r="X21" s="884">
        <v>3321</v>
      </c>
      <c r="Y21" s="718">
        <v>3252</v>
      </c>
      <c r="Z21" s="884">
        <v>3195</v>
      </c>
      <c r="AA21" s="884">
        <v>7388</v>
      </c>
      <c r="AB21" s="884">
        <v>7224</v>
      </c>
      <c r="AC21" s="911">
        <v>7061</v>
      </c>
      <c r="AD21" s="907">
        <v>6899</v>
      </c>
      <c r="AE21" s="884">
        <v>6737</v>
      </c>
      <c r="AF21" s="884">
        <v>6580</v>
      </c>
      <c r="AG21" s="911">
        <f>6419+64</f>
        <v>6483</v>
      </c>
      <c r="AH21" s="907">
        <f>6261+214</f>
        <v>6475</v>
      </c>
      <c r="AI21" s="884">
        <v>6104</v>
      </c>
      <c r="AJ21" s="884">
        <v>5950</v>
      </c>
      <c r="AK21" s="911">
        <f>5820+698</f>
        <v>6518</v>
      </c>
      <c r="AL21" s="907">
        <f>5662+798</f>
        <v>6460</v>
      </c>
      <c r="AM21" s="884">
        <f>5505+934</f>
        <v>6439</v>
      </c>
      <c r="AN21" s="884">
        <v>5397</v>
      </c>
      <c r="AO21" s="911">
        <v>5302</v>
      </c>
      <c r="AP21" s="907">
        <f>5136</f>
        <v>5136</v>
      </c>
      <c r="AQ21" s="884">
        <v>4971</v>
      </c>
      <c r="AR21" s="707">
        <f t="shared" si="115"/>
        <v>4971</v>
      </c>
      <c r="AS21" s="718">
        <f t="shared" si="116"/>
        <v>4971</v>
      </c>
      <c r="AT21" s="708">
        <f t="shared" si="117"/>
        <v>4971</v>
      </c>
      <c r="AU21" s="707">
        <f t="shared" si="118"/>
        <v>4971</v>
      </c>
      <c r="AV21" s="707">
        <f t="shared" si="119"/>
        <v>4971</v>
      </c>
      <c r="AW21" s="718">
        <f t="shared" si="120"/>
        <v>4971</v>
      </c>
      <c r="AX21" s="708">
        <f t="shared" si="121"/>
        <v>4971</v>
      </c>
      <c r="AY21" s="707">
        <f t="shared" si="122"/>
        <v>4971</v>
      </c>
      <c r="AZ21" s="707">
        <f t="shared" si="123"/>
        <v>4971</v>
      </c>
      <c r="BA21" s="718">
        <f t="shared" si="124"/>
        <v>4971</v>
      </c>
      <c r="BB21" s="110"/>
      <c r="BC21" s="655"/>
      <c r="BD21" s="925">
        <f t="shared" ref="BD21" si="125">E21</f>
        <v>44</v>
      </c>
      <c r="BE21" s="925">
        <f t="shared" ref="BE21" si="126">I21</f>
        <v>22</v>
      </c>
      <c r="BF21" s="925">
        <f t="shared" si="2"/>
        <v>61</v>
      </c>
      <c r="BG21" s="925">
        <f t="shared" si="18"/>
        <v>54</v>
      </c>
      <c r="BH21" s="925">
        <f t="shared" si="107"/>
        <v>28</v>
      </c>
      <c r="BI21" s="925">
        <f t="shared" si="108"/>
        <v>3252</v>
      </c>
      <c r="BJ21" s="925">
        <f t="shared" ref="BJ21" si="127">AC21</f>
        <v>7061</v>
      </c>
      <c r="BK21" s="925">
        <f t="shared" ref="BK21" si="128">+AG21</f>
        <v>6483</v>
      </c>
      <c r="BL21" s="925">
        <f t="shared" ref="BL21" si="129">+AK21</f>
        <v>6518</v>
      </c>
      <c r="BM21" s="925">
        <f t="shared" si="112"/>
        <v>5302</v>
      </c>
      <c r="BN21" s="925">
        <f t="shared" si="112"/>
        <v>5136</v>
      </c>
      <c r="BO21" s="925">
        <f t="shared" si="113"/>
        <v>4971</v>
      </c>
      <c r="BP21" s="925">
        <f t="shared" si="114"/>
        <v>4971</v>
      </c>
      <c r="BR21" s="1417"/>
      <c r="BS21" s="1418"/>
      <c r="BT21" s="1418"/>
    </row>
    <row r="22" spans="1:73" s="665" customFormat="1" ht="12" customHeight="1">
      <c r="A22" s="931" t="s">
        <v>7</v>
      </c>
      <c r="B22" s="707">
        <v>326</v>
      </c>
      <c r="C22" s="707">
        <v>529</v>
      </c>
      <c r="D22" s="707">
        <v>273</v>
      </c>
      <c r="E22" s="707">
        <v>251</v>
      </c>
      <c r="F22" s="708">
        <v>264</v>
      </c>
      <c r="G22" s="707">
        <v>292</v>
      </c>
      <c r="H22" s="707">
        <v>324</v>
      </c>
      <c r="I22" s="707">
        <v>275</v>
      </c>
      <c r="J22" s="708">
        <v>290</v>
      </c>
      <c r="K22" s="707">
        <v>294</v>
      </c>
      <c r="L22" s="707">
        <v>283</v>
      </c>
      <c r="M22" s="707">
        <v>215</v>
      </c>
      <c r="N22" s="708">
        <v>213</v>
      </c>
      <c r="O22" s="707">
        <v>208</v>
      </c>
      <c r="P22" s="707">
        <v>202</v>
      </c>
      <c r="Q22" s="707">
        <v>187</v>
      </c>
      <c r="R22" s="708">
        <v>224</v>
      </c>
      <c r="S22" s="707">
        <v>247</v>
      </c>
      <c r="T22" s="707">
        <v>231</v>
      </c>
      <c r="U22" s="707">
        <v>290</v>
      </c>
      <c r="V22" s="708">
        <v>293</v>
      </c>
      <c r="W22" s="707">
        <f>6+291</f>
        <v>297</v>
      </c>
      <c r="X22" s="884">
        <f>7+287</f>
        <v>294</v>
      </c>
      <c r="Y22" s="718">
        <f>8+283</f>
        <v>291</v>
      </c>
      <c r="Z22" s="884">
        <v>297</v>
      </c>
      <c r="AA22" s="884">
        <f>8+325</f>
        <v>333</v>
      </c>
      <c r="AB22" s="884">
        <f>8+312</f>
        <v>320</v>
      </c>
      <c r="AC22" s="911">
        <f>11+344</f>
        <v>355</v>
      </c>
      <c r="AD22" s="907">
        <f>10+331</f>
        <v>341</v>
      </c>
      <c r="AE22" s="884">
        <f>12+371</f>
        <v>383</v>
      </c>
      <c r="AF22" s="884">
        <f>13+376</f>
        <v>389</v>
      </c>
      <c r="AG22" s="911">
        <v>417</v>
      </c>
      <c r="AH22" s="907">
        <v>429</v>
      </c>
      <c r="AI22" s="884">
        <f>383+501</f>
        <v>884</v>
      </c>
      <c r="AJ22" s="884">
        <f>512+495</f>
        <v>1007</v>
      </c>
      <c r="AK22" s="911">
        <v>541</v>
      </c>
      <c r="AL22" s="907">
        <v>527</v>
      </c>
      <c r="AM22" s="884">
        <v>669</v>
      </c>
      <c r="AN22" s="884">
        <f>1062+699</f>
        <v>1761</v>
      </c>
      <c r="AO22" s="911">
        <f>1222+751</f>
        <v>1973</v>
      </c>
      <c r="AP22" s="907">
        <f>1173+828</f>
        <v>2001</v>
      </c>
      <c r="AQ22" s="884">
        <f>1106+825</f>
        <v>1931</v>
      </c>
      <c r="AR22" s="884">
        <f t="shared" si="115"/>
        <v>1931</v>
      </c>
      <c r="AS22" s="911">
        <f t="shared" si="116"/>
        <v>1931</v>
      </c>
      <c r="AT22" s="907">
        <f t="shared" si="117"/>
        <v>1931</v>
      </c>
      <c r="AU22" s="884">
        <f t="shared" si="118"/>
        <v>1931</v>
      </c>
      <c r="AV22" s="884">
        <f t="shared" si="119"/>
        <v>1931</v>
      </c>
      <c r="AW22" s="911">
        <f t="shared" si="120"/>
        <v>1931</v>
      </c>
      <c r="AX22" s="907">
        <f t="shared" si="121"/>
        <v>1931</v>
      </c>
      <c r="AY22" s="884">
        <f t="shared" si="122"/>
        <v>1931</v>
      </c>
      <c r="AZ22" s="884">
        <f t="shared" si="123"/>
        <v>1931</v>
      </c>
      <c r="BA22" s="911">
        <f t="shared" si="124"/>
        <v>1931</v>
      </c>
      <c r="BB22" s="327"/>
      <c r="BC22" s="655"/>
      <c r="BD22" s="925">
        <f t="shared" si="104"/>
        <v>251</v>
      </c>
      <c r="BE22" s="925">
        <f t="shared" si="105"/>
        <v>275</v>
      </c>
      <c r="BF22" s="925">
        <f t="shared" si="2"/>
        <v>215</v>
      </c>
      <c r="BG22" s="925">
        <f t="shared" si="18"/>
        <v>187</v>
      </c>
      <c r="BH22" s="925">
        <f t="shared" si="107"/>
        <v>290</v>
      </c>
      <c r="BI22" s="925">
        <f t="shared" si="108"/>
        <v>291</v>
      </c>
      <c r="BJ22" s="925">
        <f t="shared" si="109"/>
        <v>355</v>
      </c>
      <c r="BK22" s="925">
        <f t="shared" si="110"/>
        <v>417</v>
      </c>
      <c r="BL22" s="925">
        <f t="shared" si="111"/>
        <v>541</v>
      </c>
      <c r="BM22" s="925">
        <f t="shared" si="112"/>
        <v>1973</v>
      </c>
      <c r="BN22" s="925">
        <f t="shared" si="112"/>
        <v>2001</v>
      </c>
      <c r="BO22" s="925">
        <f t="shared" si="113"/>
        <v>1931</v>
      </c>
      <c r="BP22" s="925">
        <f t="shared" si="114"/>
        <v>1931</v>
      </c>
      <c r="BR22" s="1410"/>
      <c r="BS22" s="1416"/>
      <c r="BT22" s="1416"/>
    </row>
    <row r="23" spans="1:73" s="664" customFormat="1" ht="12" customHeight="1">
      <c r="A23" s="935" t="s">
        <v>52</v>
      </c>
      <c r="B23" s="722">
        <f t="shared" ref="B23:AO23" si="130">B15+SUM(B17:B22)</f>
        <v>3833</v>
      </c>
      <c r="C23" s="722">
        <f t="shared" si="130"/>
        <v>50002</v>
      </c>
      <c r="D23" s="722">
        <f t="shared" si="130"/>
        <v>4940</v>
      </c>
      <c r="E23" s="723">
        <f t="shared" si="130"/>
        <v>4250</v>
      </c>
      <c r="F23" s="724">
        <f t="shared" si="130"/>
        <v>3933</v>
      </c>
      <c r="G23" s="722">
        <f t="shared" si="130"/>
        <v>4373</v>
      </c>
      <c r="H23" s="722">
        <f t="shared" si="130"/>
        <v>4969</v>
      </c>
      <c r="I23" s="723">
        <f t="shared" si="130"/>
        <v>4068</v>
      </c>
      <c r="J23" s="724">
        <f t="shared" si="130"/>
        <v>4064</v>
      </c>
      <c r="K23" s="722">
        <f t="shared" si="130"/>
        <v>4898</v>
      </c>
      <c r="L23" s="722">
        <f t="shared" si="130"/>
        <v>5787</v>
      </c>
      <c r="M23" s="723">
        <f t="shared" si="130"/>
        <v>5134</v>
      </c>
      <c r="N23" s="724">
        <f t="shared" si="130"/>
        <v>4928</v>
      </c>
      <c r="O23" s="722">
        <f t="shared" si="130"/>
        <v>5335</v>
      </c>
      <c r="P23" s="722">
        <f t="shared" si="130"/>
        <v>6917</v>
      </c>
      <c r="Q23" s="723">
        <f t="shared" si="130"/>
        <v>6283</v>
      </c>
      <c r="R23" s="724">
        <f t="shared" si="130"/>
        <v>6183</v>
      </c>
      <c r="S23" s="722">
        <f t="shared" si="130"/>
        <v>6701</v>
      </c>
      <c r="T23" s="722">
        <f t="shared" si="130"/>
        <v>7764</v>
      </c>
      <c r="U23" s="722">
        <f t="shared" si="130"/>
        <v>10931</v>
      </c>
      <c r="V23" s="724">
        <f t="shared" si="130"/>
        <v>9707</v>
      </c>
      <c r="W23" s="722">
        <f t="shared" si="130"/>
        <v>14598</v>
      </c>
      <c r="X23" s="1236">
        <f t="shared" si="130"/>
        <v>15758</v>
      </c>
      <c r="Y23" s="723">
        <f t="shared" si="130"/>
        <v>15516</v>
      </c>
      <c r="Z23" s="1236">
        <f t="shared" si="130"/>
        <v>14870</v>
      </c>
      <c r="AA23" s="1236">
        <f t="shared" si="130"/>
        <v>26303</v>
      </c>
      <c r="AB23" s="1236">
        <f t="shared" si="130"/>
        <v>28514</v>
      </c>
      <c r="AC23" s="1313">
        <f t="shared" si="130"/>
        <v>27734</v>
      </c>
      <c r="AD23" s="1285">
        <f t="shared" si="130"/>
        <v>27085</v>
      </c>
      <c r="AE23" s="1236">
        <f t="shared" si="130"/>
        <v>27202</v>
      </c>
      <c r="AF23" s="1236">
        <f t="shared" si="130"/>
        <v>28921</v>
      </c>
      <c r="AG23" s="1313">
        <f t="shared" si="130"/>
        <v>27780</v>
      </c>
      <c r="AH23" s="1285">
        <f t="shared" si="130"/>
        <v>28488</v>
      </c>
      <c r="AI23" s="1236">
        <f t="shared" si="130"/>
        <v>29688</v>
      </c>
      <c r="AJ23" s="1236">
        <f t="shared" si="130"/>
        <v>31560</v>
      </c>
      <c r="AK23" s="1313">
        <f t="shared" si="130"/>
        <v>32132</v>
      </c>
      <c r="AL23" s="1285">
        <f t="shared" si="130"/>
        <v>33193</v>
      </c>
      <c r="AM23" s="722">
        <f t="shared" si="130"/>
        <v>31682</v>
      </c>
      <c r="AN23" s="1236">
        <f t="shared" ref="AN23" si="131">AN15+SUM(AN17:AN22)</f>
        <v>36593</v>
      </c>
      <c r="AO23" s="1313">
        <f t="shared" si="130"/>
        <v>36958</v>
      </c>
      <c r="AP23" s="1285">
        <f t="shared" ref="AP23" si="132">AP15+SUM(AP17:AP22)</f>
        <v>33191</v>
      </c>
      <c r="AQ23" s="722">
        <f t="shared" ref="AQ23" si="133">AQ15+SUM(AQ17:AQ22)</f>
        <v>34282</v>
      </c>
      <c r="AR23" s="722">
        <f t="shared" ref="AR23:AS23" si="134">AR15+SUM(AR17:AR22)</f>
        <v>38890.371640615755</v>
      </c>
      <c r="AS23" s="723">
        <f t="shared" si="134"/>
        <v>41899.32697487915</v>
      </c>
      <c r="AT23" s="724">
        <f t="shared" ref="AT23:AW23" si="135">AT15+SUM(AT17:AT22)</f>
        <v>39680.067525927996</v>
      </c>
      <c r="AU23" s="722">
        <f t="shared" si="135"/>
        <v>42331.277220677272</v>
      </c>
      <c r="AV23" s="722">
        <f t="shared" si="135"/>
        <v>47161.360546475764</v>
      </c>
      <c r="AW23" s="723">
        <f t="shared" si="135"/>
        <v>50226.621048530593</v>
      </c>
      <c r="AX23" s="724">
        <f t="shared" ref="AX23:BA23" si="136">AX15+SUM(AX17:AX22)</f>
        <v>48151.255687160054</v>
      </c>
      <c r="AY23" s="722">
        <f t="shared" si="136"/>
        <v>51254.118553394357</v>
      </c>
      <c r="AZ23" s="722">
        <f t="shared" si="136"/>
        <v>56319.88810981797</v>
      </c>
      <c r="BA23" s="723">
        <f t="shared" si="136"/>
        <v>60022.195361287049</v>
      </c>
      <c r="BB23" s="324"/>
      <c r="BC23" s="668"/>
      <c r="BD23" s="927">
        <f t="shared" si="104"/>
        <v>4250</v>
      </c>
      <c r="BE23" s="927">
        <f t="shared" si="105"/>
        <v>4068</v>
      </c>
      <c r="BF23" s="927">
        <f t="shared" si="2"/>
        <v>5134</v>
      </c>
      <c r="BG23" s="927">
        <f t="shared" si="18"/>
        <v>6283</v>
      </c>
      <c r="BH23" s="927">
        <f t="shared" si="107"/>
        <v>10931</v>
      </c>
      <c r="BI23" s="927">
        <f t="shared" si="108"/>
        <v>15516</v>
      </c>
      <c r="BJ23" s="927">
        <f t="shared" si="109"/>
        <v>27734</v>
      </c>
      <c r="BK23" s="927">
        <f t="shared" si="110"/>
        <v>27780</v>
      </c>
      <c r="BL23" s="927">
        <f t="shared" si="111"/>
        <v>32132</v>
      </c>
      <c r="BM23" s="927">
        <f t="shared" si="112"/>
        <v>36958</v>
      </c>
      <c r="BN23" s="927">
        <f t="shared" si="112"/>
        <v>33191</v>
      </c>
      <c r="BO23" s="927">
        <f t="shared" si="113"/>
        <v>50226.621048530593</v>
      </c>
      <c r="BP23" s="927">
        <f t="shared" si="114"/>
        <v>60022.195361287049</v>
      </c>
      <c r="BQ23" s="663"/>
      <c r="BR23" s="1414"/>
      <c r="BS23" s="1415"/>
      <c r="BT23" s="1415"/>
    </row>
    <row r="24" spans="1:73" ht="12" customHeight="1">
      <c r="A24" s="931"/>
      <c r="B24" s="110"/>
      <c r="C24" s="110"/>
      <c r="D24" s="110"/>
      <c r="E24" s="203"/>
      <c r="F24" s="654"/>
      <c r="G24" s="110"/>
      <c r="H24" s="110"/>
      <c r="I24" s="203"/>
      <c r="J24" s="654"/>
      <c r="K24" s="110"/>
      <c r="L24" s="110"/>
      <c r="M24" s="203"/>
      <c r="N24" s="654"/>
      <c r="O24" s="110"/>
      <c r="P24" s="110"/>
      <c r="Q24" s="203"/>
      <c r="R24" s="654"/>
      <c r="S24" s="110"/>
      <c r="T24" s="110"/>
      <c r="U24" s="110"/>
      <c r="V24" s="669"/>
      <c r="W24" s="110"/>
      <c r="X24" s="327"/>
      <c r="Y24" s="203"/>
      <c r="Z24" s="327"/>
      <c r="AA24" s="110">
        <f>+AA20-Z20</f>
        <v>8119</v>
      </c>
      <c r="AB24" s="110"/>
      <c r="AC24" s="203"/>
      <c r="AD24" s="654"/>
      <c r="AE24" s="110"/>
      <c r="AF24" s="327"/>
      <c r="AG24" s="1360"/>
      <c r="AH24" s="654"/>
      <c r="AI24" s="110"/>
      <c r="AJ24" s="110"/>
      <c r="AK24" s="203"/>
      <c r="AL24" s="654"/>
      <c r="AM24" s="110"/>
      <c r="AN24" s="110"/>
      <c r="AO24" s="203"/>
      <c r="AP24" s="654"/>
      <c r="AQ24" s="110"/>
      <c r="AR24" s="110"/>
      <c r="AS24" s="203"/>
      <c r="AT24" s="654"/>
      <c r="AU24" s="110"/>
      <c r="AV24" s="110"/>
      <c r="AW24" s="203"/>
      <c r="AX24" s="654"/>
      <c r="AY24" s="110"/>
      <c r="AZ24" s="110"/>
      <c r="BA24" s="203"/>
      <c r="BB24" s="327"/>
      <c r="BC24" s="656"/>
      <c r="BD24" s="925"/>
      <c r="BE24" s="925"/>
      <c r="BF24" s="925"/>
      <c r="BG24" s="925"/>
      <c r="BH24" s="925"/>
      <c r="BI24" s="925"/>
      <c r="BJ24" s="925"/>
      <c r="BK24" s="925">
        <f t="shared" si="110"/>
        <v>0</v>
      </c>
      <c r="BL24" s="925"/>
      <c r="BM24" s="925"/>
      <c r="BN24" s="925"/>
      <c r="BO24" s="925"/>
      <c r="BP24" s="925"/>
      <c r="BQ24" s="666"/>
      <c r="BR24" s="1410"/>
    </row>
    <row r="25" spans="1:73" s="667" customFormat="1" ht="12" customHeight="1">
      <c r="A25" s="936" t="s">
        <v>327</v>
      </c>
      <c r="B25" s="211"/>
      <c r="C25" s="211"/>
      <c r="D25" s="211"/>
      <c r="E25" s="216"/>
      <c r="F25" s="661"/>
      <c r="G25" s="211"/>
      <c r="H25" s="211"/>
      <c r="I25" s="216"/>
      <c r="J25" s="661"/>
      <c r="K25" s="211"/>
      <c r="L25" s="211"/>
      <c r="M25" s="216"/>
      <c r="N25" s="661"/>
      <c r="O25" s="211"/>
      <c r="P25" s="211"/>
      <c r="Q25" s="216"/>
      <c r="R25" s="661"/>
      <c r="S25" s="211"/>
      <c r="T25" s="211"/>
      <c r="U25" s="211"/>
      <c r="V25" s="661"/>
      <c r="W25" s="211"/>
      <c r="X25" s="324"/>
      <c r="Y25" s="672"/>
      <c r="Z25" s="324"/>
      <c r="AA25" s="211"/>
      <c r="AB25" s="211"/>
      <c r="AC25" s="216"/>
      <c r="AD25" s="661"/>
      <c r="AE25" s="211"/>
      <c r="AF25" s="211"/>
      <c r="AG25" s="216"/>
      <c r="AH25" s="661"/>
      <c r="AI25" s="211"/>
      <c r="AJ25" s="211"/>
      <c r="AK25" s="216"/>
      <c r="AL25" s="661"/>
      <c r="AM25" s="211"/>
      <c r="AN25" s="211"/>
      <c r="AO25" s="216"/>
      <c r="AP25" s="661"/>
      <c r="AQ25" s="211"/>
      <c r="AR25" s="211"/>
      <c r="AS25" s="216"/>
      <c r="AT25" s="661"/>
      <c r="AU25" s="211"/>
      <c r="AV25" s="211"/>
      <c r="AW25" s="216"/>
      <c r="AX25" s="661"/>
      <c r="AY25" s="211"/>
      <c r="AZ25" s="211"/>
      <c r="BA25" s="216"/>
      <c r="BB25" s="324"/>
      <c r="BC25" s="662"/>
      <c r="BD25" s="926"/>
      <c r="BE25" s="926"/>
      <c r="BF25" s="926"/>
      <c r="BG25" s="926"/>
      <c r="BH25" s="926"/>
      <c r="BI25" s="926"/>
      <c r="BJ25" s="926"/>
      <c r="BK25" s="926"/>
      <c r="BL25" s="926"/>
      <c r="BM25" s="926"/>
      <c r="BN25" s="926"/>
      <c r="BO25" s="926"/>
      <c r="BP25" s="926"/>
      <c r="BQ25" s="663"/>
      <c r="BR25" s="1412"/>
      <c r="BS25" s="1419"/>
      <c r="BT25" s="1419"/>
    </row>
    <row r="26" spans="1:73" ht="12" customHeight="1">
      <c r="A26" s="931" t="s">
        <v>12</v>
      </c>
      <c r="B26" s="707">
        <v>0</v>
      </c>
      <c r="C26" s="707">
        <v>245</v>
      </c>
      <c r="D26" s="707">
        <v>500</v>
      </c>
      <c r="E26" s="707">
        <v>512</v>
      </c>
      <c r="F26" s="708">
        <v>625</v>
      </c>
      <c r="G26" s="707">
        <v>687</v>
      </c>
      <c r="H26" s="707">
        <v>50</v>
      </c>
      <c r="I26" s="707">
        <v>50</v>
      </c>
      <c r="J26" s="708">
        <v>450</v>
      </c>
      <c r="K26" s="707">
        <v>690</v>
      </c>
      <c r="L26" s="707">
        <v>50</v>
      </c>
      <c r="M26" s="707">
        <v>50</v>
      </c>
      <c r="N26" s="708">
        <v>50</v>
      </c>
      <c r="O26" s="707">
        <v>50</v>
      </c>
      <c r="P26" s="707">
        <v>50</v>
      </c>
      <c r="Q26" s="707">
        <v>50</v>
      </c>
      <c r="R26" s="708">
        <v>50</v>
      </c>
      <c r="S26" s="707">
        <v>38</v>
      </c>
      <c r="T26" s="707">
        <v>350</v>
      </c>
      <c r="U26" s="707">
        <v>1338</v>
      </c>
      <c r="V26" s="708">
        <v>325</v>
      </c>
      <c r="W26" s="707">
        <v>325</v>
      </c>
      <c r="X26" s="884">
        <v>0</v>
      </c>
      <c r="Y26" s="906">
        <v>0</v>
      </c>
      <c r="Z26" s="884"/>
      <c r="AA26" s="884">
        <v>0</v>
      </c>
      <c r="AB26" s="884">
        <v>0</v>
      </c>
      <c r="AC26" s="884">
        <v>499</v>
      </c>
      <c r="AD26" s="907">
        <v>499</v>
      </c>
      <c r="AE26" s="884">
        <v>501</v>
      </c>
      <c r="AF26" s="884">
        <v>501</v>
      </c>
      <c r="AG26" s="884">
        <v>0</v>
      </c>
      <c r="AH26" s="907">
        <f t="shared" ref="AH26:AJ26" si="137">+AG26</f>
        <v>0</v>
      </c>
      <c r="AI26" s="884">
        <f t="shared" si="137"/>
        <v>0</v>
      </c>
      <c r="AJ26" s="884">
        <f t="shared" si="137"/>
        <v>0</v>
      </c>
      <c r="AK26" s="884">
        <v>499</v>
      </c>
      <c r="AL26" s="907">
        <v>499</v>
      </c>
      <c r="AM26" s="884">
        <v>500</v>
      </c>
      <c r="AN26" s="884">
        <v>500</v>
      </c>
      <c r="AO26" s="884">
        <v>0</v>
      </c>
      <c r="AP26" s="907">
        <v>749</v>
      </c>
      <c r="AQ26" s="884">
        <v>749</v>
      </c>
      <c r="AR26" s="884">
        <f t="shared" ref="AR26" si="138">+AQ26</f>
        <v>749</v>
      </c>
      <c r="AS26" s="884">
        <f t="shared" ref="AS26" si="139">+AR26</f>
        <v>749</v>
      </c>
      <c r="AT26" s="907">
        <f t="shared" ref="AT26" si="140">+AS26</f>
        <v>749</v>
      </c>
      <c r="AU26" s="884">
        <f t="shared" ref="AU26" si="141">+AT26</f>
        <v>749</v>
      </c>
      <c r="AV26" s="884">
        <f t="shared" ref="AV26" si="142">+AU26</f>
        <v>749</v>
      </c>
      <c r="AW26" s="884">
        <f t="shared" ref="AW26" si="143">+AV26</f>
        <v>749</v>
      </c>
      <c r="AX26" s="907">
        <f t="shared" ref="AX26" si="144">+AW26</f>
        <v>749</v>
      </c>
      <c r="AY26" s="884">
        <f t="shared" ref="AY26" si="145">+AX26</f>
        <v>749</v>
      </c>
      <c r="AZ26" s="884">
        <f t="shared" ref="AZ26" si="146">+AY26</f>
        <v>749</v>
      </c>
      <c r="BA26" s="884">
        <f t="shared" ref="BA26" si="147">+AZ26</f>
        <v>749</v>
      </c>
      <c r="BB26" s="670"/>
      <c r="BC26" s="671"/>
      <c r="BD26" s="874">
        <f t="shared" ref="BD26:BD42" si="148">E26</f>
        <v>512</v>
      </c>
      <c r="BE26" s="874">
        <f t="shared" ref="BE26:BE35" si="149">I26</f>
        <v>50</v>
      </c>
      <c r="BF26" s="874">
        <f t="shared" ref="BF26:BF35" si="150">M26</f>
        <v>50</v>
      </c>
      <c r="BG26" s="874">
        <f t="shared" ref="BG26:BG35" si="151">Q26</f>
        <v>50</v>
      </c>
      <c r="BH26" s="874">
        <f t="shared" ref="BH26:BH35" si="152">U26</f>
        <v>1338</v>
      </c>
      <c r="BI26" s="874">
        <f t="shared" ref="BI26:BI35" si="153">Y26</f>
        <v>0</v>
      </c>
      <c r="BJ26" s="874">
        <f t="shared" ref="BJ26:BJ35" si="154">AC26</f>
        <v>499</v>
      </c>
      <c r="BK26" s="925">
        <f t="shared" ref="BK26:BK35" si="155">+AG26</f>
        <v>0</v>
      </c>
      <c r="BL26" s="925">
        <f t="shared" ref="BL26:BL35" si="156">+AK26</f>
        <v>499</v>
      </c>
      <c r="BM26" s="925">
        <f t="shared" ref="BM26:BM35" si="157">+AO26</f>
        <v>0</v>
      </c>
      <c r="BN26" s="925">
        <f t="shared" ref="BN26:BN35" si="158">+AP26</f>
        <v>749</v>
      </c>
      <c r="BO26" s="925">
        <f t="shared" ref="BO26:BO35" si="159">+AW26</f>
        <v>749</v>
      </c>
      <c r="BP26" s="925">
        <f t="shared" ref="BP26:BP35" si="160">+BA26</f>
        <v>749</v>
      </c>
      <c r="BQ26" s="666"/>
      <c r="BR26" s="1412"/>
    </row>
    <row r="27" spans="1:73" ht="12" customHeight="1">
      <c r="A27" s="931" t="s">
        <v>5</v>
      </c>
      <c r="B27" s="707">
        <v>178</v>
      </c>
      <c r="C27" s="707">
        <v>286</v>
      </c>
      <c r="D27" s="707">
        <v>270</v>
      </c>
      <c r="E27" s="707">
        <v>184</v>
      </c>
      <c r="F27" s="708">
        <v>165</v>
      </c>
      <c r="G27" s="707">
        <v>258</v>
      </c>
      <c r="H27" s="707">
        <v>269</v>
      </c>
      <c r="I27" s="707">
        <v>157</v>
      </c>
      <c r="J27" s="708">
        <v>220</v>
      </c>
      <c r="K27" s="707">
        <v>343</v>
      </c>
      <c r="L27" s="707">
        <v>325</v>
      </c>
      <c r="M27" s="707">
        <v>178</v>
      </c>
      <c r="N27" s="708">
        <v>209</v>
      </c>
      <c r="O27" s="707">
        <v>400</v>
      </c>
      <c r="P27" s="707">
        <v>383</v>
      </c>
      <c r="Q27" s="707">
        <v>274</v>
      </c>
      <c r="R27" s="708">
        <v>272</v>
      </c>
      <c r="S27" s="707">
        <v>455</v>
      </c>
      <c r="T27" s="707">
        <v>384</v>
      </c>
      <c r="U27" s="707">
        <v>305</v>
      </c>
      <c r="V27" s="708">
        <v>256</v>
      </c>
      <c r="W27" s="707">
        <v>486</v>
      </c>
      <c r="X27" s="884">
        <v>601</v>
      </c>
      <c r="Y27" s="906">
        <v>623</v>
      </c>
      <c r="Z27" s="884">
        <v>531</v>
      </c>
      <c r="AA27" s="884">
        <v>883</v>
      </c>
      <c r="AB27" s="884">
        <v>900</v>
      </c>
      <c r="AC27" s="906">
        <v>737</v>
      </c>
      <c r="AD27" s="884">
        <v>670</v>
      </c>
      <c r="AE27" s="884">
        <v>811</v>
      </c>
      <c r="AF27" s="884">
        <v>921</v>
      </c>
      <c r="AG27" s="906">
        <v>638</v>
      </c>
      <c r="AH27" s="884">
        <v>630</v>
      </c>
      <c r="AI27" s="884">
        <v>789</v>
      </c>
      <c r="AJ27" s="884">
        <v>886</v>
      </c>
      <c r="AK27" s="906">
        <v>721</v>
      </c>
      <c r="AL27" s="884">
        <v>652</v>
      </c>
      <c r="AM27" s="884">
        <v>1038</v>
      </c>
      <c r="AN27" s="884">
        <v>1002</v>
      </c>
      <c r="AO27" s="906">
        <v>792</v>
      </c>
      <c r="AP27" s="884">
        <v>670</v>
      </c>
      <c r="AQ27" s="884">
        <v>946</v>
      </c>
      <c r="AR27" s="884">
        <f t="shared" ref="AR27:BA29" si="161">AR78*AR$64</f>
        <v>1096.9237993293782</v>
      </c>
      <c r="AS27" s="906">
        <f t="shared" si="161"/>
        <v>879.1649647611589</v>
      </c>
      <c r="AT27" s="884">
        <f t="shared" si="161"/>
        <v>805.97248519948528</v>
      </c>
      <c r="AU27" s="884">
        <f t="shared" si="161"/>
        <v>1131.2811030150167</v>
      </c>
      <c r="AV27" s="884">
        <f t="shared" si="161"/>
        <v>1295.2346729530425</v>
      </c>
      <c r="AW27" s="906">
        <f t="shared" si="161"/>
        <v>981.05340119911079</v>
      </c>
      <c r="AX27" s="884">
        <f t="shared" si="161"/>
        <v>908.35548537479406</v>
      </c>
      <c r="AY27" s="884">
        <f t="shared" si="161"/>
        <v>1285.3003021714487</v>
      </c>
      <c r="AZ27" s="884">
        <f t="shared" si="161"/>
        <v>1425.28298756102</v>
      </c>
      <c r="BA27" s="906">
        <f t="shared" si="161"/>
        <v>1102.4888809067381</v>
      </c>
      <c r="BB27" s="670"/>
      <c r="BC27" s="671"/>
      <c r="BD27" s="874">
        <f t="shared" si="148"/>
        <v>184</v>
      </c>
      <c r="BE27" s="874">
        <f t="shared" si="149"/>
        <v>157</v>
      </c>
      <c r="BF27" s="874">
        <f t="shared" si="150"/>
        <v>178</v>
      </c>
      <c r="BG27" s="874">
        <f t="shared" si="151"/>
        <v>274</v>
      </c>
      <c r="BH27" s="874">
        <f t="shared" si="152"/>
        <v>305</v>
      </c>
      <c r="BI27" s="874">
        <f t="shared" si="153"/>
        <v>623</v>
      </c>
      <c r="BJ27" s="874">
        <f t="shared" si="154"/>
        <v>737</v>
      </c>
      <c r="BK27" s="925">
        <f t="shared" si="155"/>
        <v>638</v>
      </c>
      <c r="BL27" s="925">
        <f t="shared" si="156"/>
        <v>721</v>
      </c>
      <c r="BM27" s="925">
        <f t="shared" si="157"/>
        <v>792</v>
      </c>
      <c r="BN27" s="925">
        <f t="shared" si="158"/>
        <v>670</v>
      </c>
      <c r="BO27" s="925">
        <f t="shared" si="159"/>
        <v>981.05340119911079</v>
      </c>
      <c r="BP27" s="925">
        <f t="shared" si="160"/>
        <v>1102.4888809067381</v>
      </c>
      <c r="BQ27" s="666"/>
      <c r="BR27" s="1412"/>
    </row>
    <row r="28" spans="1:73" s="665" customFormat="1" ht="12.75" customHeight="1">
      <c r="A28" s="931" t="s">
        <v>95</v>
      </c>
      <c r="B28" s="707">
        <v>139</v>
      </c>
      <c r="C28" s="707">
        <v>179</v>
      </c>
      <c r="D28" s="707">
        <v>228</v>
      </c>
      <c r="E28" s="707">
        <v>289</v>
      </c>
      <c r="F28" s="708">
        <v>136</v>
      </c>
      <c r="G28" s="707">
        <v>204</v>
      </c>
      <c r="H28" s="707">
        <v>240</v>
      </c>
      <c r="I28" s="707">
        <v>300</v>
      </c>
      <c r="J28" s="708">
        <v>146</v>
      </c>
      <c r="K28" s="707">
        <v>206</v>
      </c>
      <c r="L28" s="707">
        <v>286</v>
      </c>
      <c r="M28" s="707">
        <v>369</v>
      </c>
      <c r="N28" s="708">
        <v>174</v>
      </c>
      <c r="O28" s="707">
        <v>221</v>
      </c>
      <c r="P28" s="707">
        <v>311</v>
      </c>
      <c r="Q28" s="707">
        <v>385</v>
      </c>
      <c r="R28" s="708">
        <v>201</v>
      </c>
      <c r="S28" s="707">
        <v>261</v>
      </c>
      <c r="T28" s="707">
        <v>348</v>
      </c>
      <c r="U28" s="707">
        <v>482</v>
      </c>
      <c r="V28" s="708">
        <v>233</v>
      </c>
      <c r="W28" s="707">
        <v>326</v>
      </c>
      <c r="X28" s="884">
        <v>476</v>
      </c>
      <c r="Y28" s="906">
        <v>530</v>
      </c>
      <c r="Z28" s="884">
        <v>316</v>
      </c>
      <c r="AA28" s="884">
        <v>413</v>
      </c>
      <c r="AB28" s="884">
        <v>543</v>
      </c>
      <c r="AC28" s="906">
        <v>576</v>
      </c>
      <c r="AD28" s="907">
        <v>401</v>
      </c>
      <c r="AE28" s="884">
        <v>502</v>
      </c>
      <c r="AF28" s="884">
        <v>625</v>
      </c>
      <c r="AG28" s="906">
        <v>665</v>
      </c>
      <c r="AH28" s="907">
        <v>439</v>
      </c>
      <c r="AI28" s="884">
        <v>547</v>
      </c>
      <c r="AJ28" s="884">
        <v>689</v>
      </c>
      <c r="AK28" s="906">
        <v>921</v>
      </c>
      <c r="AL28" s="907">
        <v>413</v>
      </c>
      <c r="AM28" s="884">
        <v>623</v>
      </c>
      <c r="AN28" s="884">
        <v>747</v>
      </c>
      <c r="AO28" s="906">
        <v>858</v>
      </c>
      <c r="AP28" s="907">
        <v>479</v>
      </c>
      <c r="AQ28" s="884">
        <v>702</v>
      </c>
      <c r="AR28" s="884">
        <f t="shared" ref="AR28:BA28" si="162">+AR79*AR64</f>
        <v>817.7665450090276</v>
      </c>
      <c r="AS28" s="906">
        <f t="shared" si="162"/>
        <v>952.42871182458885</v>
      </c>
      <c r="AT28" s="907">
        <f t="shared" si="162"/>
        <v>588.8027812097813</v>
      </c>
      <c r="AU28" s="884">
        <f t="shared" si="162"/>
        <v>853.16542746951677</v>
      </c>
      <c r="AV28" s="884">
        <f t="shared" si="162"/>
        <v>989.28506330168545</v>
      </c>
      <c r="AW28" s="906">
        <f t="shared" si="162"/>
        <v>920.4436247841204</v>
      </c>
      <c r="AX28" s="907">
        <f t="shared" si="162"/>
        <v>663.59862890786076</v>
      </c>
      <c r="AY28" s="884">
        <f t="shared" si="162"/>
        <v>969.32033851381959</v>
      </c>
      <c r="AZ28" s="884">
        <f t="shared" si="162"/>
        <v>1088.614441858165</v>
      </c>
      <c r="BA28" s="906">
        <f t="shared" si="162"/>
        <v>1034.3767837567802</v>
      </c>
      <c r="BB28" s="670"/>
      <c r="BC28" s="655"/>
      <c r="BD28" s="925">
        <f t="shared" si="148"/>
        <v>289</v>
      </c>
      <c r="BE28" s="925">
        <f t="shared" si="149"/>
        <v>300</v>
      </c>
      <c r="BF28" s="925">
        <f t="shared" si="150"/>
        <v>369</v>
      </c>
      <c r="BG28" s="925">
        <f t="shared" si="151"/>
        <v>385</v>
      </c>
      <c r="BH28" s="925">
        <f t="shared" si="152"/>
        <v>482</v>
      </c>
      <c r="BI28" s="925">
        <f t="shared" si="153"/>
        <v>530</v>
      </c>
      <c r="BJ28" s="925">
        <f t="shared" si="154"/>
        <v>576</v>
      </c>
      <c r="BK28" s="925">
        <f t="shared" si="155"/>
        <v>665</v>
      </c>
      <c r="BL28" s="925">
        <f t="shared" si="156"/>
        <v>921</v>
      </c>
      <c r="BM28" s="925">
        <f t="shared" si="157"/>
        <v>858</v>
      </c>
      <c r="BN28" s="925">
        <f t="shared" si="158"/>
        <v>479</v>
      </c>
      <c r="BO28" s="925">
        <f t="shared" si="159"/>
        <v>920.4436247841204</v>
      </c>
      <c r="BP28" s="925">
        <f t="shared" si="160"/>
        <v>1034.3767837567802</v>
      </c>
      <c r="BQ28" s="666"/>
      <c r="BR28" s="1412"/>
      <c r="BS28" s="1416"/>
      <c r="BT28" s="1416"/>
    </row>
    <row r="29" spans="1:73" s="665" customFormat="1" ht="12.75" customHeight="1">
      <c r="A29" s="931" t="s">
        <v>33</v>
      </c>
      <c r="B29" s="707">
        <v>635</v>
      </c>
      <c r="C29" s="707">
        <v>961</v>
      </c>
      <c r="D29" s="707">
        <v>854</v>
      </c>
      <c r="E29" s="707">
        <v>801</v>
      </c>
      <c r="F29" s="708">
        <v>739</v>
      </c>
      <c r="G29" s="707">
        <v>1076</v>
      </c>
      <c r="H29" s="707">
        <v>955</v>
      </c>
      <c r="I29" s="707">
        <v>887</v>
      </c>
      <c r="J29" s="708">
        <v>799</v>
      </c>
      <c r="K29" s="707">
        <v>1120</v>
      </c>
      <c r="L29" s="707">
        <v>1040</v>
      </c>
      <c r="M29" s="707">
        <v>581</v>
      </c>
      <c r="N29" s="708">
        <v>513</v>
      </c>
      <c r="O29" s="707">
        <v>639</v>
      </c>
      <c r="P29" s="707">
        <v>572</v>
      </c>
      <c r="Q29" s="707">
        <v>619</v>
      </c>
      <c r="R29" s="708">
        <v>554</v>
      </c>
      <c r="S29" s="707">
        <v>671</v>
      </c>
      <c r="T29" s="707">
        <v>632</v>
      </c>
      <c r="U29" s="707">
        <v>652</v>
      </c>
      <c r="V29" s="708">
        <v>574</v>
      </c>
      <c r="W29" s="707">
        <v>752</v>
      </c>
      <c r="X29" s="884">
        <v>650</v>
      </c>
      <c r="Y29" s="906">
        <v>684</v>
      </c>
      <c r="Z29" s="884">
        <v>600</v>
      </c>
      <c r="AA29" s="884">
        <v>822</v>
      </c>
      <c r="AB29" s="884">
        <v>741</v>
      </c>
      <c r="AC29" s="906">
        <v>808</v>
      </c>
      <c r="AD29" s="907">
        <v>698</v>
      </c>
      <c r="AE29" s="884">
        <v>852</v>
      </c>
      <c r="AF29" s="884">
        <v>829</v>
      </c>
      <c r="AG29" s="906">
        <v>921</v>
      </c>
      <c r="AH29" s="907">
        <v>763</v>
      </c>
      <c r="AI29" s="884">
        <v>887</v>
      </c>
      <c r="AJ29" s="884">
        <v>843</v>
      </c>
      <c r="AK29" s="906">
        <v>872</v>
      </c>
      <c r="AL29" s="907">
        <v>892</v>
      </c>
      <c r="AM29" s="884">
        <v>1025</v>
      </c>
      <c r="AN29" s="884">
        <v>957</v>
      </c>
      <c r="AO29" s="906">
        <v>1019</v>
      </c>
      <c r="AP29" s="907">
        <v>1045</v>
      </c>
      <c r="AQ29" s="884">
        <v>1141</v>
      </c>
      <c r="AR29" s="884">
        <f t="shared" si="161"/>
        <v>679.0856</v>
      </c>
      <c r="AS29" s="906">
        <f t="shared" si="161"/>
        <v>722.94667500000003</v>
      </c>
      <c r="AT29" s="884">
        <f t="shared" si="161"/>
        <v>1232.3527940797942</v>
      </c>
      <c r="AU29" s="884">
        <f t="shared" si="161"/>
        <v>1353.5456797829363</v>
      </c>
      <c r="AV29" s="884">
        <f t="shared" si="161"/>
        <v>744.26141905462634</v>
      </c>
      <c r="AW29" s="906">
        <f t="shared" si="161"/>
        <v>664.36639040294335</v>
      </c>
      <c r="AX29" s="884">
        <f t="shared" si="161"/>
        <v>1388.8990517365739</v>
      </c>
      <c r="AY29" s="884">
        <f t="shared" si="161"/>
        <v>1537.8252731273406</v>
      </c>
      <c r="AZ29" s="884">
        <f t="shared" si="161"/>
        <v>818.98914615841193</v>
      </c>
      <c r="BA29" s="906">
        <f t="shared" si="161"/>
        <v>746.60212927464647</v>
      </c>
      <c r="BB29" s="670"/>
      <c r="BC29" s="655"/>
      <c r="BD29" s="925">
        <f t="shared" ref="BD29:BD34" si="163">E29</f>
        <v>801</v>
      </c>
      <c r="BE29" s="925">
        <f t="shared" ref="BE29:BE34" si="164">I29</f>
        <v>887</v>
      </c>
      <c r="BF29" s="925">
        <f t="shared" ref="BF29:BF34" si="165">M29</f>
        <v>581</v>
      </c>
      <c r="BG29" s="925">
        <f t="shared" ref="BG29:BG34" si="166">Q29</f>
        <v>619</v>
      </c>
      <c r="BH29" s="925">
        <f t="shared" ref="BH29:BH34" si="167">U29</f>
        <v>652</v>
      </c>
      <c r="BI29" s="925">
        <f t="shared" ref="BI29:BI34" si="168">Y29</f>
        <v>684</v>
      </c>
      <c r="BJ29" s="925">
        <f t="shared" ref="BJ29:BJ34" si="169">AC29</f>
        <v>808</v>
      </c>
      <c r="BK29" s="925">
        <f t="shared" ref="BK29:BK34" si="170">+AG29</f>
        <v>921</v>
      </c>
      <c r="BL29" s="925">
        <f t="shared" ref="BL29:BL34" si="171">+AK29</f>
        <v>872</v>
      </c>
      <c r="BM29" s="925">
        <f t="shared" si="157"/>
        <v>1019</v>
      </c>
      <c r="BN29" s="925">
        <f t="shared" si="158"/>
        <v>1045</v>
      </c>
      <c r="BO29" s="925">
        <f t="shared" si="159"/>
        <v>664.36639040294335</v>
      </c>
      <c r="BP29" s="925">
        <f t="shared" si="160"/>
        <v>746.60212927464647</v>
      </c>
      <c r="BQ29" s="666"/>
      <c r="BR29" s="1412"/>
      <c r="BS29" s="1416"/>
      <c r="BT29" s="1416"/>
    </row>
    <row r="30" spans="1:73" s="665" customFormat="1" ht="12.75" customHeight="1">
      <c r="A30" s="931" t="s">
        <v>46</v>
      </c>
      <c r="B30" s="707">
        <v>0</v>
      </c>
      <c r="C30" s="707">
        <v>0</v>
      </c>
      <c r="D30" s="707">
        <v>442</v>
      </c>
      <c r="E30" s="707">
        <v>0</v>
      </c>
      <c r="F30" s="708">
        <v>0</v>
      </c>
      <c r="G30" s="707">
        <v>0</v>
      </c>
      <c r="H30" s="707">
        <v>435</v>
      </c>
      <c r="I30" s="707">
        <v>0</v>
      </c>
      <c r="J30" s="708">
        <v>0</v>
      </c>
      <c r="K30" s="707">
        <v>0</v>
      </c>
      <c r="L30" s="707">
        <v>356</v>
      </c>
      <c r="M30" s="707">
        <v>3</v>
      </c>
      <c r="N30" s="708">
        <v>0</v>
      </c>
      <c r="O30" s="707">
        <v>0</v>
      </c>
      <c r="P30" s="707">
        <v>338</v>
      </c>
      <c r="Q30" s="707">
        <v>0</v>
      </c>
      <c r="R30" s="708">
        <v>0</v>
      </c>
      <c r="S30" s="707">
        <v>0</v>
      </c>
      <c r="T30" s="707">
        <v>325</v>
      </c>
      <c r="U30" s="707">
        <v>0</v>
      </c>
      <c r="V30" s="708">
        <v>0</v>
      </c>
      <c r="W30" s="707">
        <v>0</v>
      </c>
      <c r="X30" s="884">
        <v>218</v>
      </c>
      <c r="Y30" s="706">
        <v>0</v>
      </c>
      <c r="Z30" s="884"/>
      <c r="AA30" s="884">
        <v>0</v>
      </c>
      <c r="AB30" s="884">
        <v>198</v>
      </c>
      <c r="AC30" s="906">
        <f t="shared" ref="AC30:AG30" si="172">+Y30</f>
        <v>0</v>
      </c>
      <c r="AD30" s="907">
        <f t="shared" si="172"/>
        <v>0</v>
      </c>
      <c r="AE30" s="884">
        <f t="shared" si="172"/>
        <v>0</v>
      </c>
      <c r="AF30" s="884">
        <v>653</v>
      </c>
      <c r="AG30" s="906">
        <f t="shared" si="172"/>
        <v>0</v>
      </c>
      <c r="AH30" s="907">
        <v>133</v>
      </c>
      <c r="AI30" s="884">
        <v>1</v>
      </c>
      <c r="AJ30" s="884">
        <v>437</v>
      </c>
      <c r="AK30" s="906">
        <v>8</v>
      </c>
      <c r="AL30" s="907">
        <v>21</v>
      </c>
      <c r="AM30" s="884">
        <v>0</v>
      </c>
      <c r="AN30" s="884">
        <v>614</v>
      </c>
      <c r="AO30" s="906">
        <v>0</v>
      </c>
      <c r="AP30" s="907">
        <v>658</v>
      </c>
      <c r="AQ30" s="884">
        <v>82</v>
      </c>
      <c r="AR30" s="707">
        <f t="shared" ref="AR30:AS30" si="173">+AQ30</f>
        <v>82</v>
      </c>
      <c r="AS30" s="706">
        <f t="shared" si="173"/>
        <v>82</v>
      </c>
      <c r="AT30" s="708">
        <f t="shared" ref="AT30:AT32" si="174">+AS30</f>
        <v>82</v>
      </c>
      <c r="AU30" s="707">
        <f t="shared" ref="AU30:AU32" si="175">+AT30</f>
        <v>82</v>
      </c>
      <c r="AV30" s="707">
        <f t="shared" ref="AV30:AV32" si="176">+AU30</f>
        <v>82</v>
      </c>
      <c r="AW30" s="706">
        <f t="shared" ref="AW30:AW32" si="177">+AV30</f>
        <v>82</v>
      </c>
      <c r="AX30" s="708">
        <f t="shared" ref="AX30:AX32" si="178">+AW30</f>
        <v>82</v>
      </c>
      <c r="AY30" s="707">
        <f t="shared" ref="AY30:AY32" si="179">+AX30</f>
        <v>82</v>
      </c>
      <c r="AZ30" s="707">
        <f t="shared" ref="AZ30:AZ32" si="180">+AY30</f>
        <v>82</v>
      </c>
      <c r="BA30" s="706">
        <f t="shared" ref="BA30:BA32" si="181">+AZ30</f>
        <v>82</v>
      </c>
      <c r="BB30" s="670"/>
      <c r="BC30" s="655"/>
      <c r="BD30" s="925">
        <f t="shared" si="163"/>
        <v>0</v>
      </c>
      <c r="BE30" s="925">
        <f t="shared" si="164"/>
        <v>0</v>
      </c>
      <c r="BF30" s="925">
        <f t="shared" si="165"/>
        <v>3</v>
      </c>
      <c r="BG30" s="925">
        <f t="shared" si="166"/>
        <v>0</v>
      </c>
      <c r="BH30" s="925">
        <f t="shared" si="167"/>
        <v>0</v>
      </c>
      <c r="BI30" s="925">
        <f t="shared" si="168"/>
        <v>0</v>
      </c>
      <c r="BJ30" s="925">
        <f t="shared" si="169"/>
        <v>0</v>
      </c>
      <c r="BK30" s="925">
        <f t="shared" si="170"/>
        <v>0</v>
      </c>
      <c r="BL30" s="925">
        <f t="shared" si="171"/>
        <v>8</v>
      </c>
      <c r="BM30" s="925">
        <f t="shared" si="157"/>
        <v>0</v>
      </c>
      <c r="BN30" s="925">
        <f t="shared" si="158"/>
        <v>658</v>
      </c>
      <c r="BO30" s="925">
        <f t="shared" si="159"/>
        <v>82</v>
      </c>
      <c r="BP30" s="925">
        <f t="shared" si="160"/>
        <v>82</v>
      </c>
      <c r="BQ30" s="666"/>
      <c r="BR30" s="1412"/>
      <c r="BS30" s="1416"/>
      <c r="BT30" s="1416"/>
    </row>
    <row r="31" spans="1:73" s="665" customFormat="1" ht="12.75" hidden="1" customHeight="1" outlineLevel="1">
      <c r="A31" s="931" t="s">
        <v>148</v>
      </c>
      <c r="B31" s="707">
        <v>350</v>
      </c>
      <c r="C31" s="707">
        <v>0</v>
      </c>
      <c r="D31" s="707">
        <v>0</v>
      </c>
      <c r="E31" s="707">
        <v>0</v>
      </c>
      <c r="F31" s="708">
        <v>0</v>
      </c>
      <c r="G31" s="707">
        <v>0</v>
      </c>
      <c r="H31" s="707">
        <v>0</v>
      </c>
      <c r="I31" s="707">
        <v>0</v>
      </c>
      <c r="J31" s="708">
        <v>0</v>
      </c>
      <c r="K31" s="707">
        <v>0</v>
      </c>
      <c r="L31" s="707">
        <v>0</v>
      </c>
      <c r="M31" s="707"/>
      <c r="N31" s="708">
        <v>0</v>
      </c>
      <c r="O31" s="707">
        <v>0</v>
      </c>
      <c r="P31" s="707">
        <v>0</v>
      </c>
      <c r="Q31" s="707">
        <v>0</v>
      </c>
      <c r="R31" s="708">
        <v>0</v>
      </c>
      <c r="S31" s="707">
        <v>0</v>
      </c>
      <c r="T31" s="707">
        <v>0</v>
      </c>
      <c r="U31" s="707">
        <v>0</v>
      </c>
      <c r="V31" s="708">
        <v>0</v>
      </c>
      <c r="W31" s="707">
        <v>0</v>
      </c>
      <c r="X31" s="905">
        <f t="shared" ref="X31:AQ31" si="182">+W31</f>
        <v>0</v>
      </c>
      <c r="Y31" s="915">
        <f t="shared" si="182"/>
        <v>0</v>
      </c>
      <c r="Z31" s="905"/>
      <c r="AA31" s="884">
        <f t="shared" si="182"/>
        <v>0</v>
      </c>
      <c r="AB31" s="884">
        <v>0</v>
      </c>
      <c r="AC31" s="906">
        <f t="shared" si="182"/>
        <v>0</v>
      </c>
      <c r="AD31" s="1335">
        <f t="shared" si="182"/>
        <v>0</v>
      </c>
      <c r="AE31" s="884">
        <f t="shared" si="182"/>
        <v>0</v>
      </c>
      <c r="AF31" s="884">
        <f t="shared" si="182"/>
        <v>0</v>
      </c>
      <c r="AG31" s="906">
        <f t="shared" si="182"/>
        <v>0</v>
      </c>
      <c r="AH31" s="907">
        <f t="shared" si="182"/>
        <v>0</v>
      </c>
      <c r="AI31" s="905">
        <f t="shared" si="182"/>
        <v>0</v>
      </c>
      <c r="AJ31" s="884">
        <f t="shared" si="182"/>
        <v>0</v>
      </c>
      <c r="AK31" s="906">
        <f t="shared" si="182"/>
        <v>0</v>
      </c>
      <c r="AL31" s="1335">
        <f t="shared" si="182"/>
        <v>0</v>
      </c>
      <c r="AM31" s="884">
        <f t="shared" si="182"/>
        <v>0</v>
      </c>
      <c r="AN31" s="884">
        <v>0</v>
      </c>
      <c r="AO31" s="906">
        <f t="shared" si="182"/>
        <v>0</v>
      </c>
      <c r="AP31" s="1335">
        <f t="shared" si="182"/>
        <v>0</v>
      </c>
      <c r="AQ31" s="884">
        <f t="shared" si="182"/>
        <v>0</v>
      </c>
      <c r="AR31" s="871">
        <f t="shared" ref="AR31:AR32" si="183">+AQ31</f>
        <v>0</v>
      </c>
      <c r="AS31" s="915">
        <f t="shared" ref="AS31:AS32" si="184">+AR31</f>
        <v>0</v>
      </c>
      <c r="AT31" s="913">
        <f t="shared" si="174"/>
        <v>0</v>
      </c>
      <c r="AU31" s="871">
        <f t="shared" si="175"/>
        <v>0</v>
      </c>
      <c r="AV31" s="871">
        <f t="shared" si="176"/>
        <v>0</v>
      </c>
      <c r="AW31" s="915">
        <f t="shared" si="177"/>
        <v>0</v>
      </c>
      <c r="AX31" s="913">
        <f t="shared" si="178"/>
        <v>0</v>
      </c>
      <c r="AY31" s="871">
        <f t="shared" si="179"/>
        <v>0</v>
      </c>
      <c r="AZ31" s="871">
        <f t="shared" si="180"/>
        <v>0</v>
      </c>
      <c r="BA31" s="915">
        <f t="shared" si="181"/>
        <v>0</v>
      </c>
      <c r="BB31" s="670"/>
      <c r="BC31" s="655"/>
      <c r="BD31" s="925">
        <f t="shared" si="163"/>
        <v>0</v>
      </c>
      <c r="BE31" s="925">
        <f t="shared" si="164"/>
        <v>0</v>
      </c>
      <c r="BF31" s="925">
        <f t="shared" si="165"/>
        <v>0</v>
      </c>
      <c r="BG31" s="925">
        <f t="shared" si="166"/>
        <v>0</v>
      </c>
      <c r="BH31" s="925">
        <f t="shared" si="167"/>
        <v>0</v>
      </c>
      <c r="BI31" s="925">
        <f t="shared" si="168"/>
        <v>0</v>
      </c>
      <c r="BJ31" s="925">
        <f t="shared" si="169"/>
        <v>0</v>
      </c>
      <c r="BK31" s="925">
        <f t="shared" si="170"/>
        <v>0</v>
      </c>
      <c r="BL31" s="925">
        <f t="shared" si="171"/>
        <v>0</v>
      </c>
      <c r="BM31" s="925">
        <f t="shared" si="157"/>
        <v>0</v>
      </c>
      <c r="BN31" s="925">
        <f t="shared" si="158"/>
        <v>0</v>
      </c>
      <c r="BO31" s="925">
        <f t="shared" si="159"/>
        <v>0</v>
      </c>
      <c r="BP31" s="925">
        <f t="shared" si="160"/>
        <v>0</v>
      </c>
      <c r="BQ31" s="666"/>
      <c r="BR31" s="1412"/>
      <c r="BS31" s="1416"/>
      <c r="BT31" s="1389"/>
      <c r="BU31" s="384"/>
    </row>
    <row r="32" spans="1:73" s="665" customFormat="1" ht="12.75" customHeight="1" collapsed="1">
      <c r="A32" s="931" t="s">
        <v>45</v>
      </c>
      <c r="B32" s="707">
        <v>238</v>
      </c>
      <c r="C32" s="707">
        <v>305</v>
      </c>
      <c r="D32" s="707">
        <v>199</v>
      </c>
      <c r="E32" s="707">
        <v>161</v>
      </c>
      <c r="F32" s="708">
        <v>190</v>
      </c>
      <c r="G32" s="707">
        <v>254</v>
      </c>
      <c r="H32" s="707">
        <v>222</v>
      </c>
      <c r="I32" s="707">
        <v>178</v>
      </c>
      <c r="J32" s="708">
        <v>183</v>
      </c>
      <c r="K32" s="707">
        <v>251</v>
      </c>
      <c r="L32" s="707">
        <v>227</v>
      </c>
      <c r="M32" s="707">
        <v>195</v>
      </c>
      <c r="N32" s="708">
        <v>202</v>
      </c>
      <c r="O32" s="707">
        <v>257</v>
      </c>
      <c r="P32" s="707">
        <v>254</v>
      </c>
      <c r="Q32" s="707">
        <v>202</v>
      </c>
      <c r="R32" s="708">
        <v>267</v>
      </c>
      <c r="S32" s="707">
        <v>318</v>
      </c>
      <c r="T32" s="707">
        <v>285</v>
      </c>
      <c r="U32" s="707">
        <v>297</v>
      </c>
      <c r="V32" s="708">
        <v>280</v>
      </c>
      <c r="W32" s="707">
        <v>362</v>
      </c>
      <c r="X32" s="884">
        <v>419</v>
      </c>
      <c r="Y32" s="706">
        <v>361</v>
      </c>
      <c r="Z32" s="884">
        <v>385</v>
      </c>
      <c r="AA32" s="884">
        <v>475</v>
      </c>
      <c r="AB32" s="884">
        <v>670</v>
      </c>
      <c r="AC32" s="906">
        <v>579</v>
      </c>
      <c r="AD32" s="907">
        <v>589</v>
      </c>
      <c r="AE32" s="884">
        <v>820</v>
      </c>
      <c r="AF32" s="884">
        <v>498</v>
      </c>
      <c r="AG32" s="906">
        <f>698+448</f>
        <v>1146</v>
      </c>
      <c r="AH32" s="907">
        <v>506</v>
      </c>
      <c r="AI32" s="884">
        <v>602</v>
      </c>
      <c r="AJ32" s="884">
        <v>586</v>
      </c>
      <c r="AK32" s="906">
        <v>549</v>
      </c>
      <c r="AL32" s="907">
        <v>536</v>
      </c>
      <c r="AM32" s="884">
        <v>659</v>
      </c>
      <c r="AN32" s="884">
        <v>613</v>
      </c>
      <c r="AO32" s="906">
        <v>625</v>
      </c>
      <c r="AP32" s="907">
        <v>0</v>
      </c>
      <c r="AQ32" s="884">
        <v>810</v>
      </c>
      <c r="AR32" s="707">
        <f t="shared" si="183"/>
        <v>810</v>
      </c>
      <c r="AS32" s="706">
        <f t="shared" si="184"/>
        <v>810</v>
      </c>
      <c r="AT32" s="708">
        <f t="shared" si="174"/>
        <v>810</v>
      </c>
      <c r="AU32" s="707">
        <f t="shared" si="175"/>
        <v>810</v>
      </c>
      <c r="AV32" s="707">
        <f t="shared" si="176"/>
        <v>810</v>
      </c>
      <c r="AW32" s="706">
        <f t="shared" si="177"/>
        <v>810</v>
      </c>
      <c r="AX32" s="708">
        <f t="shared" si="178"/>
        <v>810</v>
      </c>
      <c r="AY32" s="707">
        <f t="shared" si="179"/>
        <v>810</v>
      </c>
      <c r="AZ32" s="707">
        <f t="shared" si="180"/>
        <v>810</v>
      </c>
      <c r="BA32" s="706">
        <f t="shared" si="181"/>
        <v>810</v>
      </c>
      <c r="BB32" s="670"/>
      <c r="BC32" s="655"/>
      <c r="BD32" s="925">
        <f t="shared" si="163"/>
        <v>161</v>
      </c>
      <c r="BE32" s="925">
        <f t="shared" si="164"/>
        <v>178</v>
      </c>
      <c r="BF32" s="925">
        <f t="shared" si="165"/>
        <v>195</v>
      </c>
      <c r="BG32" s="925">
        <f t="shared" si="166"/>
        <v>202</v>
      </c>
      <c r="BH32" s="925">
        <f t="shared" si="167"/>
        <v>297</v>
      </c>
      <c r="BI32" s="925">
        <f t="shared" si="168"/>
        <v>361</v>
      </c>
      <c r="BJ32" s="925">
        <f t="shared" si="169"/>
        <v>579</v>
      </c>
      <c r="BK32" s="925">
        <f t="shared" si="170"/>
        <v>1146</v>
      </c>
      <c r="BL32" s="925">
        <f t="shared" si="171"/>
        <v>549</v>
      </c>
      <c r="BM32" s="925">
        <f t="shared" si="157"/>
        <v>625</v>
      </c>
      <c r="BN32" s="925">
        <f t="shared" si="158"/>
        <v>0</v>
      </c>
      <c r="BO32" s="925">
        <f t="shared" si="159"/>
        <v>810</v>
      </c>
      <c r="BP32" s="925">
        <f t="shared" si="160"/>
        <v>810</v>
      </c>
      <c r="BQ32" s="666"/>
      <c r="BR32" s="1412"/>
      <c r="BS32" s="1416"/>
      <c r="BT32" s="1389"/>
      <c r="BU32" s="384"/>
    </row>
    <row r="33" spans="1:74" s="664" customFormat="1" ht="12.75" customHeight="1">
      <c r="A33" s="936" t="s">
        <v>117</v>
      </c>
      <c r="B33" s="725">
        <f>SUM(B26:B32)</f>
        <v>1540</v>
      </c>
      <c r="C33" s="725">
        <f t="shared" ref="C33" si="185">SUM(C26:C32)</f>
        <v>1976</v>
      </c>
      <c r="D33" s="725">
        <f t="shared" ref="D33" si="186">SUM(D26:D32)</f>
        <v>2493</v>
      </c>
      <c r="E33" s="725">
        <f t="shared" ref="E33" si="187">SUM(E26:E32)</f>
        <v>1947</v>
      </c>
      <c r="F33" s="726">
        <f t="shared" ref="F33" si="188">SUM(F26:F32)</f>
        <v>1855</v>
      </c>
      <c r="G33" s="725">
        <f t="shared" ref="G33" si="189">SUM(G26:G32)</f>
        <v>2479</v>
      </c>
      <c r="H33" s="725">
        <f t="shared" ref="H33" si="190">SUM(H26:H32)</f>
        <v>2171</v>
      </c>
      <c r="I33" s="725">
        <f t="shared" ref="I33" si="191">SUM(I26:I32)</f>
        <v>1572</v>
      </c>
      <c r="J33" s="726">
        <f t="shared" ref="J33" si="192">SUM(J26:J32)</f>
        <v>1798</v>
      </c>
      <c r="K33" s="725">
        <f t="shared" ref="K33" si="193">SUM(K26:K32)</f>
        <v>2610</v>
      </c>
      <c r="L33" s="725">
        <f t="shared" ref="L33" si="194">SUM(L26:L32)</f>
        <v>2284</v>
      </c>
      <c r="M33" s="725">
        <f t="shared" ref="M33" si="195">SUM(M26:M32)</f>
        <v>1376</v>
      </c>
      <c r="N33" s="726">
        <f t="shared" ref="N33" si="196">SUM(N26:N32)</f>
        <v>1148</v>
      </c>
      <c r="O33" s="725">
        <f t="shared" ref="O33" si="197">SUM(O26:O32)</f>
        <v>1567</v>
      </c>
      <c r="P33" s="725">
        <f t="shared" ref="P33" si="198">SUM(P26:P32)</f>
        <v>1908</v>
      </c>
      <c r="Q33" s="725">
        <f t="shared" ref="Q33" si="199">SUM(Q26:Q32)</f>
        <v>1530</v>
      </c>
      <c r="R33" s="726">
        <f t="shared" ref="R33" si="200">SUM(R26:R32)</f>
        <v>1344</v>
      </c>
      <c r="S33" s="725">
        <f t="shared" ref="S33" si="201">SUM(S26:S32)</f>
        <v>1743</v>
      </c>
      <c r="T33" s="725">
        <f t="shared" ref="T33" si="202">SUM(T26:T32)</f>
        <v>2324</v>
      </c>
      <c r="U33" s="725">
        <f t="shared" ref="U33" si="203">SUM(U26:U32)</f>
        <v>3074</v>
      </c>
      <c r="V33" s="726">
        <f t="shared" ref="V33:W33" si="204">SUM(V26:V32)</f>
        <v>1668</v>
      </c>
      <c r="W33" s="725">
        <f t="shared" si="204"/>
        <v>2251</v>
      </c>
      <c r="X33" s="1235">
        <f t="shared" ref="X33" si="205">SUM(X26:X32)</f>
        <v>2364</v>
      </c>
      <c r="Y33" s="916">
        <f t="shared" ref="Y33" si="206">SUM(Y26:Y32)</f>
        <v>2198</v>
      </c>
      <c r="Z33" s="1235">
        <f t="shared" ref="Z33" si="207">SUM(Z26:Z32)</f>
        <v>1832</v>
      </c>
      <c r="AA33" s="1235">
        <f t="shared" ref="AA33" si="208">SUM(AA26:AA32)</f>
        <v>2593</v>
      </c>
      <c r="AB33" s="1235">
        <f t="shared" ref="AB33" si="209">SUM(AB26:AB32)</f>
        <v>3052</v>
      </c>
      <c r="AC33" s="1310">
        <f t="shared" ref="AC33" si="210">SUM(AC26:AC32)</f>
        <v>3199</v>
      </c>
      <c r="AD33" s="1336">
        <f t="shared" ref="AD33" si="211">SUM(AD26:AD32)</f>
        <v>2857</v>
      </c>
      <c r="AE33" s="1235">
        <f t="shared" ref="AE33" si="212">SUM(AE26:AE32)</f>
        <v>3486</v>
      </c>
      <c r="AF33" s="1235">
        <f t="shared" ref="AF33" si="213">SUM(AF26:AF32)</f>
        <v>4027</v>
      </c>
      <c r="AG33" s="1310">
        <f t="shared" ref="AG33" si="214">SUM(AG26:AG32)</f>
        <v>3370</v>
      </c>
      <c r="AH33" s="1336">
        <f t="shared" ref="AH33" si="215">SUM(AH26:AH32)</f>
        <v>2471</v>
      </c>
      <c r="AI33" s="1235">
        <f t="shared" ref="AI33" si="216">SUM(AI26:AI32)</f>
        <v>2826</v>
      </c>
      <c r="AJ33" s="1235">
        <f t="shared" ref="AJ33" si="217">SUM(AJ26:AJ32)</f>
        <v>3441</v>
      </c>
      <c r="AK33" s="1310">
        <f t="shared" ref="AK33" si="218">SUM(AK26:AK32)</f>
        <v>3570</v>
      </c>
      <c r="AL33" s="1336">
        <f t="shared" ref="AL33" si="219">SUM(AL26:AL32)</f>
        <v>3013</v>
      </c>
      <c r="AM33" s="1235">
        <f t="shared" ref="AM33:AN33" si="220">SUM(AM26:AM32)</f>
        <v>3845</v>
      </c>
      <c r="AN33" s="1235">
        <f t="shared" si="220"/>
        <v>4433</v>
      </c>
      <c r="AO33" s="1310">
        <f t="shared" ref="AO33:AR33" si="221">SUM(AO26:AO32)</f>
        <v>3294</v>
      </c>
      <c r="AP33" s="1336">
        <f t="shared" si="221"/>
        <v>3601</v>
      </c>
      <c r="AQ33" s="1235">
        <f t="shared" ref="AQ33" si="222">SUM(AQ26:AQ32)</f>
        <v>4430</v>
      </c>
      <c r="AR33" s="725">
        <f t="shared" si="221"/>
        <v>4234.7759443384057</v>
      </c>
      <c r="AS33" s="916">
        <f t="shared" ref="AS33:AV33" si="223">SUM(AS26:AS32)</f>
        <v>4195.5403515857479</v>
      </c>
      <c r="AT33" s="726">
        <f t="shared" si="223"/>
        <v>4268.1280604890608</v>
      </c>
      <c r="AU33" s="725">
        <f t="shared" si="223"/>
        <v>4978.99221026747</v>
      </c>
      <c r="AV33" s="725">
        <f t="shared" si="223"/>
        <v>4669.7811553093543</v>
      </c>
      <c r="AW33" s="916">
        <f t="shared" ref="AW33:AZ33" si="224">SUM(AW26:AW32)</f>
        <v>4206.8634163861743</v>
      </c>
      <c r="AX33" s="726">
        <f t="shared" si="224"/>
        <v>4601.8531660192284</v>
      </c>
      <c r="AY33" s="725">
        <f t="shared" si="224"/>
        <v>5433.4459138126094</v>
      </c>
      <c r="AZ33" s="725">
        <f t="shared" si="224"/>
        <v>4973.8865755775969</v>
      </c>
      <c r="BA33" s="916">
        <f t="shared" ref="BA33" si="225">SUM(BA26:BA32)</f>
        <v>4524.4677939381645</v>
      </c>
      <c r="BB33" s="673"/>
      <c r="BC33" s="715"/>
      <c r="BD33" s="925">
        <f t="shared" si="163"/>
        <v>1947</v>
      </c>
      <c r="BE33" s="925">
        <f t="shared" si="164"/>
        <v>1572</v>
      </c>
      <c r="BF33" s="925">
        <f t="shared" si="165"/>
        <v>1376</v>
      </c>
      <c r="BG33" s="925">
        <f t="shared" si="166"/>
        <v>1530</v>
      </c>
      <c r="BH33" s="925">
        <f t="shared" si="167"/>
        <v>3074</v>
      </c>
      <c r="BI33" s="925">
        <f t="shared" si="168"/>
        <v>2198</v>
      </c>
      <c r="BJ33" s="925">
        <f t="shared" si="169"/>
        <v>3199</v>
      </c>
      <c r="BK33" s="925">
        <f t="shared" si="170"/>
        <v>3370</v>
      </c>
      <c r="BL33" s="925">
        <f t="shared" si="171"/>
        <v>3570</v>
      </c>
      <c r="BM33" s="925">
        <f t="shared" si="157"/>
        <v>3294</v>
      </c>
      <c r="BN33" s="925">
        <f t="shared" si="158"/>
        <v>3601</v>
      </c>
      <c r="BO33" s="925">
        <f t="shared" si="159"/>
        <v>4206.8634163861743</v>
      </c>
      <c r="BP33" s="925">
        <f t="shared" si="160"/>
        <v>4524.4677939381645</v>
      </c>
      <c r="BQ33" s="663"/>
      <c r="BR33" s="1412"/>
      <c r="BS33" s="1415"/>
      <c r="BT33" s="1419"/>
      <c r="BU33" s="667"/>
    </row>
    <row r="34" spans="1:74" s="665" customFormat="1" ht="12.75" customHeight="1">
      <c r="A34" s="931" t="s">
        <v>116</v>
      </c>
      <c r="B34" s="707">
        <v>347</v>
      </c>
      <c r="C34" s="707">
        <v>373</v>
      </c>
      <c r="D34" s="707">
        <v>372</v>
      </c>
      <c r="E34" s="707">
        <v>304</v>
      </c>
      <c r="F34" s="708">
        <v>326</v>
      </c>
      <c r="G34" s="707">
        <v>324</v>
      </c>
      <c r="H34" s="707">
        <v>323</v>
      </c>
      <c r="I34" s="707">
        <v>372</v>
      </c>
      <c r="J34" s="708">
        <v>319</v>
      </c>
      <c r="K34" s="707">
        <v>422</v>
      </c>
      <c r="L34" s="707">
        <v>419</v>
      </c>
      <c r="M34" s="707">
        <v>367</v>
      </c>
      <c r="N34" s="708">
        <v>438</v>
      </c>
      <c r="O34" s="707">
        <v>434</v>
      </c>
      <c r="P34" s="707">
        <v>383</v>
      </c>
      <c r="Q34" s="707">
        <v>436</v>
      </c>
      <c r="R34" s="708">
        <v>413</v>
      </c>
      <c r="S34" s="707">
        <v>461</v>
      </c>
      <c r="T34" s="707">
        <v>389</v>
      </c>
      <c r="U34" s="707">
        <v>455</v>
      </c>
      <c r="V34" s="708">
        <v>484</v>
      </c>
      <c r="W34" s="707">
        <v>426</v>
      </c>
      <c r="X34" s="884">
        <v>348</v>
      </c>
      <c r="Y34" s="706">
        <v>457</v>
      </c>
      <c r="Z34" s="884">
        <v>306</v>
      </c>
      <c r="AA34" s="884">
        <v>375</v>
      </c>
      <c r="AB34" s="884">
        <f t="shared" ref="AB34:AO34" si="226">+AB14</f>
        <v>539</v>
      </c>
      <c r="AC34" s="906">
        <f t="shared" si="226"/>
        <v>431</v>
      </c>
      <c r="AD34" s="907">
        <f t="shared" si="226"/>
        <v>468</v>
      </c>
      <c r="AE34" s="884">
        <v>376</v>
      </c>
      <c r="AF34" s="884">
        <f t="shared" si="226"/>
        <v>388</v>
      </c>
      <c r="AG34" s="906">
        <f t="shared" si="226"/>
        <v>420</v>
      </c>
      <c r="AH34" s="907">
        <f t="shared" si="226"/>
        <v>2525</v>
      </c>
      <c r="AI34" s="884">
        <f t="shared" si="226"/>
        <v>3390</v>
      </c>
      <c r="AJ34" s="884">
        <f t="shared" si="226"/>
        <v>2722</v>
      </c>
      <c r="AK34" s="906">
        <f t="shared" si="226"/>
        <v>3921</v>
      </c>
      <c r="AL34" s="907">
        <f t="shared" si="226"/>
        <v>5606</v>
      </c>
      <c r="AM34" s="884">
        <f t="shared" si="226"/>
        <v>3334</v>
      </c>
      <c r="AN34" s="884">
        <f t="shared" ref="AN34" si="227">+AN14</f>
        <v>5221</v>
      </c>
      <c r="AO34" s="906">
        <f t="shared" si="226"/>
        <v>7076</v>
      </c>
      <c r="AP34" s="907">
        <f t="shared" ref="AP34:AQ34" si="228">+AP14</f>
        <v>3918</v>
      </c>
      <c r="AQ34" s="884">
        <f t="shared" si="228"/>
        <v>4414</v>
      </c>
      <c r="AR34" s="707">
        <f t="shared" ref="AR34:AS34" si="229">+AR14</f>
        <v>5715.6079404178481</v>
      </c>
      <c r="AS34" s="706">
        <f t="shared" si="229"/>
        <v>7854.7617306186366</v>
      </c>
      <c r="AT34" s="708">
        <f t="shared" ref="AT34:AW34" si="230">+AT14</f>
        <v>4454.8214671814676</v>
      </c>
      <c r="AU34" s="707">
        <f t="shared" si="230"/>
        <v>5031.1581633517881</v>
      </c>
      <c r="AV34" s="707">
        <f t="shared" si="230"/>
        <v>6264.168282312683</v>
      </c>
      <c r="AW34" s="706">
        <f t="shared" si="230"/>
        <v>8765.0680137435702</v>
      </c>
      <c r="AX34" s="708">
        <f t="shared" ref="AX34:BA34" si="231">+AX14</f>
        <v>5020.7191813478776</v>
      </c>
      <c r="AY34" s="707">
        <f t="shared" si="231"/>
        <v>5716.1293425605527</v>
      </c>
      <c r="AZ34" s="707">
        <f t="shared" si="231"/>
        <v>6893.1234396651216</v>
      </c>
      <c r="BA34" s="706">
        <f t="shared" si="231"/>
        <v>9850.0142945657553</v>
      </c>
      <c r="BB34" s="670"/>
      <c r="BC34" s="655"/>
      <c r="BD34" s="925">
        <f t="shared" si="163"/>
        <v>304</v>
      </c>
      <c r="BE34" s="925">
        <f t="shared" si="164"/>
        <v>372</v>
      </c>
      <c r="BF34" s="925">
        <f t="shared" si="165"/>
        <v>367</v>
      </c>
      <c r="BG34" s="925">
        <f t="shared" si="166"/>
        <v>436</v>
      </c>
      <c r="BH34" s="925">
        <f t="shared" si="167"/>
        <v>455</v>
      </c>
      <c r="BI34" s="925">
        <f t="shared" si="168"/>
        <v>457</v>
      </c>
      <c r="BJ34" s="925">
        <f t="shared" si="169"/>
        <v>431</v>
      </c>
      <c r="BK34" s="925">
        <f t="shared" si="170"/>
        <v>420</v>
      </c>
      <c r="BL34" s="925">
        <f t="shared" si="171"/>
        <v>3921</v>
      </c>
      <c r="BM34" s="925">
        <f t="shared" si="157"/>
        <v>7076</v>
      </c>
      <c r="BN34" s="925">
        <f t="shared" si="158"/>
        <v>3918</v>
      </c>
      <c r="BO34" s="925">
        <f t="shared" si="159"/>
        <v>8765.0680137435702</v>
      </c>
      <c r="BP34" s="925">
        <f t="shared" si="160"/>
        <v>9850.0142945657553</v>
      </c>
      <c r="BQ34" s="666"/>
      <c r="BR34" s="1412"/>
      <c r="BS34" s="1416"/>
      <c r="BT34" s="1389"/>
      <c r="BU34" s="384"/>
    </row>
    <row r="35" spans="1:74" s="667" customFormat="1" ht="12" customHeight="1">
      <c r="A35" s="936" t="s">
        <v>8</v>
      </c>
      <c r="B35" s="719">
        <f>+SUM(B33:B34)</f>
        <v>1887</v>
      </c>
      <c r="C35" s="719">
        <f t="shared" ref="C35:AO35" si="232">+SUM(C33:C34)</f>
        <v>2349</v>
      </c>
      <c r="D35" s="719">
        <f t="shared" si="232"/>
        <v>2865</v>
      </c>
      <c r="E35" s="720">
        <f t="shared" si="232"/>
        <v>2251</v>
      </c>
      <c r="F35" s="721">
        <f t="shared" si="232"/>
        <v>2181</v>
      </c>
      <c r="G35" s="719">
        <f t="shared" si="232"/>
        <v>2803</v>
      </c>
      <c r="H35" s="719">
        <f t="shared" si="232"/>
        <v>2494</v>
      </c>
      <c r="I35" s="720">
        <f t="shared" si="232"/>
        <v>1944</v>
      </c>
      <c r="J35" s="721">
        <f t="shared" si="232"/>
        <v>2117</v>
      </c>
      <c r="K35" s="719">
        <f t="shared" si="232"/>
        <v>3032</v>
      </c>
      <c r="L35" s="719">
        <f t="shared" si="232"/>
        <v>2703</v>
      </c>
      <c r="M35" s="720">
        <f t="shared" si="232"/>
        <v>1743</v>
      </c>
      <c r="N35" s="721">
        <f t="shared" si="232"/>
        <v>1586</v>
      </c>
      <c r="O35" s="719">
        <f t="shared" si="232"/>
        <v>2001</v>
      </c>
      <c r="P35" s="719">
        <f t="shared" si="232"/>
        <v>2291</v>
      </c>
      <c r="Q35" s="720">
        <f t="shared" si="232"/>
        <v>1966</v>
      </c>
      <c r="R35" s="721">
        <f t="shared" si="232"/>
        <v>1757</v>
      </c>
      <c r="S35" s="719">
        <f t="shared" si="232"/>
        <v>2204</v>
      </c>
      <c r="T35" s="719">
        <f t="shared" si="232"/>
        <v>2713</v>
      </c>
      <c r="U35" s="719">
        <f t="shared" si="232"/>
        <v>3529</v>
      </c>
      <c r="V35" s="721">
        <f>+SUM(V33:V34)</f>
        <v>2152</v>
      </c>
      <c r="W35" s="719">
        <f t="shared" ref="W35" si="233">+SUM(W33:W34)</f>
        <v>2677</v>
      </c>
      <c r="X35" s="887">
        <f t="shared" si="232"/>
        <v>2712</v>
      </c>
      <c r="Y35" s="720">
        <f t="shared" si="232"/>
        <v>2655</v>
      </c>
      <c r="Z35" s="887">
        <f t="shared" si="232"/>
        <v>2138</v>
      </c>
      <c r="AA35" s="887">
        <f t="shared" si="232"/>
        <v>2968</v>
      </c>
      <c r="AB35" s="887">
        <f t="shared" si="232"/>
        <v>3591</v>
      </c>
      <c r="AC35" s="1312">
        <f t="shared" si="232"/>
        <v>3630</v>
      </c>
      <c r="AD35" s="1337">
        <f t="shared" si="232"/>
        <v>3325</v>
      </c>
      <c r="AE35" s="887">
        <f t="shared" si="232"/>
        <v>3862</v>
      </c>
      <c r="AF35" s="887">
        <f t="shared" si="232"/>
        <v>4415</v>
      </c>
      <c r="AG35" s="1312">
        <f t="shared" si="232"/>
        <v>3790</v>
      </c>
      <c r="AH35" s="1337">
        <f t="shared" si="232"/>
        <v>4996</v>
      </c>
      <c r="AI35" s="887">
        <f t="shared" si="232"/>
        <v>6216</v>
      </c>
      <c r="AJ35" s="887">
        <f t="shared" si="232"/>
        <v>6163</v>
      </c>
      <c r="AK35" s="720">
        <f t="shared" si="232"/>
        <v>7491</v>
      </c>
      <c r="AL35" s="1337">
        <f t="shared" si="232"/>
        <v>8619</v>
      </c>
      <c r="AM35" s="887">
        <f t="shared" si="232"/>
        <v>7179</v>
      </c>
      <c r="AN35" s="887">
        <f t="shared" ref="AN35" si="234">+SUM(AN33:AN34)</f>
        <v>9654</v>
      </c>
      <c r="AO35" s="720">
        <f t="shared" si="232"/>
        <v>10370</v>
      </c>
      <c r="AP35" s="1337">
        <f t="shared" ref="AP35" si="235">+SUM(AP33:AP34)</f>
        <v>7519</v>
      </c>
      <c r="AQ35" s="887">
        <f t="shared" ref="AQ35" si="236">+SUM(AQ33:AQ34)</f>
        <v>8844</v>
      </c>
      <c r="AR35" s="719">
        <f t="shared" ref="AR35:AS35" si="237">+SUM(AR33:AR34)</f>
        <v>9950.3838847562547</v>
      </c>
      <c r="AS35" s="720">
        <f t="shared" si="237"/>
        <v>12050.302082204384</v>
      </c>
      <c r="AT35" s="721">
        <f t="shared" ref="AT35:AW35" si="238">+SUM(AT33:AT34)</f>
        <v>8722.9495276705275</v>
      </c>
      <c r="AU35" s="719">
        <f t="shared" si="238"/>
        <v>10010.150373619257</v>
      </c>
      <c r="AV35" s="719">
        <f t="shared" si="238"/>
        <v>10933.949437622037</v>
      </c>
      <c r="AW35" s="720">
        <f t="shared" si="238"/>
        <v>12971.931430129745</v>
      </c>
      <c r="AX35" s="721">
        <f t="shared" ref="AX35:BA35" si="239">+SUM(AX33:AX34)</f>
        <v>9622.572347367106</v>
      </c>
      <c r="AY35" s="719">
        <f t="shared" si="239"/>
        <v>11149.575256373162</v>
      </c>
      <c r="AZ35" s="719">
        <f t="shared" si="239"/>
        <v>11867.010015242719</v>
      </c>
      <c r="BA35" s="720">
        <f t="shared" si="239"/>
        <v>14374.482088503919</v>
      </c>
      <c r="BB35" s="673"/>
      <c r="BC35" s="662"/>
      <c r="BD35" s="926">
        <f t="shared" si="148"/>
        <v>2251</v>
      </c>
      <c r="BE35" s="926">
        <f t="shared" si="149"/>
        <v>1944</v>
      </c>
      <c r="BF35" s="926">
        <f t="shared" si="150"/>
        <v>1743</v>
      </c>
      <c r="BG35" s="926">
        <f t="shared" si="151"/>
        <v>1966</v>
      </c>
      <c r="BH35" s="926">
        <f t="shared" si="152"/>
        <v>3529</v>
      </c>
      <c r="BI35" s="926">
        <f t="shared" si="153"/>
        <v>2655</v>
      </c>
      <c r="BJ35" s="926">
        <f t="shared" si="154"/>
        <v>3630</v>
      </c>
      <c r="BK35" s="926">
        <f t="shared" si="155"/>
        <v>3790</v>
      </c>
      <c r="BL35" s="926">
        <f t="shared" si="156"/>
        <v>7491</v>
      </c>
      <c r="BM35" s="926">
        <f t="shared" si="157"/>
        <v>10370</v>
      </c>
      <c r="BN35" s="926">
        <f t="shared" si="158"/>
        <v>7519</v>
      </c>
      <c r="BO35" s="926">
        <f t="shared" si="159"/>
        <v>12971.931430129745</v>
      </c>
      <c r="BP35" s="926">
        <f t="shared" si="160"/>
        <v>14374.482088503919</v>
      </c>
      <c r="BQ35" s="663"/>
      <c r="BR35" s="1412"/>
      <c r="BS35" s="1419"/>
      <c r="BT35" s="1419"/>
    </row>
    <row r="36" spans="1:74" s="665" customFormat="1" ht="12" customHeight="1">
      <c r="A36" s="931"/>
      <c r="B36" s="707"/>
      <c r="C36" s="707"/>
      <c r="D36" s="707"/>
      <c r="E36" s="706"/>
      <c r="F36" s="708"/>
      <c r="G36" s="707"/>
      <c r="H36" s="707"/>
      <c r="I36" s="706"/>
      <c r="J36" s="708"/>
      <c r="K36" s="707"/>
      <c r="L36" s="707"/>
      <c r="M36" s="706"/>
      <c r="N36" s="708"/>
      <c r="O36" s="707"/>
      <c r="P36" s="707"/>
      <c r="Q36" s="706"/>
      <c r="R36" s="708"/>
      <c r="S36" s="707"/>
      <c r="T36" s="707"/>
      <c r="U36" s="707"/>
      <c r="V36" s="708"/>
      <c r="W36" s="707"/>
      <c r="X36" s="884"/>
      <c r="Y36" s="706"/>
      <c r="Z36" s="907"/>
      <c r="AA36" s="707"/>
      <c r="AB36" s="707"/>
      <c r="AC36" s="706"/>
      <c r="AD36" s="708"/>
      <c r="AE36" s="707"/>
      <c r="AF36" s="707"/>
      <c r="AG36" s="706"/>
      <c r="AH36" s="907"/>
      <c r="AI36" s="707"/>
      <c r="AJ36" s="707"/>
      <c r="AK36" s="706"/>
      <c r="AL36" s="708"/>
      <c r="AM36" s="707"/>
      <c r="AN36" s="707"/>
      <c r="AO36" s="706"/>
      <c r="AP36" s="708"/>
      <c r="AQ36" s="707"/>
      <c r="AR36" s="707"/>
      <c r="AS36" s="706"/>
      <c r="AT36" s="708"/>
      <c r="AU36" s="707"/>
      <c r="AV36" s="707"/>
      <c r="AW36" s="706"/>
      <c r="AX36" s="708"/>
      <c r="AY36" s="707"/>
      <c r="AZ36" s="707"/>
      <c r="BA36" s="706"/>
      <c r="BB36" s="670"/>
      <c r="BC36" s="656"/>
      <c r="BD36" s="925"/>
      <c r="BE36" s="925"/>
      <c r="BF36" s="925"/>
      <c r="BG36" s="925"/>
      <c r="BH36" s="925"/>
      <c r="BI36" s="925"/>
      <c r="BJ36" s="925"/>
      <c r="BK36" s="925"/>
      <c r="BL36" s="925"/>
      <c r="BM36" s="925"/>
      <c r="BN36" s="925"/>
      <c r="BO36" s="925"/>
      <c r="BP36" s="925"/>
      <c r="BQ36" s="666"/>
      <c r="BR36" s="1420"/>
      <c r="BS36" s="1416"/>
      <c r="BT36" s="1416"/>
    </row>
    <row r="37" spans="1:74" ht="12" customHeight="1">
      <c r="A37" s="936" t="s">
        <v>328</v>
      </c>
      <c r="B37" s="707"/>
      <c r="C37" s="707"/>
      <c r="D37" s="707"/>
      <c r="E37" s="706"/>
      <c r="F37" s="708"/>
      <c r="G37" s="707"/>
      <c r="H37" s="707"/>
      <c r="I37" s="706"/>
      <c r="J37" s="708"/>
      <c r="K37" s="707"/>
      <c r="L37" s="707"/>
      <c r="M37" s="706"/>
      <c r="N37" s="708"/>
      <c r="O37" s="707"/>
      <c r="P37" s="707"/>
      <c r="Q37" s="706"/>
      <c r="R37" s="708"/>
      <c r="S37" s="707"/>
      <c r="T37" s="707"/>
      <c r="U37" s="707"/>
      <c r="V37" s="708"/>
      <c r="W37" s="707"/>
      <c r="X37" s="884"/>
      <c r="Y37" s="706"/>
      <c r="Z37" s="907"/>
      <c r="AA37" s="707"/>
      <c r="AB37" s="707"/>
      <c r="AC37" s="706"/>
      <c r="AD37" s="708"/>
      <c r="AE37" s="707"/>
      <c r="AF37" s="707"/>
      <c r="AG37" s="706"/>
      <c r="AH37" s="907"/>
      <c r="AI37" s="707"/>
      <c r="AJ37" s="707"/>
      <c r="AK37" s="706"/>
      <c r="AL37" s="708"/>
      <c r="AM37" s="707"/>
      <c r="AN37" s="707"/>
      <c r="AO37" s="706"/>
      <c r="AP37" s="708"/>
      <c r="AQ37" s="707"/>
      <c r="AR37" s="707"/>
      <c r="AS37" s="706"/>
      <c r="AT37" s="708"/>
      <c r="AU37" s="707"/>
      <c r="AV37" s="707"/>
      <c r="AW37" s="706"/>
      <c r="AX37" s="708"/>
      <c r="AY37" s="707"/>
      <c r="AZ37" s="707"/>
      <c r="BA37" s="706"/>
      <c r="BB37" s="670"/>
      <c r="BC37" s="656"/>
      <c r="BD37" s="925"/>
      <c r="BE37" s="925"/>
      <c r="BF37" s="925"/>
      <c r="BG37" s="925"/>
      <c r="BH37" s="925"/>
      <c r="BI37" s="925"/>
      <c r="BJ37" s="925"/>
      <c r="BK37" s="925"/>
      <c r="BL37" s="925"/>
      <c r="BM37" s="925"/>
      <c r="BN37" s="925"/>
      <c r="BO37" s="925"/>
      <c r="BP37" s="925"/>
      <c r="BQ37" s="666"/>
      <c r="BR37" s="1410"/>
    </row>
    <row r="38" spans="1:74" ht="12.75" customHeight="1">
      <c r="A38" s="6" t="s">
        <v>6</v>
      </c>
      <c r="B38" s="707">
        <v>500</v>
      </c>
      <c r="C38" s="707">
        <v>1000</v>
      </c>
      <c r="D38" s="707">
        <v>500</v>
      </c>
      <c r="E38" s="707">
        <v>488</v>
      </c>
      <c r="F38" s="708">
        <v>475</v>
      </c>
      <c r="G38" s="707">
        <v>463</v>
      </c>
      <c r="H38" s="707">
        <v>450</v>
      </c>
      <c r="I38" s="707">
        <v>438</v>
      </c>
      <c r="J38" s="708">
        <v>425</v>
      </c>
      <c r="K38" s="707">
        <v>413</v>
      </c>
      <c r="L38" s="707">
        <v>400</v>
      </c>
      <c r="M38" s="707">
        <v>388</v>
      </c>
      <c r="N38" s="708">
        <v>375</v>
      </c>
      <c r="O38" s="707">
        <v>363</v>
      </c>
      <c r="P38" s="707">
        <v>398</v>
      </c>
      <c r="Q38" s="707">
        <v>386</v>
      </c>
      <c r="R38" s="708">
        <v>373</v>
      </c>
      <c r="S38" s="707">
        <v>373</v>
      </c>
      <c r="T38" s="707">
        <v>48</v>
      </c>
      <c r="U38" s="707">
        <v>2031</v>
      </c>
      <c r="V38" s="708">
        <v>2032</v>
      </c>
      <c r="W38" s="707">
        <v>2033</v>
      </c>
      <c r="X38" s="884">
        <v>2033</v>
      </c>
      <c r="Y38" s="706">
        <v>2034</v>
      </c>
      <c r="Z38" s="907">
        <v>2037</v>
      </c>
      <c r="AA38" s="884">
        <v>6732</v>
      </c>
      <c r="AB38" s="884">
        <v>6853</v>
      </c>
      <c r="AC38" s="906">
        <v>6415</v>
      </c>
      <c r="AD38" s="907">
        <v>6486</v>
      </c>
      <c r="AE38" s="884">
        <v>6576</v>
      </c>
      <c r="AF38" s="884">
        <v>6109</v>
      </c>
      <c r="AG38" s="906">
        <v>6120</v>
      </c>
      <c r="AH38" s="907">
        <v>5879</v>
      </c>
      <c r="AI38" s="884">
        <v>5950</v>
      </c>
      <c r="AJ38" s="884">
        <v>5952</v>
      </c>
      <c r="AK38" s="906">
        <v>5539</v>
      </c>
      <c r="AL38" s="907">
        <v>5625</v>
      </c>
      <c r="AM38" s="884">
        <v>5760</v>
      </c>
      <c r="AN38" s="884">
        <v>5906</v>
      </c>
      <c r="AO38" s="906">
        <v>5973</v>
      </c>
      <c r="AP38" s="907">
        <v>5391</v>
      </c>
      <c r="AQ38" s="884">
        <v>5411</v>
      </c>
      <c r="AR38" s="707">
        <f t="shared" ref="AR38:AR41" si="240">+AQ38</f>
        <v>5411</v>
      </c>
      <c r="AS38" s="706">
        <f t="shared" ref="AS38:AS41" si="241">+AR38</f>
        <v>5411</v>
      </c>
      <c r="AT38" s="708">
        <f t="shared" ref="AT38:AT41" si="242">+AS38</f>
        <v>5411</v>
      </c>
      <c r="AU38" s="707">
        <f t="shared" ref="AU38:AU41" si="243">+AT38</f>
        <v>5411</v>
      </c>
      <c r="AV38" s="707">
        <f t="shared" ref="AV38:AV41" si="244">+AU38</f>
        <v>5411</v>
      </c>
      <c r="AW38" s="706">
        <f t="shared" ref="AW38:AW41" si="245">+AV38</f>
        <v>5411</v>
      </c>
      <c r="AX38" s="708">
        <f t="shared" ref="AX38:AX41" si="246">+AW38</f>
        <v>5411</v>
      </c>
      <c r="AY38" s="707">
        <f t="shared" ref="AY38:AY41" si="247">+AX38</f>
        <v>5411</v>
      </c>
      <c r="AZ38" s="707">
        <f t="shared" ref="AZ38:AZ41" si="248">+AY38</f>
        <v>5411</v>
      </c>
      <c r="BA38" s="706">
        <f t="shared" ref="BA38:BA41" si="249">+AZ38</f>
        <v>5411</v>
      </c>
      <c r="BB38" s="670"/>
      <c r="BC38" s="655"/>
      <c r="BD38" s="925">
        <f t="shared" ref="BD38:BD41" si="250">E38</f>
        <v>488</v>
      </c>
      <c r="BE38" s="925">
        <f t="shared" ref="BE38:BE42" si="251">I38</f>
        <v>438</v>
      </c>
      <c r="BF38" s="925">
        <f t="shared" ref="BF38:BF42" si="252">M38</f>
        <v>388</v>
      </c>
      <c r="BG38" s="925">
        <f t="shared" ref="BG38:BG42" si="253">Q38</f>
        <v>386</v>
      </c>
      <c r="BH38" s="925">
        <f t="shared" ref="BH38:BH42" si="254">U38</f>
        <v>2031</v>
      </c>
      <c r="BI38" s="925">
        <f t="shared" ref="BI38:BI42" si="255">Y38</f>
        <v>2034</v>
      </c>
      <c r="BJ38" s="925">
        <f t="shared" ref="BJ38:BJ42" si="256">AC38</f>
        <v>6415</v>
      </c>
      <c r="BK38" s="925">
        <f t="shared" ref="BK38:BK42" si="257">+AG38</f>
        <v>6120</v>
      </c>
      <c r="BL38" s="925">
        <f t="shared" ref="BL38:BL42" si="258">+AK38</f>
        <v>5539</v>
      </c>
      <c r="BM38" s="925">
        <f t="shared" ref="BM38:BN42" si="259">+AO38</f>
        <v>5973</v>
      </c>
      <c r="BN38" s="925">
        <f t="shared" si="259"/>
        <v>5391</v>
      </c>
      <c r="BO38" s="925">
        <f>+AW38</f>
        <v>5411</v>
      </c>
      <c r="BP38" s="925">
        <f>+BA38</f>
        <v>5411</v>
      </c>
      <c r="BQ38" s="666"/>
      <c r="BR38" s="1412"/>
    </row>
    <row r="39" spans="1:74" ht="12.75" customHeight="1">
      <c r="A39" s="6" t="s">
        <v>120</v>
      </c>
      <c r="B39" s="707">
        <v>0</v>
      </c>
      <c r="C39" s="707">
        <v>0</v>
      </c>
      <c r="D39" s="707">
        <v>0</v>
      </c>
      <c r="E39" s="707">
        <v>0</v>
      </c>
      <c r="F39" s="708">
        <v>0</v>
      </c>
      <c r="G39" s="707">
        <v>0</v>
      </c>
      <c r="H39" s="707">
        <v>0</v>
      </c>
      <c r="I39" s="707">
        <v>0</v>
      </c>
      <c r="J39" s="708">
        <v>0</v>
      </c>
      <c r="K39" s="707">
        <v>0</v>
      </c>
      <c r="L39" s="707">
        <v>0</v>
      </c>
      <c r="M39" s="707">
        <v>68</v>
      </c>
      <c r="N39" s="708">
        <v>65</v>
      </c>
      <c r="O39" s="707">
        <v>51</v>
      </c>
      <c r="P39" s="707">
        <v>13</v>
      </c>
      <c r="Q39" s="707">
        <v>37</v>
      </c>
      <c r="R39" s="708">
        <v>68</v>
      </c>
      <c r="S39" s="707">
        <v>55</v>
      </c>
      <c r="T39" s="707">
        <v>22</v>
      </c>
      <c r="U39" s="707">
        <v>2</v>
      </c>
      <c r="V39" s="708">
        <v>0</v>
      </c>
      <c r="W39" s="707">
        <v>580</v>
      </c>
      <c r="X39" s="884">
        <v>637</v>
      </c>
      <c r="Y39" s="706">
        <v>525</v>
      </c>
      <c r="Z39" s="907">
        <v>508</v>
      </c>
      <c r="AA39" s="884">
        <v>506</v>
      </c>
      <c r="AB39" s="884">
        <v>608</v>
      </c>
      <c r="AC39" s="906">
        <v>619</v>
      </c>
      <c r="AD39" s="907">
        <v>588</v>
      </c>
      <c r="AE39" s="884">
        <v>320</v>
      </c>
      <c r="AF39" s="884">
        <v>190</v>
      </c>
      <c r="AG39" s="906">
        <v>4</v>
      </c>
      <c r="AH39" s="907">
        <v>3</v>
      </c>
      <c r="AI39" s="884">
        <v>3</v>
      </c>
      <c r="AJ39" s="884">
        <v>3</v>
      </c>
      <c r="AK39" s="906">
        <v>0</v>
      </c>
      <c r="AL39" s="907">
        <v>0</v>
      </c>
      <c r="AM39" s="884">
        <f t="shared" ref="AM39" si="260">+AL39</f>
        <v>0</v>
      </c>
      <c r="AN39" s="884">
        <v>0</v>
      </c>
      <c r="AO39" s="906">
        <v>0</v>
      </c>
      <c r="AP39" s="907">
        <v>0</v>
      </c>
      <c r="AQ39" s="884">
        <v>0</v>
      </c>
      <c r="AR39" s="707">
        <f t="shared" si="240"/>
        <v>0</v>
      </c>
      <c r="AS39" s="706">
        <f t="shared" si="241"/>
        <v>0</v>
      </c>
      <c r="AT39" s="708">
        <f t="shared" si="242"/>
        <v>0</v>
      </c>
      <c r="AU39" s="707">
        <f t="shared" si="243"/>
        <v>0</v>
      </c>
      <c r="AV39" s="707">
        <f t="shared" si="244"/>
        <v>0</v>
      </c>
      <c r="AW39" s="706">
        <f t="shared" si="245"/>
        <v>0</v>
      </c>
      <c r="AX39" s="708">
        <f t="shared" si="246"/>
        <v>0</v>
      </c>
      <c r="AY39" s="707">
        <f t="shared" si="247"/>
        <v>0</v>
      </c>
      <c r="AZ39" s="707">
        <f t="shared" si="248"/>
        <v>0</v>
      </c>
      <c r="BA39" s="706">
        <f t="shared" si="249"/>
        <v>0</v>
      </c>
      <c r="BB39" s="670"/>
      <c r="BC39" s="655"/>
      <c r="BD39" s="925">
        <f t="shared" si="250"/>
        <v>0</v>
      </c>
      <c r="BE39" s="925">
        <f t="shared" si="251"/>
        <v>0</v>
      </c>
      <c r="BF39" s="925">
        <f t="shared" si="252"/>
        <v>68</v>
      </c>
      <c r="BG39" s="925">
        <f t="shared" si="253"/>
        <v>37</v>
      </c>
      <c r="BH39" s="925">
        <f t="shared" si="254"/>
        <v>2</v>
      </c>
      <c r="BI39" s="925">
        <f t="shared" si="255"/>
        <v>525</v>
      </c>
      <c r="BJ39" s="925">
        <f t="shared" si="256"/>
        <v>619</v>
      </c>
      <c r="BK39" s="925">
        <f t="shared" si="257"/>
        <v>4</v>
      </c>
      <c r="BL39" s="925">
        <f t="shared" si="258"/>
        <v>0</v>
      </c>
      <c r="BM39" s="925">
        <f t="shared" si="259"/>
        <v>0</v>
      </c>
      <c r="BN39" s="925">
        <f t="shared" si="259"/>
        <v>0</v>
      </c>
      <c r="BO39" s="925">
        <f>+AW39</f>
        <v>0</v>
      </c>
      <c r="BP39" s="925">
        <f>+BA39</f>
        <v>0</v>
      </c>
      <c r="BQ39" s="666"/>
      <c r="BR39" s="1412"/>
    </row>
    <row r="40" spans="1:74" ht="12.75" customHeight="1">
      <c r="A40" s="6" t="s">
        <v>96</v>
      </c>
      <c r="B40" s="707">
        <v>0</v>
      </c>
      <c r="C40" s="707">
        <v>0</v>
      </c>
      <c r="D40" s="707">
        <v>0</v>
      </c>
      <c r="E40" s="707">
        <v>0</v>
      </c>
      <c r="F40" s="708">
        <v>0</v>
      </c>
      <c r="G40" s="707">
        <v>0</v>
      </c>
      <c r="H40" s="707">
        <v>0</v>
      </c>
      <c r="I40" s="707">
        <v>0</v>
      </c>
      <c r="J40" s="708">
        <v>0</v>
      </c>
      <c r="K40" s="707">
        <v>0</v>
      </c>
      <c r="L40" s="707">
        <v>0</v>
      </c>
      <c r="M40" s="707">
        <v>0</v>
      </c>
      <c r="N40" s="708">
        <v>0</v>
      </c>
      <c r="O40" s="707">
        <v>0</v>
      </c>
      <c r="P40" s="707">
        <v>0</v>
      </c>
      <c r="Q40" s="707">
        <v>0</v>
      </c>
      <c r="R40" s="708">
        <v>297</v>
      </c>
      <c r="S40" s="707">
        <v>286</v>
      </c>
      <c r="T40" s="707">
        <v>215</v>
      </c>
      <c r="U40" s="707">
        <v>221</v>
      </c>
      <c r="V40" s="708">
        <v>228</v>
      </c>
      <c r="W40" s="707">
        <v>391</v>
      </c>
      <c r="X40" s="884">
        <v>365</v>
      </c>
      <c r="Y40" s="706">
        <v>380</v>
      </c>
      <c r="Z40" s="907">
        <v>403</v>
      </c>
      <c r="AA40" s="884">
        <v>429</v>
      </c>
      <c r="AB40" s="884">
        <v>415</v>
      </c>
      <c r="AC40" s="906">
        <v>542</v>
      </c>
      <c r="AD40" s="907">
        <v>530</v>
      </c>
      <c r="AE40" s="884">
        <v>514</v>
      </c>
      <c r="AF40" s="884">
        <v>499</v>
      </c>
      <c r="AG40" s="906">
        <v>480</v>
      </c>
      <c r="AH40" s="907">
        <v>474</v>
      </c>
      <c r="AI40" s="884">
        <v>473</v>
      </c>
      <c r="AJ40" s="884">
        <v>468</v>
      </c>
      <c r="AK40" s="906">
        <v>458</v>
      </c>
      <c r="AL40" s="907">
        <v>592</v>
      </c>
      <c r="AM40" s="884">
        <v>573</v>
      </c>
      <c r="AN40" s="884">
        <v>614</v>
      </c>
      <c r="AO40" s="906">
        <v>597</v>
      </c>
      <c r="AP40" s="907">
        <v>643</v>
      </c>
      <c r="AQ40" s="884">
        <v>646</v>
      </c>
      <c r="AR40" s="707">
        <f t="shared" si="240"/>
        <v>646</v>
      </c>
      <c r="AS40" s="706">
        <f t="shared" si="241"/>
        <v>646</v>
      </c>
      <c r="AT40" s="708">
        <f t="shared" si="242"/>
        <v>646</v>
      </c>
      <c r="AU40" s="707">
        <f t="shared" si="243"/>
        <v>646</v>
      </c>
      <c r="AV40" s="707">
        <f t="shared" si="244"/>
        <v>646</v>
      </c>
      <c r="AW40" s="706">
        <f t="shared" si="245"/>
        <v>646</v>
      </c>
      <c r="AX40" s="708">
        <f t="shared" si="246"/>
        <v>646</v>
      </c>
      <c r="AY40" s="707">
        <f t="shared" si="247"/>
        <v>646</v>
      </c>
      <c r="AZ40" s="707">
        <f t="shared" si="248"/>
        <v>646</v>
      </c>
      <c r="BA40" s="706">
        <f t="shared" si="249"/>
        <v>646</v>
      </c>
      <c r="BB40" s="670"/>
      <c r="BC40" s="655"/>
      <c r="BD40" s="925">
        <f t="shared" si="250"/>
        <v>0</v>
      </c>
      <c r="BE40" s="925">
        <f t="shared" si="251"/>
        <v>0</v>
      </c>
      <c r="BF40" s="925">
        <f t="shared" si="252"/>
        <v>0</v>
      </c>
      <c r="BG40" s="925">
        <f t="shared" si="253"/>
        <v>0</v>
      </c>
      <c r="BH40" s="925">
        <f t="shared" si="254"/>
        <v>221</v>
      </c>
      <c r="BI40" s="925">
        <f t="shared" si="255"/>
        <v>380</v>
      </c>
      <c r="BJ40" s="925">
        <f t="shared" si="256"/>
        <v>542</v>
      </c>
      <c r="BK40" s="925">
        <f t="shared" si="257"/>
        <v>480</v>
      </c>
      <c r="BL40" s="925">
        <f t="shared" si="258"/>
        <v>458</v>
      </c>
      <c r="BM40" s="925">
        <f t="shared" si="259"/>
        <v>597</v>
      </c>
      <c r="BN40" s="925">
        <f t="shared" si="259"/>
        <v>643</v>
      </c>
      <c r="BO40" s="925">
        <f>+AW40</f>
        <v>646</v>
      </c>
      <c r="BP40" s="925">
        <f>+BA40</f>
        <v>646</v>
      </c>
      <c r="BQ40" s="666"/>
      <c r="BR40" s="1412"/>
    </row>
    <row r="41" spans="1:74" ht="12.75" customHeight="1">
      <c r="A41" s="932" t="s">
        <v>364</v>
      </c>
      <c r="B41" s="707">
        <v>395</v>
      </c>
      <c r="C41" s="707">
        <v>359</v>
      </c>
      <c r="D41" s="707">
        <v>327</v>
      </c>
      <c r="E41" s="707">
        <v>350</v>
      </c>
      <c r="F41" s="708">
        <v>341</v>
      </c>
      <c r="G41" s="707">
        <v>322</v>
      </c>
      <c r="H41" s="707">
        <v>328</v>
      </c>
      <c r="I41" s="707">
        <v>332</v>
      </c>
      <c r="J41" s="708">
        <v>319</v>
      </c>
      <c r="K41" s="707">
        <v>296</v>
      </c>
      <c r="L41" s="707">
        <v>320</v>
      </c>
      <c r="M41" s="707">
        <v>119</v>
      </c>
      <c r="N41" s="708">
        <v>120</v>
      </c>
      <c r="O41" s="707">
        <v>124</v>
      </c>
      <c r="P41" s="707">
        <v>145</v>
      </c>
      <c r="Q41" s="707">
        <v>145</v>
      </c>
      <c r="R41" s="708">
        <v>55</v>
      </c>
      <c r="S41" s="707">
        <v>56</v>
      </c>
      <c r="T41" s="707">
        <v>26</v>
      </c>
      <c r="U41" s="707">
        <v>42</v>
      </c>
      <c r="V41" s="708">
        <v>50</v>
      </c>
      <c r="W41" s="707">
        <v>49</v>
      </c>
      <c r="X41" s="884">
        <v>56</v>
      </c>
      <c r="Y41" s="706">
        <v>53</v>
      </c>
      <c r="Z41" s="907">
        <v>51</v>
      </c>
      <c r="AA41" s="884">
        <v>73</v>
      </c>
      <c r="AB41" s="884">
        <v>86</v>
      </c>
      <c r="AC41" s="906">
        <v>87</v>
      </c>
      <c r="AD41" s="907">
        <v>89</v>
      </c>
      <c r="AE41" s="884">
        <v>88</v>
      </c>
      <c r="AF41" s="884">
        <v>116</v>
      </c>
      <c r="AG41" s="906">
        <v>117</v>
      </c>
      <c r="AH41" s="907">
        <v>144</v>
      </c>
      <c r="AI41" s="884">
        <v>138</v>
      </c>
      <c r="AJ41" s="884">
        <v>217</v>
      </c>
      <c r="AK41" s="906">
        <v>208</v>
      </c>
      <c r="AL41" s="907">
        <v>221</v>
      </c>
      <c r="AM41" s="884">
        <v>221</v>
      </c>
      <c r="AN41" s="884">
        <v>294</v>
      </c>
      <c r="AO41" s="906">
        <v>308</v>
      </c>
      <c r="AP41" s="907">
        <v>316</v>
      </c>
      <c r="AQ41" s="884">
        <v>326</v>
      </c>
      <c r="AR41" s="707">
        <f t="shared" si="240"/>
        <v>326</v>
      </c>
      <c r="AS41" s="706">
        <f t="shared" si="241"/>
        <v>326</v>
      </c>
      <c r="AT41" s="708">
        <f t="shared" si="242"/>
        <v>326</v>
      </c>
      <c r="AU41" s="707">
        <f t="shared" si="243"/>
        <v>326</v>
      </c>
      <c r="AV41" s="707">
        <f t="shared" si="244"/>
        <v>326</v>
      </c>
      <c r="AW41" s="706">
        <f t="shared" si="245"/>
        <v>326</v>
      </c>
      <c r="AX41" s="708">
        <f t="shared" si="246"/>
        <v>326</v>
      </c>
      <c r="AY41" s="707">
        <f t="shared" si="247"/>
        <v>326</v>
      </c>
      <c r="AZ41" s="707">
        <f t="shared" si="248"/>
        <v>326</v>
      </c>
      <c r="BA41" s="706">
        <f t="shared" si="249"/>
        <v>326</v>
      </c>
      <c r="BB41" s="670"/>
      <c r="BC41" s="655"/>
      <c r="BD41" s="925">
        <f t="shared" si="250"/>
        <v>350</v>
      </c>
      <c r="BE41" s="925">
        <f t="shared" si="251"/>
        <v>332</v>
      </c>
      <c r="BF41" s="925">
        <f t="shared" si="252"/>
        <v>119</v>
      </c>
      <c r="BG41" s="925">
        <f t="shared" si="253"/>
        <v>145</v>
      </c>
      <c r="BH41" s="925">
        <f t="shared" si="254"/>
        <v>42</v>
      </c>
      <c r="BI41" s="925">
        <f t="shared" si="255"/>
        <v>53</v>
      </c>
      <c r="BJ41" s="925">
        <f t="shared" si="256"/>
        <v>87</v>
      </c>
      <c r="BK41" s="925">
        <f t="shared" si="257"/>
        <v>117</v>
      </c>
      <c r="BL41" s="925">
        <f t="shared" si="258"/>
        <v>208</v>
      </c>
      <c r="BM41" s="925">
        <f t="shared" si="259"/>
        <v>308</v>
      </c>
      <c r="BN41" s="925">
        <f t="shared" si="259"/>
        <v>316</v>
      </c>
      <c r="BO41" s="925">
        <f>+AW41</f>
        <v>326</v>
      </c>
      <c r="BP41" s="925">
        <f>+BA41</f>
        <v>326</v>
      </c>
      <c r="BQ41" s="666"/>
      <c r="BR41" s="1412"/>
    </row>
    <row r="42" spans="1:74" s="664" customFormat="1" ht="12" customHeight="1">
      <c r="A42" s="674" t="s">
        <v>329</v>
      </c>
      <c r="B42" s="727">
        <f t="shared" ref="B42:AO42" si="261">SUM(B35,B38:B41)</f>
        <v>2782</v>
      </c>
      <c r="C42" s="727">
        <f t="shared" si="261"/>
        <v>3708</v>
      </c>
      <c r="D42" s="727">
        <f t="shared" si="261"/>
        <v>3692</v>
      </c>
      <c r="E42" s="723">
        <f t="shared" si="261"/>
        <v>3089</v>
      </c>
      <c r="F42" s="724">
        <f t="shared" si="261"/>
        <v>2997</v>
      </c>
      <c r="G42" s="727">
        <f t="shared" si="261"/>
        <v>3588</v>
      </c>
      <c r="H42" s="727">
        <f t="shared" si="261"/>
        <v>3272</v>
      </c>
      <c r="I42" s="723">
        <f t="shared" si="261"/>
        <v>2714</v>
      </c>
      <c r="J42" s="724">
        <f t="shared" si="261"/>
        <v>2861</v>
      </c>
      <c r="K42" s="727">
        <f t="shared" si="261"/>
        <v>3741</v>
      </c>
      <c r="L42" s="727">
        <f t="shared" si="261"/>
        <v>3423</v>
      </c>
      <c r="M42" s="723">
        <f t="shared" si="261"/>
        <v>2318</v>
      </c>
      <c r="N42" s="724">
        <f t="shared" si="261"/>
        <v>2146</v>
      </c>
      <c r="O42" s="727">
        <f t="shared" si="261"/>
        <v>2539</v>
      </c>
      <c r="P42" s="727">
        <f t="shared" si="261"/>
        <v>2847</v>
      </c>
      <c r="Q42" s="723">
        <f t="shared" si="261"/>
        <v>2534</v>
      </c>
      <c r="R42" s="724">
        <f t="shared" si="261"/>
        <v>2550</v>
      </c>
      <c r="S42" s="727">
        <f t="shared" si="261"/>
        <v>2974</v>
      </c>
      <c r="T42" s="727">
        <f t="shared" si="261"/>
        <v>3024</v>
      </c>
      <c r="U42" s="727">
        <f t="shared" si="261"/>
        <v>5825</v>
      </c>
      <c r="V42" s="724">
        <f t="shared" si="261"/>
        <v>4462</v>
      </c>
      <c r="W42" s="727">
        <f t="shared" ref="W42" si="262">SUM(W35,W38:W41)</f>
        <v>5730</v>
      </c>
      <c r="X42" s="727">
        <f t="shared" si="261"/>
        <v>5803</v>
      </c>
      <c r="Y42" s="723">
        <f t="shared" si="261"/>
        <v>5647</v>
      </c>
      <c r="Z42" s="1285">
        <f t="shared" si="261"/>
        <v>5137</v>
      </c>
      <c r="AA42" s="1302">
        <f t="shared" si="261"/>
        <v>10708</v>
      </c>
      <c r="AB42" s="1302">
        <f t="shared" si="261"/>
        <v>11553</v>
      </c>
      <c r="AC42" s="1313">
        <f t="shared" si="261"/>
        <v>11293</v>
      </c>
      <c r="AD42" s="1285">
        <f t="shared" si="261"/>
        <v>11018</v>
      </c>
      <c r="AE42" s="1302">
        <f t="shared" si="261"/>
        <v>11360</v>
      </c>
      <c r="AF42" s="1302">
        <f t="shared" si="261"/>
        <v>11329</v>
      </c>
      <c r="AG42" s="1313">
        <f t="shared" si="261"/>
        <v>10511</v>
      </c>
      <c r="AH42" s="1285">
        <f t="shared" si="261"/>
        <v>11496</v>
      </c>
      <c r="AI42" s="1302">
        <f t="shared" si="261"/>
        <v>12780</v>
      </c>
      <c r="AJ42" s="1302">
        <f t="shared" si="261"/>
        <v>12803</v>
      </c>
      <c r="AK42" s="1313">
        <f t="shared" si="261"/>
        <v>13696</v>
      </c>
      <c r="AL42" s="1285">
        <f t="shared" si="261"/>
        <v>15057</v>
      </c>
      <c r="AM42" s="1302">
        <f t="shared" si="261"/>
        <v>13733</v>
      </c>
      <c r="AN42" s="1302">
        <f t="shared" ref="AN42" si="263">SUM(AN35,AN38:AN41)</f>
        <v>16468</v>
      </c>
      <c r="AO42" s="1313">
        <f t="shared" si="261"/>
        <v>17248</v>
      </c>
      <c r="AP42" s="1285">
        <f t="shared" ref="AP42:AQ42" si="264">SUM(AP35,AP38:AP41)</f>
        <v>13869</v>
      </c>
      <c r="AQ42" s="1302">
        <f t="shared" si="264"/>
        <v>15227</v>
      </c>
      <c r="AR42" s="727">
        <f t="shared" ref="AR42:AS42" si="265">SUM(AR35,AR38:AR41)</f>
        <v>16333.383884756255</v>
      </c>
      <c r="AS42" s="723">
        <f t="shared" si="265"/>
        <v>18433.302082204384</v>
      </c>
      <c r="AT42" s="724">
        <f t="shared" ref="AT42:AW42" si="266">SUM(AT35,AT38:AT41)</f>
        <v>15105.949527670527</v>
      </c>
      <c r="AU42" s="727">
        <f t="shared" si="266"/>
        <v>16393.150373619257</v>
      </c>
      <c r="AV42" s="727">
        <f t="shared" si="266"/>
        <v>17316.949437622039</v>
      </c>
      <c r="AW42" s="723">
        <f t="shared" si="266"/>
        <v>19354.931430129745</v>
      </c>
      <c r="AX42" s="724">
        <f t="shared" ref="AX42:BA42" si="267">SUM(AX35,AX38:AX41)</f>
        <v>16005.572347367106</v>
      </c>
      <c r="AY42" s="727">
        <f t="shared" si="267"/>
        <v>17532.575256373162</v>
      </c>
      <c r="AZ42" s="727">
        <f t="shared" si="267"/>
        <v>18250.010015242719</v>
      </c>
      <c r="BA42" s="723">
        <f t="shared" si="267"/>
        <v>20757.482088503919</v>
      </c>
      <c r="BB42" s="324"/>
      <c r="BC42" s="668"/>
      <c r="BD42" s="927">
        <f t="shared" si="148"/>
        <v>3089</v>
      </c>
      <c r="BE42" s="927">
        <f t="shared" si="251"/>
        <v>2714</v>
      </c>
      <c r="BF42" s="927">
        <f t="shared" si="252"/>
        <v>2318</v>
      </c>
      <c r="BG42" s="927">
        <f t="shared" si="253"/>
        <v>2534</v>
      </c>
      <c r="BH42" s="927">
        <f t="shared" si="254"/>
        <v>5825</v>
      </c>
      <c r="BI42" s="927">
        <f t="shared" si="255"/>
        <v>5647</v>
      </c>
      <c r="BJ42" s="927">
        <f t="shared" si="256"/>
        <v>11293</v>
      </c>
      <c r="BK42" s="927">
        <f t="shared" si="257"/>
        <v>10511</v>
      </c>
      <c r="BL42" s="927">
        <f t="shared" si="258"/>
        <v>13696</v>
      </c>
      <c r="BM42" s="927">
        <f t="shared" si="259"/>
        <v>17248</v>
      </c>
      <c r="BN42" s="927">
        <f t="shared" si="259"/>
        <v>13869</v>
      </c>
      <c r="BO42" s="927">
        <f>+AW42</f>
        <v>19354.931430129745</v>
      </c>
      <c r="BP42" s="927">
        <f>+BA42</f>
        <v>20757.482088503919</v>
      </c>
      <c r="BQ42" s="663"/>
      <c r="BR42" s="1414"/>
      <c r="BS42" s="1415"/>
      <c r="BT42" s="1415"/>
    </row>
    <row r="43" spans="1:74" s="667" customFormat="1" ht="12" customHeight="1">
      <c r="A43" s="675"/>
      <c r="B43" s="676"/>
      <c r="C43" s="676"/>
      <c r="D43" s="676"/>
      <c r="E43" s="676"/>
      <c r="F43" s="677"/>
      <c r="G43" s="676"/>
      <c r="H43" s="676"/>
      <c r="I43" s="676"/>
      <c r="J43" s="677"/>
      <c r="K43" s="676"/>
      <c r="L43" s="676"/>
      <c r="M43" s="678"/>
      <c r="N43" s="677"/>
      <c r="O43" s="676"/>
      <c r="P43" s="676"/>
      <c r="Q43" s="678"/>
      <c r="R43" s="677"/>
      <c r="S43" s="676"/>
      <c r="T43" s="676"/>
      <c r="U43" s="676"/>
      <c r="V43" s="677"/>
      <c r="W43" s="676"/>
      <c r="X43" s="676"/>
      <c r="Y43" s="678"/>
      <c r="Z43" s="1286"/>
      <c r="AA43" s="676"/>
      <c r="AB43" s="676"/>
      <c r="AC43" s="678"/>
      <c r="AD43" s="677"/>
      <c r="AE43" s="676"/>
      <c r="AF43" s="676"/>
      <c r="AG43" s="678"/>
      <c r="AH43" s="677"/>
      <c r="AI43" s="676"/>
      <c r="AJ43" s="676"/>
      <c r="AK43" s="678"/>
      <c r="AL43" s="677"/>
      <c r="AM43" s="676"/>
      <c r="AN43" s="676"/>
      <c r="AO43" s="678"/>
      <c r="AP43" s="677"/>
      <c r="AQ43" s="676"/>
      <c r="AR43" s="676"/>
      <c r="AS43" s="678"/>
      <c r="AT43" s="677"/>
      <c r="AU43" s="676"/>
      <c r="AV43" s="676"/>
      <c r="AW43" s="678"/>
      <c r="AX43" s="677"/>
      <c r="AY43" s="676"/>
      <c r="AZ43" s="676"/>
      <c r="BA43" s="678"/>
      <c r="BB43" s="327"/>
      <c r="BC43" s="679"/>
      <c r="BD43" s="928"/>
      <c r="BE43" s="928"/>
      <c r="BF43" s="928"/>
      <c r="BG43" s="928"/>
      <c r="BH43" s="928"/>
      <c r="BI43" s="928"/>
      <c r="BJ43" s="928"/>
      <c r="BK43" s="928"/>
      <c r="BL43" s="928"/>
      <c r="BM43" s="928"/>
      <c r="BN43" s="928"/>
      <c r="BO43" s="928"/>
      <c r="BP43" s="928"/>
      <c r="BQ43" s="666"/>
      <c r="BR43" s="1421"/>
      <c r="BS43" s="1419"/>
      <c r="BT43" s="1422"/>
      <c r="BU43" s="680"/>
      <c r="BV43" s="384"/>
    </row>
    <row r="44" spans="1:74" s="667" customFormat="1" ht="12.75" customHeight="1">
      <c r="A44" s="681" t="s">
        <v>330</v>
      </c>
      <c r="B44" s="676"/>
      <c r="C44" s="676"/>
      <c r="D44" s="676"/>
      <c r="E44" s="676"/>
      <c r="F44" s="677"/>
      <c r="G44" s="676"/>
      <c r="H44" s="676"/>
      <c r="I44" s="676"/>
      <c r="J44" s="677"/>
      <c r="K44" s="676"/>
      <c r="L44" s="676"/>
      <c r="M44" s="678"/>
      <c r="N44" s="677"/>
      <c r="O44" s="676"/>
      <c r="P44" s="676"/>
      <c r="Q44" s="678"/>
      <c r="R44" s="677"/>
      <c r="S44" s="676"/>
      <c r="T44" s="676"/>
      <c r="U44" s="676"/>
      <c r="V44" s="677"/>
      <c r="W44" s="676"/>
      <c r="X44" s="676"/>
      <c r="Y44" s="678"/>
      <c r="Z44" s="1286"/>
      <c r="AA44" s="676"/>
      <c r="AB44" s="676"/>
      <c r="AC44" s="678"/>
      <c r="AD44" s="677"/>
      <c r="AE44" s="676"/>
      <c r="AF44" s="676"/>
      <c r="AG44" s="678"/>
      <c r="AH44" s="677"/>
      <c r="AI44" s="676"/>
      <c r="AJ44" s="676"/>
      <c r="AK44" s="678"/>
      <c r="AL44" s="677"/>
      <c r="AM44" s="676"/>
      <c r="AN44" s="676"/>
      <c r="AO44" s="678"/>
      <c r="AP44" s="677"/>
      <c r="AQ44" s="676"/>
      <c r="AR44" s="676"/>
      <c r="AS44" s="678"/>
      <c r="AT44" s="677"/>
      <c r="AU44" s="676"/>
      <c r="AV44" s="676"/>
      <c r="AW44" s="678"/>
      <c r="AX44" s="677"/>
      <c r="AY44" s="676"/>
      <c r="AZ44" s="676"/>
      <c r="BA44" s="678"/>
      <c r="BB44" s="327"/>
      <c r="BC44" s="679"/>
      <c r="BD44" s="679"/>
      <c r="BE44" s="679"/>
      <c r="BF44" s="679"/>
      <c r="BG44" s="679"/>
      <c r="BH44" s="679"/>
      <c r="BI44" s="679"/>
      <c r="BJ44" s="679"/>
      <c r="BK44" s="679"/>
      <c r="BL44" s="679"/>
      <c r="BM44" s="679"/>
      <c r="BN44" s="679"/>
      <c r="BO44" s="679"/>
      <c r="BP44" s="679"/>
      <c r="BQ44" s="666"/>
      <c r="BR44" s="1421"/>
      <c r="BS44" s="1419"/>
      <c r="BT44" s="1422"/>
      <c r="BU44" s="680"/>
      <c r="BV44" s="384"/>
    </row>
    <row r="45" spans="1:74" s="667" customFormat="1" ht="12.75" customHeight="1">
      <c r="A45" s="682" t="s">
        <v>121</v>
      </c>
      <c r="B45" s="704">
        <v>0</v>
      </c>
      <c r="C45" s="704">
        <v>0</v>
      </c>
      <c r="D45" s="704">
        <v>0</v>
      </c>
      <c r="E45" s="704">
        <v>0</v>
      </c>
      <c r="F45" s="705">
        <v>0</v>
      </c>
      <c r="G45" s="704">
        <v>0</v>
      </c>
      <c r="H45" s="704">
        <v>0</v>
      </c>
      <c r="I45" s="704">
        <v>0</v>
      </c>
      <c r="J45" s="705">
        <v>0</v>
      </c>
      <c r="K45" s="704">
        <v>0</v>
      </c>
      <c r="L45" s="704">
        <v>0</v>
      </c>
      <c r="M45" s="706">
        <v>0</v>
      </c>
      <c r="N45" s="705">
        <v>0</v>
      </c>
      <c r="O45" s="704">
        <v>0</v>
      </c>
      <c r="P45" s="707">
        <v>0</v>
      </c>
      <c r="Q45" s="706">
        <v>0</v>
      </c>
      <c r="R45" s="708">
        <v>0</v>
      </c>
      <c r="S45" s="707">
        <v>0</v>
      </c>
      <c r="T45" s="707">
        <v>0</v>
      </c>
      <c r="U45" s="707">
        <v>0</v>
      </c>
      <c r="V45" s="708">
        <v>0</v>
      </c>
      <c r="W45" s="707">
        <v>0</v>
      </c>
      <c r="X45" s="707">
        <f t="shared" ref="X45:AL45" si="268">+W45</f>
        <v>0</v>
      </c>
      <c r="Y45" s="706">
        <f t="shared" si="268"/>
        <v>0</v>
      </c>
      <c r="Z45" s="907">
        <f t="shared" si="268"/>
        <v>0</v>
      </c>
      <c r="AA45" s="707">
        <f t="shared" si="268"/>
        <v>0</v>
      </c>
      <c r="AB45" s="707">
        <f t="shared" si="268"/>
        <v>0</v>
      </c>
      <c r="AC45" s="706">
        <f t="shared" si="268"/>
        <v>0</v>
      </c>
      <c r="AD45" s="708">
        <v>0</v>
      </c>
      <c r="AE45" s="707">
        <v>0</v>
      </c>
      <c r="AF45" s="707">
        <v>0</v>
      </c>
      <c r="AG45" s="906">
        <v>0</v>
      </c>
      <c r="AH45" s="907">
        <f t="shared" si="268"/>
        <v>0</v>
      </c>
      <c r="AI45" s="884">
        <f t="shared" si="268"/>
        <v>0</v>
      </c>
      <c r="AJ45" s="884">
        <f t="shared" si="268"/>
        <v>0</v>
      </c>
      <c r="AK45" s="906">
        <f t="shared" si="268"/>
        <v>0</v>
      </c>
      <c r="AL45" s="708">
        <f t="shared" si="268"/>
        <v>0</v>
      </c>
      <c r="AM45" s="905">
        <v>0</v>
      </c>
      <c r="AN45" s="884">
        <v>0</v>
      </c>
      <c r="AO45" s="906">
        <f>+AN45</f>
        <v>0</v>
      </c>
      <c r="AP45" s="708">
        <f t="shared" ref="AP45:AP48" si="269">+AO45</f>
        <v>0</v>
      </c>
      <c r="AQ45" s="905">
        <f>+AP45</f>
        <v>0</v>
      </c>
      <c r="AR45" s="707">
        <f t="shared" ref="AR45:AR48" si="270">+AQ45</f>
        <v>0</v>
      </c>
      <c r="AS45" s="706">
        <f t="shared" ref="AS45:AS48" si="271">+AR45</f>
        <v>0</v>
      </c>
      <c r="AT45" s="708">
        <f t="shared" ref="AT45:AT48" si="272">+AS45</f>
        <v>0</v>
      </c>
      <c r="AU45" s="707">
        <f t="shared" ref="AU45:AU48" si="273">+AT45</f>
        <v>0</v>
      </c>
      <c r="AV45" s="707">
        <f t="shared" ref="AV45:AV48" si="274">+AU45</f>
        <v>0</v>
      </c>
      <c r="AW45" s="706">
        <f t="shared" ref="AW45:AW48" si="275">+AV45</f>
        <v>0</v>
      </c>
      <c r="AX45" s="708">
        <f t="shared" ref="AX45:AX48" si="276">+AW45</f>
        <v>0</v>
      </c>
      <c r="AY45" s="707">
        <f t="shared" ref="AY45:AY48" si="277">+AX45</f>
        <v>0</v>
      </c>
      <c r="AZ45" s="707">
        <f t="shared" ref="AZ45:AZ48" si="278">+AY45</f>
        <v>0</v>
      </c>
      <c r="BA45" s="706">
        <f t="shared" ref="BA45:BA48" si="279">+AZ45</f>
        <v>0</v>
      </c>
      <c r="BB45" s="327"/>
      <c r="BC45" s="655"/>
      <c r="BD45" s="925">
        <f t="shared" ref="BD45:BD51" si="280">E45</f>
        <v>0</v>
      </c>
      <c r="BE45" s="925">
        <f t="shared" ref="BE45:BE51" si="281">I45</f>
        <v>0</v>
      </c>
      <c r="BF45" s="925">
        <f t="shared" ref="BF45:BF51" si="282">M45</f>
        <v>0</v>
      </c>
      <c r="BG45" s="925">
        <f t="shared" ref="BG45:BG51" si="283">Q45</f>
        <v>0</v>
      </c>
      <c r="BH45" s="925">
        <f t="shared" ref="BH45:BH51" si="284">U45</f>
        <v>0</v>
      </c>
      <c r="BI45" s="925">
        <f t="shared" ref="BI45:BI51" si="285">Y45</f>
        <v>0</v>
      </c>
      <c r="BJ45" s="925">
        <f t="shared" ref="BJ45:BJ51" si="286">AC45</f>
        <v>0</v>
      </c>
      <c r="BK45" s="925">
        <f t="shared" ref="BK45:BK51" si="287">+AG45</f>
        <v>0</v>
      </c>
      <c r="BL45" s="925">
        <f t="shared" ref="BL45:BL51" si="288">+AK45</f>
        <v>0</v>
      </c>
      <c r="BM45" s="925">
        <f t="shared" ref="BM45:BN51" si="289">+AO45</f>
        <v>0</v>
      </c>
      <c r="BN45" s="925">
        <f t="shared" si="289"/>
        <v>0</v>
      </c>
      <c r="BO45" s="925">
        <f t="shared" ref="BO45:BO51" si="290">+AW45</f>
        <v>0</v>
      </c>
      <c r="BP45" s="925">
        <f t="shared" ref="BP45:BP51" si="291">+BA45</f>
        <v>0</v>
      </c>
      <c r="BQ45" s="666"/>
      <c r="BR45" s="1412"/>
      <c r="BS45" s="1419"/>
      <c r="BT45" s="1422"/>
      <c r="BU45" s="680"/>
      <c r="BV45" s="384"/>
    </row>
    <row r="46" spans="1:74" s="667" customFormat="1" ht="12.75" customHeight="1">
      <c r="A46" s="682" t="s">
        <v>122</v>
      </c>
      <c r="B46" s="704">
        <v>4114</v>
      </c>
      <c r="C46" s="704">
        <v>4226</v>
      </c>
      <c r="D46" s="704">
        <v>4334</v>
      </c>
      <c r="E46" s="704">
        <v>4445</v>
      </c>
      <c r="F46" s="705">
        <v>4540</v>
      </c>
      <c r="G46" s="704">
        <v>4660</v>
      </c>
      <c r="H46" s="704">
        <v>4787</v>
      </c>
      <c r="I46" s="704">
        <v>4857</v>
      </c>
      <c r="J46" s="705">
        <v>4999</v>
      </c>
      <c r="K46" s="704">
        <v>5151</v>
      </c>
      <c r="L46" s="704">
        <v>5289</v>
      </c>
      <c r="M46" s="706">
        <v>5338</v>
      </c>
      <c r="N46" s="705">
        <v>5501</v>
      </c>
      <c r="O46" s="704">
        <v>5623</v>
      </c>
      <c r="P46" s="707">
        <v>5782</v>
      </c>
      <c r="Q46" s="706">
        <v>5775</v>
      </c>
      <c r="R46" s="708">
        <v>5881</v>
      </c>
      <c r="S46" s="707">
        <v>6014</v>
      </c>
      <c r="T46" s="707">
        <v>6132</v>
      </c>
      <c r="U46" s="707">
        <v>6182</v>
      </c>
      <c r="V46" s="708">
        <v>6283</v>
      </c>
      <c r="W46" s="707">
        <v>10212</v>
      </c>
      <c r="X46" s="884">
        <v>10382</v>
      </c>
      <c r="Y46" s="906">
        <f t="shared" ref="Y46:AM46" si="292">+X46</f>
        <v>10382</v>
      </c>
      <c r="Z46" s="907">
        <f t="shared" si="292"/>
        <v>10382</v>
      </c>
      <c r="AA46" s="884">
        <f t="shared" si="292"/>
        <v>10382</v>
      </c>
      <c r="AB46" s="884">
        <f t="shared" si="292"/>
        <v>10382</v>
      </c>
      <c r="AC46" s="906">
        <v>10382</v>
      </c>
      <c r="AD46" s="907">
        <f>+AC46-740</f>
        <v>9642</v>
      </c>
      <c r="AE46" s="884">
        <f t="shared" si="292"/>
        <v>9642</v>
      </c>
      <c r="AF46" s="884">
        <f t="shared" si="292"/>
        <v>9642</v>
      </c>
      <c r="AG46" s="906">
        <v>9642</v>
      </c>
      <c r="AH46" s="907">
        <f t="shared" si="292"/>
        <v>9642</v>
      </c>
      <c r="AI46" s="884">
        <f t="shared" si="292"/>
        <v>9642</v>
      </c>
      <c r="AJ46" s="884">
        <f t="shared" si="292"/>
        <v>9642</v>
      </c>
      <c r="AK46" s="906">
        <f t="shared" si="292"/>
        <v>9642</v>
      </c>
      <c r="AL46" s="907">
        <f t="shared" si="292"/>
        <v>9642</v>
      </c>
      <c r="AM46" s="884">
        <f t="shared" si="292"/>
        <v>9642</v>
      </c>
      <c r="AN46" s="884">
        <v>21380</v>
      </c>
      <c r="AO46" s="906">
        <f>+AN46</f>
        <v>21380</v>
      </c>
      <c r="AP46" s="907">
        <f t="shared" si="269"/>
        <v>21380</v>
      </c>
      <c r="AQ46" s="884">
        <f>+AP46</f>
        <v>21380</v>
      </c>
      <c r="AR46" s="707">
        <f t="shared" si="270"/>
        <v>21380</v>
      </c>
      <c r="AS46" s="706">
        <f t="shared" si="271"/>
        <v>21380</v>
      </c>
      <c r="AT46" s="708">
        <f t="shared" si="272"/>
        <v>21380</v>
      </c>
      <c r="AU46" s="707">
        <f t="shared" si="273"/>
        <v>21380</v>
      </c>
      <c r="AV46" s="707">
        <f t="shared" si="274"/>
        <v>21380</v>
      </c>
      <c r="AW46" s="706">
        <f t="shared" si="275"/>
        <v>21380</v>
      </c>
      <c r="AX46" s="708">
        <f t="shared" si="276"/>
        <v>21380</v>
      </c>
      <c r="AY46" s="707">
        <f t="shared" si="277"/>
        <v>21380</v>
      </c>
      <c r="AZ46" s="707">
        <f t="shared" si="278"/>
        <v>21380</v>
      </c>
      <c r="BA46" s="706">
        <f t="shared" si="279"/>
        <v>21380</v>
      </c>
      <c r="BB46" s="327"/>
      <c r="BC46" s="655"/>
      <c r="BD46" s="925">
        <f t="shared" si="280"/>
        <v>4445</v>
      </c>
      <c r="BE46" s="925">
        <f t="shared" si="281"/>
        <v>4857</v>
      </c>
      <c r="BF46" s="925">
        <f t="shared" si="282"/>
        <v>5338</v>
      </c>
      <c r="BG46" s="925">
        <f>Q46</f>
        <v>5775</v>
      </c>
      <c r="BH46" s="925">
        <f>U46</f>
        <v>6182</v>
      </c>
      <c r="BI46" s="925">
        <f>Y46</f>
        <v>10382</v>
      </c>
      <c r="BJ46" s="925">
        <f>AC46</f>
        <v>10382</v>
      </c>
      <c r="BK46" s="925">
        <f>+AG46</f>
        <v>9642</v>
      </c>
      <c r="BL46" s="925">
        <f>+AK46</f>
        <v>9642</v>
      </c>
      <c r="BM46" s="925">
        <f t="shared" si="289"/>
        <v>21380</v>
      </c>
      <c r="BN46" s="925">
        <f t="shared" si="289"/>
        <v>21380</v>
      </c>
      <c r="BO46" s="925">
        <f t="shared" si="290"/>
        <v>21380</v>
      </c>
      <c r="BP46" s="925">
        <f t="shared" si="291"/>
        <v>21380</v>
      </c>
      <c r="BQ46" s="666"/>
      <c r="BR46" s="1412"/>
      <c r="BS46" s="1419"/>
      <c r="BT46" s="1422"/>
      <c r="BU46" s="680"/>
      <c r="BV46" s="384"/>
    </row>
    <row r="47" spans="1:74" ht="12.75" customHeight="1">
      <c r="A47" s="682" t="s">
        <v>36</v>
      </c>
      <c r="B47" s="704">
        <v>-8945</v>
      </c>
      <c r="C47" s="704">
        <v>-9400</v>
      </c>
      <c r="D47" s="704">
        <v>-9865</v>
      </c>
      <c r="E47" s="704">
        <v>-9939</v>
      </c>
      <c r="F47" s="705">
        <v>-10131</v>
      </c>
      <c r="G47" s="704">
        <v>-10329</v>
      </c>
      <c r="H47" s="704">
        <v>-10417</v>
      </c>
      <c r="I47" s="704">
        <v>-10778</v>
      </c>
      <c r="J47" s="705">
        <v>-10948</v>
      </c>
      <c r="K47" s="704">
        <v>-11031</v>
      </c>
      <c r="L47" s="704">
        <v>-11050</v>
      </c>
      <c r="M47" s="706">
        <v>-11050</v>
      </c>
      <c r="N47" s="705">
        <v>-11151</v>
      </c>
      <c r="O47" s="704">
        <v>-11328</v>
      </c>
      <c r="P47" s="707">
        <v>-11463</v>
      </c>
      <c r="Q47" s="706">
        <v>-11611</v>
      </c>
      <c r="R47" s="708">
        <v>-11750</v>
      </c>
      <c r="S47" s="707">
        <v>-11889</v>
      </c>
      <c r="T47" s="707">
        <v>-11929</v>
      </c>
      <c r="U47" s="707">
        <v>-11929</v>
      </c>
      <c r="V47" s="708">
        <v>-11929</v>
      </c>
      <c r="W47" s="707">
        <v>-12104</v>
      </c>
      <c r="X47" s="884">
        <v>-12484</v>
      </c>
      <c r="Y47" s="906">
        <f t="shared" ref="Y47:AM47" si="293">+X47</f>
        <v>-12484</v>
      </c>
      <c r="Z47" s="907">
        <f t="shared" si="293"/>
        <v>-12484</v>
      </c>
      <c r="AA47" s="884">
        <f t="shared" si="293"/>
        <v>-12484</v>
      </c>
      <c r="AB47" s="884">
        <f t="shared" si="293"/>
        <v>-12484</v>
      </c>
      <c r="AC47" s="906">
        <v>-12484</v>
      </c>
      <c r="AD47" s="907">
        <f t="shared" si="293"/>
        <v>-12484</v>
      </c>
      <c r="AE47" s="884">
        <f t="shared" si="293"/>
        <v>-12484</v>
      </c>
      <c r="AF47" s="884">
        <f t="shared" si="293"/>
        <v>-12484</v>
      </c>
      <c r="AG47" s="906">
        <v>-12484</v>
      </c>
      <c r="AH47" s="907">
        <f t="shared" si="293"/>
        <v>-12484</v>
      </c>
      <c r="AI47" s="884">
        <f t="shared" si="293"/>
        <v>-12484</v>
      </c>
      <c r="AJ47" s="884">
        <f t="shared" si="293"/>
        <v>-12484</v>
      </c>
      <c r="AK47" s="906">
        <f t="shared" si="293"/>
        <v>-12484</v>
      </c>
      <c r="AL47" s="907">
        <f t="shared" si="293"/>
        <v>-12484</v>
      </c>
      <c r="AM47" s="884">
        <f t="shared" si="293"/>
        <v>-12484</v>
      </c>
      <c r="AN47" s="884">
        <v>-20795</v>
      </c>
      <c r="AO47" s="906">
        <f>+AN47</f>
        <v>-20795</v>
      </c>
      <c r="AP47" s="907">
        <f t="shared" si="269"/>
        <v>-20795</v>
      </c>
      <c r="AQ47" s="884">
        <f>+AP47</f>
        <v>-20795</v>
      </c>
      <c r="AR47" s="707">
        <f t="shared" si="270"/>
        <v>-20795</v>
      </c>
      <c r="AS47" s="706">
        <f t="shared" si="271"/>
        <v>-20795</v>
      </c>
      <c r="AT47" s="708">
        <f t="shared" si="272"/>
        <v>-20795</v>
      </c>
      <c r="AU47" s="707">
        <f t="shared" si="273"/>
        <v>-20795</v>
      </c>
      <c r="AV47" s="707">
        <f t="shared" si="274"/>
        <v>-20795</v>
      </c>
      <c r="AW47" s="706">
        <f t="shared" si="275"/>
        <v>-20795</v>
      </c>
      <c r="AX47" s="708">
        <f t="shared" si="276"/>
        <v>-20795</v>
      </c>
      <c r="AY47" s="707">
        <f t="shared" si="277"/>
        <v>-20795</v>
      </c>
      <c r="AZ47" s="707">
        <f t="shared" si="278"/>
        <v>-20795</v>
      </c>
      <c r="BA47" s="706">
        <f t="shared" si="279"/>
        <v>-20795</v>
      </c>
      <c r="BB47" s="327"/>
      <c r="BC47" s="655"/>
      <c r="BD47" s="925">
        <f t="shared" si="280"/>
        <v>-9939</v>
      </c>
      <c r="BE47" s="925">
        <f t="shared" si="281"/>
        <v>-10778</v>
      </c>
      <c r="BF47" s="925">
        <f t="shared" si="282"/>
        <v>-11050</v>
      </c>
      <c r="BG47" s="925">
        <f t="shared" si="283"/>
        <v>-11611</v>
      </c>
      <c r="BH47" s="925">
        <f t="shared" si="284"/>
        <v>-11929</v>
      </c>
      <c r="BI47" s="925">
        <f t="shared" si="285"/>
        <v>-12484</v>
      </c>
      <c r="BJ47" s="925">
        <f t="shared" si="286"/>
        <v>-12484</v>
      </c>
      <c r="BK47" s="925">
        <f t="shared" si="287"/>
        <v>-12484</v>
      </c>
      <c r="BL47" s="925">
        <f t="shared" si="288"/>
        <v>-12484</v>
      </c>
      <c r="BM47" s="925">
        <f t="shared" si="289"/>
        <v>-20795</v>
      </c>
      <c r="BN47" s="925">
        <f t="shared" si="289"/>
        <v>-20795</v>
      </c>
      <c r="BO47" s="925">
        <f t="shared" si="290"/>
        <v>-20795</v>
      </c>
      <c r="BP47" s="925">
        <f t="shared" si="291"/>
        <v>-20795</v>
      </c>
      <c r="BQ47" s="666"/>
      <c r="BR47" s="1412"/>
    </row>
    <row r="48" spans="1:74" ht="12.75" customHeight="1">
      <c r="A48" s="682" t="s">
        <v>123</v>
      </c>
      <c r="B48" s="704">
        <v>-32</v>
      </c>
      <c r="C48" s="704">
        <v>-42</v>
      </c>
      <c r="D48" s="704">
        <v>-26</v>
      </c>
      <c r="E48" s="704">
        <v>-32</v>
      </c>
      <c r="F48" s="705">
        <v>-37</v>
      </c>
      <c r="G48" s="704">
        <v>-34</v>
      </c>
      <c r="H48" s="704">
        <v>-36</v>
      </c>
      <c r="I48" s="704">
        <v>-22</v>
      </c>
      <c r="J48" s="705">
        <v>-28</v>
      </c>
      <c r="K48" s="704">
        <v>-20</v>
      </c>
      <c r="L48" s="704">
        <v>-30</v>
      </c>
      <c r="M48" s="706">
        <v>-36</v>
      </c>
      <c r="N48" s="705">
        <v>-40</v>
      </c>
      <c r="O48" s="704">
        <v>-36</v>
      </c>
      <c r="P48" s="707">
        <v>-38</v>
      </c>
      <c r="Q48" s="706">
        <v>-36</v>
      </c>
      <c r="R48" s="708">
        <v>-35</v>
      </c>
      <c r="S48" s="707">
        <v>-35</v>
      </c>
      <c r="T48" s="707">
        <v>-44</v>
      </c>
      <c r="U48" s="707">
        <v>-32</v>
      </c>
      <c r="V48" s="708">
        <v>-35</v>
      </c>
      <c r="W48" s="707">
        <v>-23</v>
      </c>
      <c r="X48" s="884">
        <v>-24</v>
      </c>
      <c r="Y48" s="906">
        <f t="shared" ref="Y48:AM48" si="294">+X48</f>
        <v>-24</v>
      </c>
      <c r="Z48" s="907">
        <f t="shared" si="294"/>
        <v>-24</v>
      </c>
      <c r="AA48" s="884">
        <f t="shared" si="294"/>
        <v>-24</v>
      </c>
      <c r="AB48" s="884">
        <f t="shared" si="294"/>
        <v>-24</v>
      </c>
      <c r="AC48" s="906">
        <v>-24</v>
      </c>
      <c r="AD48" s="907">
        <f t="shared" si="294"/>
        <v>-24</v>
      </c>
      <c r="AE48" s="884">
        <f t="shared" si="294"/>
        <v>-24</v>
      </c>
      <c r="AF48" s="884">
        <f t="shared" si="294"/>
        <v>-24</v>
      </c>
      <c r="AG48" s="906">
        <v>-24</v>
      </c>
      <c r="AH48" s="907">
        <f t="shared" si="294"/>
        <v>-24</v>
      </c>
      <c r="AI48" s="884">
        <f t="shared" si="294"/>
        <v>-24</v>
      </c>
      <c r="AJ48" s="884">
        <f t="shared" si="294"/>
        <v>-24</v>
      </c>
      <c r="AK48" s="906">
        <f t="shared" si="294"/>
        <v>-24</v>
      </c>
      <c r="AL48" s="907">
        <f t="shared" si="294"/>
        <v>-24</v>
      </c>
      <c r="AM48" s="884">
        <f t="shared" si="294"/>
        <v>-24</v>
      </c>
      <c r="AN48" s="884">
        <v>-46</v>
      </c>
      <c r="AO48" s="906">
        <f>+AN48</f>
        <v>-46</v>
      </c>
      <c r="AP48" s="907">
        <f t="shared" si="269"/>
        <v>-46</v>
      </c>
      <c r="AQ48" s="884">
        <f>+AP48</f>
        <v>-46</v>
      </c>
      <c r="AR48" s="707">
        <f t="shared" si="270"/>
        <v>-46</v>
      </c>
      <c r="AS48" s="706">
        <f t="shared" si="271"/>
        <v>-46</v>
      </c>
      <c r="AT48" s="708">
        <f t="shared" si="272"/>
        <v>-46</v>
      </c>
      <c r="AU48" s="707">
        <f t="shared" si="273"/>
        <v>-46</v>
      </c>
      <c r="AV48" s="707">
        <f t="shared" si="274"/>
        <v>-46</v>
      </c>
      <c r="AW48" s="706">
        <f t="shared" si="275"/>
        <v>-46</v>
      </c>
      <c r="AX48" s="708">
        <f t="shared" si="276"/>
        <v>-46</v>
      </c>
      <c r="AY48" s="707">
        <f t="shared" si="277"/>
        <v>-46</v>
      </c>
      <c r="AZ48" s="707">
        <f t="shared" si="278"/>
        <v>-46</v>
      </c>
      <c r="BA48" s="706">
        <f t="shared" si="279"/>
        <v>-46</v>
      </c>
      <c r="BB48" s="327"/>
      <c r="BC48" s="655"/>
      <c r="BD48" s="925">
        <f t="shared" ref="BD48" si="295">E48</f>
        <v>-32</v>
      </c>
      <c r="BE48" s="925">
        <f t="shared" ref="BE48" si="296">I48</f>
        <v>-22</v>
      </c>
      <c r="BF48" s="925">
        <f t="shared" ref="BF48" si="297">M48</f>
        <v>-36</v>
      </c>
      <c r="BG48" s="925">
        <f t="shared" ref="BG48" si="298">Q48</f>
        <v>-36</v>
      </c>
      <c r="BH48" s="925">
        <f t="shared" ref="BH48" si="299">U48</f>
        <v>-32</v>
      </c>
      <c r="BI48" s="925">
        <f t="shared" ref="BI48" si="300">Y48</f>
        <v>-24</v>
      </c>
      <c r="BJ48" s="925">
        <f t="shared" ref="BJ48" si="301">AC48</f>
        <v>-24</v>
      </c>
      <c r="BK48" s="925">
        <f t="shared" ref="BK48" si="302">+AG48</f>
        <v>-24</v>
      </c>
      <c r="BL48" s="925">
        <f t="shared" ref="BL48" si="303">+AK48</f>
        <v>-24</v>
      </c>
      <c r="BM48" s="925">
        <f t="shared" si="289"/>
        <v>-46</v>
      </c>
      <c r="BN48" s="925">
        <f t="shared" si="289"/>
        <v>-46</v>
      </c>
      <c r="BO48" s="925">
        <f t="shared" si="290"/>
        <v>-46</v>
      </c>
      <c r="BP48" s="925">
        <f t="shared" si="291"/>
        <v>-46</v>
      </c>
      <c r="BQ48" s="666"/>
      <c r="BR48" s="1412"/>
    </row>
    <row r="49" spans="1:72" ht="12.75" customHeight="1">
      <c r="A49" s="682" t="s">
        <v>35</v>
      </c>
      <c r="B49" s="704">
        <v>5914</v>
      </c>
      <c r="C49" s="704">
        <v>5857</v>
      </c>
      <c r="D49" s="704">
        <v>6805</v>
      </c>
      <c r="E49" s="704">
        <v>6687</v>
      </c>
      <c r="F49" s="705">
        <v>6564</v>
      </c>
      <c r="G49" s="704">
        <v>6488</v>
      </c>
      <c r="H49" s="704">
        <v>7363</v>
      </c>
      <c r="I49" s="704">
        <v>7297</v>
      </c>
      <c r="J49" s="705">
        <v>7180</v>
      </c>
      <c r="K49" s="704">
        <v>7057</v>
      </c>
      <c r="L49" s="704">
        <v>8154.9999999999991</v>
      </c>
      <c r="M49" s="706">
        <v>8564</v>
      </c>
      <c r="N49" s="705">
        <v>8472</v>
      </c>
      <c r="O49" s="704">
        <v>8537</v>
      </c>
      <c r="P49" s="707">
        <v>9789</v>
      </c>
      <c r="Q49" s="706">
        <v>9621</v>
      </c>
      <c r="R49" s="708">
        <v>9537</v>
      </c>
      <c r="S49" s="707">
        <v>9637</v>
      </c>
      <c r="T49" s="707">
        <v>10581</v>
      </c>
      <c r="U49" s="707">
        <v>10885</v>
      </c>
      <c r="V49" s="708">
        <v>10926</v>
      </c>
      <c r="W49" s="707">
        <v>10783</v>
      </c>
      <c r="X49" s="884">
        <v>12081</v>
      </c>
      <c r="Y49" s="906">
        <f>9869-SUM(Y46:Y48)</f>
        <v>11995</v>
      </c>
      <c r="Z49" s="907">
        <f>9733-SUM(Z46:Z48)</f>
        <v>11859</v>
      </c>
      <c r="AA49" s="884">
        <f>+Z49+'Cash Flow'!AA11+'Cash Flow'!AA53+'Cash Flow'!AA6</f>
        <v>12100</v>
      </c>
      <c r="AB49" s="884">
        <f>16961-AB48-AB47-AB46</f>
        <v>19087</v>
      </c>
      <c r="AC49" s="906">
        <v>19306.634856285265</v>
      </c>
      <c r="AD49" s="907">
        <f>+AD50-AD48-AD47-AD46</f>
        <v>18933</v>
      </c>
      <c r="AE49" s="884">
        <f>+AE50-AE48-AE47-AE46</f>
        <v>18708</v>
      </c>
      <c r="AF49" s="884">
        <f>+AF50-AF48-AF47-AF46</f>
        <v>20458</v>
      </c>
      <c r="AG49" s="906">
        <f>+AG23-AG42-AG45-AG46-AG47--AG48</f>
        <v>20087</v>
      </c>
      <c r="AH49" s="907">
        <f>+AH23-AH42-SUM(AH46:AH48)</f>
        <v>19858</v>
      </c>
      <c r="AI49" s="884">
        <f>16908-SUM(AI45:AI48)</f>
        <v>19774</v>
      </c>
      <c r="AJ49" s="884">
        <f>18757-SUM(AJ45:AJ48)</f>
        <v>21623</v>
      </c>
      <c r="AK49" s="906">
        <f>18436-SUM(AK45:AK48)</f>
        <v>21302</v>
      </c>
      <c r="AL49" s="907">
        <f>18136-SUM(AL45:AL48)</f>
        <v>21002</v>
      </c>
      <c r="AM49" s="884">
        <f>+AM23-AM45-AM46-AM47-AM48-AM42</f>
        <v>20815</v>
      </c>
      <c r="AN49" s="884">
        <v>19586</v>
      </c>
      <c r="AO49" s="906">
        <f>19710-SUM(AO45:AO48)</f>
        <v>19171</v>
      </c>
      <c r="AP49" s="907">
        <f>19322-SUM(AP45:AP48)</f>
        <v>18783</v>
      </c>
      <c r="AQ49" s="884">
        <f>19055-SUM(AQ45:AQ48)</f>
        <v>18516</v>
      </c>
      <c r="AR49" s="871">
        <f t="shared" ref="AR49:BA49" si="304">+AR23-AR45-AR46-AR47-AR48-AR42</f>
        <v>22017.9877558595</v>
      </c>
      <c r="AS49" s="915">
        <f t="shared" si="304"/>
        <v>22927.024892674766</v>
      </c>
      <c r="AT49" s="913">
        <f t="shared" si="304"/>
        <v>24035.117998257469</v>
      </c>
      <c r="AU49" s="871">
        <f t="shared" si="304"/>
        <v>25399.126847058014</v>
      </c>
      <c r="AV49" s="871">
        <f t="shared" si="304"/>
        <v>29305.411108853725</v>
      </c>
      <c r="AW49" s="915">
        <f t="shared" si="304"/>
        <v>30332.689618400847</v>
      </c>
      <c r="AX49" s="913">
        <f t="shared" si="304"/>
        <v>31606.683339792948</v>
      </c>
      <c r="AY49" s="871">
        <f t="shared" si="304"/>
        <v>33182.543297021199</v>
      </c>
      <c r="AZ49" s="871">
        <f t="shared" si="304"/>
        <v>37530.878094575251</v>
      </c>
      <c r="BA49" s="915">
        <f t="shared" si="304"/>
        <v>38725.713272783134</v>
      </c>
      <c r="BB49" s="327"/>
      <c r="BC49" s="655"/>
      <c r="BD49" s="925">
        <f t="shared" si="280"/>
        <v>6687</v>
      </c>
      <c r="BE49" s="925">
        <f t="shared" si="281"/>
        <v>7297</v>
      </c>
      <c r="BF49" s="925">
        <f t="shared" si="282"/>
        <v>8564</v>
      </c>
      <c r="BG49" s="925">
        <f>Q49</f>
        <v>9621</v>
      </c>
      <c r="BH49" s="925">
        <f>U49</f>
        <v>10885</v>
      </c>
      <c r="BI49" s="925">
        <f>Y49</f>
        <v>11995</v>
      </c>
      <c r="BJ49" s="925">
        <f>AC49</f>
        <v>19306.634856285265</v>
      </c>
      <c r="BK49" s="925">
        <f>+AG49</f>
        <v>20087</v>
      </c>
      <c r="BL49" s="925">
        <f>+AK49</f>
        <v>21302</v>
      </c>
      <c r="BM49" s="925">
        <f t="shared" si="289"/>
        <v>19171</v>
      </c>
      <c r="BN49" s="925">
        <f t="shared" si="289"/>
        <v>18783</v>
      </c>
      <c r="BO49" s="925">
        <f t="shared" si="290"/>
        <v>30332.689618400847</v>
      </c>
      <c r="BP49" s="925">
        <f t="shared" si="291"/>
        <v>38725.713272783134</v>
      </c>
      <c r="BQ49" s="666"/>
      <c r="BR49" s="1412"/>
    </row>
    <row r="50" spans="1:72" s="665" customFormat="1" ht="12.75" customHeight="1">
      <c r="A50" s="683" t="s">
        <v>331</v>
      </c>
      <c r="B50" s="709">
        <f t="shared" ref="B50:S50" si="305">SUM(B45:B49)</f>
        <v>1051</v>
      </c>
      <c r="C50" s="709">
        <f t="shared" si="305"/>
        <v>641</v>
      </c>
      <c r="D50" s="709">
        <f t="shared" si="305"/>
        <v>1248</v>
      </c>
      <c r="E50" s="709">
        <f t="shared" si="305"/>
        <v>1161</v>
      </c>
      <c r="F50" s="710">
        <f t="shared" si="305"/>
        <v>936</v>
      </c>
      <c r="G50" s="709">
        <f t="shared" si="305"/>
        <v>785</v>
      </c>
      <c r="H50" s="709">
        <f t="shared" si="305"/>
        <v>1697</v>
      </c>
      <c r="I50" s="709">
        <f t="shared" si="305"/>
        <v>1354</v>
      </c>
      <c r="J50" s="710">
        <f t="shared" si="305"/>
        <v>1203</v>
      </c>
      <c r="K50" s="709">
        <f t="shared" si="305"/>
        <v>1157</v>
      </c>
      <c r="L50" s="709">
        <f t="shared" si="305"/>
        <v>2363.9999999999991</v>
      </c>
      <c r="M50" s="711">
        <f t="shared" si="305"/>
        <v>2816</v>
      </c>
      <c r="N50" s="710">
        <f t="shared" si="305"/>
        <v>2782</v>
      </c>
      <c r="O50" s="709">
        <f t="shared" si="305"/>
        <v>2796</v>
      </c>
      <c r="P50" s="709">
        <f t="shared" si="305"/>
        <v>4070</v>
      </c>
      <c r="Q50" s="711">
        <f t="shared" si="305"/>
        <v>3749</v>
      </c>
      <c r="R50" s="710">
        <f t="shared" si="305"/>
        <v>3633</v>
      </c>
      <c r="S50" s="709">
        <f t="shared" si="305"/>
        <v>3727</v>
      </c>
      <c r="T50" s="709">
        <f>SUM(T45:T49)</f>
        <v>4740</v>
      </c>
      <c r="U50" s="709">
        <f t="shared" ref="U50:AO50" si="306">SUM(U45:U49)</f>
        <v>5106</v>
      </c>
      <c r="V50" s="710">
        <f t="shared" si="306"/>
        <v>5245</v>
      </c>
      <c r="W50" s="709">
        <f t="shared" si="306"/>
        <v>8868</v>
      </c>
      <c r="X50" s="709">
        <f t="shared" si="306"/>
        <v>9955</v>
      </c>
      <c r="Y50" s="1275">
        <f t="shared" si="306"/>
        <v>9869</v>
      </c>
      <c r="Z50" s="710">
        <f t="shared" si="306"/>
        <v>9733</v>
      </c>
      <c r="AA50" s="1319">
        <v>15595</v>
      </c>
      <c r="AB50" s="1319">
        <f>SUM(AB45:AB49)</f>
        <v>16961</v>
      </c>
      <c r="AC50" s="1275">
        <v>16441</v>
      </c>
      <c r="AD50" s="1346">
        <v>16067</v>
      </c>
      <c r="AE50" s="1319">
        <v>15842</v>
      </c>
      <c r="AF50" s="1319">
        <v>17592</v>
      </c>
      <c r="AG50" s="711">
        <v>17269</v>
      </c>
      <c r="AH50" s="710">
        <v>16992</v>
      </c>
      <c r="AI50" s="1319">
        <f t="shared" si="306"/>
        <v>16908</v>
      </c>
      <c r="AJ50" s="1319">
        <f t="shared" si="306"/>
        <v>18757</v>
      </c>
      <c r="AK50" s="1275">
        <f t="shared" si="306"/>
        <v>18436</v>
      </c>
      <c r="AL50" s="710">
        <f t="shared" si="306"/>
        <v>18136</v>
      </c>
      <c r="AM50" s="709">
        <f t="shared" si="306"/>
        <v>17949</v>
      </c>
      <c r="AN50" s="1319">
        <f t="shared" ref="AN50" si="307">SUM(AN45:AN49)</f>
        <v>20125</v>
      </c>
      <c r="AO50" s="1275">
        <f t="shared" si="306"/>
        <v>19710</v>
      </c>
      <c r="AP50" s="710">
        <f t="shared" ref="AP50:AQ50" si="308">SUM(AP45:AP49)</f>
        <v>19322</v>
      </c>
      <c r="AQ50" s="709">
        <f t="shared" si="308"/>
        <v>19055</v>
      </c>
      <c r="AR50" s="709">
        <f t="shared" ref="AR50:AS50" si="309">SUM(AR45:AR49)</f>
        <v>22556.9877558595</v>
      </c>
      <c r="AS50" s="711">
        <f t="shared" si="309"/>
        <v>23466.024892674766</v>
      </c>
      <c r="AT50" s="710">
        <f t="shared" ref="AT50:AW50" si="310">SUM(AT45:AT49)</f>
        <v>24574.117998257469</v>
      </c>
      <c r="AU50" s="709">
        <f t="shared" si="310"/>
        <v>25938.126847058014</v>
      </c>
      <c r="AV50" s="709">
        <f t="shared" si="310"/>
        <v>29844.411108853725</v>
      </c>
      <c r="AW50" s="711">
        <f t="shared" si="310"/>
        <v>30871.689618400847</v>
      </c>
      <c r="AX50" s="710">
        <f t="shared" ref="AX50:BA50" si="311">SUM(AX45:AX49)</f>
        <v>32145.683339792948</v>
      </c>
      <c r="AY50" s="709">
        <f t="shared" si="311"/>
        <v>33721.543297021199</v>
      </c>
      <c r="AZ50" s="709">
        <f t="shared" si="311"/>
        <v>38069.878094575251</v>
      </c>
      <c r="BA50" s="711">
        <f t="shared" si="311"/>
        <v>39264.713272783134</v>
      </c>
      <c r="BB50" s="327"/>
      <c r="BC50" s="684"/>
      <c r="BD50" s="929">
        <f t="shared" si="280"/>
        <v>1161</v>
      </c>
      <c r="BE50" s="929">
        <f t="shared" si="281"/>
        <v>1354</v>
      </c>
      <c r="BF50" s="929">
        <f t="shared" si="282"/>
        <v>2816</v>
      </c>
      <c r="BG50" s="929">
        <f t="shared" ref="BG50" si="312">Q50</f>
        <v>3749</v>
      </c>
      <c r="BH50" s="929">
        <f t="shared" ref="BH50" si="313">U50</f>
        <v>5106</v>
      </c>
      <c r="BI50" s="929">
        <f t="shared" ref="BI50" si="314">Y50</f>
        <v>9869</v>
      </c>
      <c r="BJ50" s="929">
        <f t="shared" ref="BJ50" si="315">AC50</f>
        <v>16441</v>
      </c>
      <c r="BK50" s="929">
        <f t="shared" ref="BK50" si="316">+AG50</f>
        <v>17269</v>
      </c>
      <c r="BL50" s="929">
        <f t="shared" si="288"/>
        <v>18436</v>
      </c>
      <c r="BM50" s="929">
        <f t="shared" si="289"/>
        <v>19710</v>
      </c>
      <c r="BN50" s="929">
        <f t="shared" si="289"/>
        <v>19322</v>
      </c>
      <c r="BO50" s="929">
        <f t="shared" si="290"/>
        <v>30871.689618400847</v>
      </c>
      <c r="BP50" s="929">
        <f t="shared" si="291"/>
        <v>39264.713272783134</v>
      </c>
      <c r="BQ50" s="666"/>
      <c r="BR50" s="1420"/>
      <c r="BS50" s="1416"/>
      <c r="BT50" s="1416"/>
    </row>
    <row r="51" spans="1:72" s="688" customFormat="1" ht="12.75" customHeight="1">
      <c r="A51" s="685" t="s">
        <v>332</v>
      </c>
      <c r="B51" s="712">
        <f t="shared" ref="B51:AO51" si="317">B50+B42</f>
        <v>3833</v>
      </c>
      <c r="C51" s="712">
        <f t="shared" si="317"/>
        <v>4349</v>
      </c>
      <c r="D51" s="712">
        <f t="shared" si="317"/>
        <v>4940</v>
      </c>
      <c r="E51" s="713">
        <f t="shared" si="317"/>
        <v>4250</v>
      </c>
      <c r="F51" s="714">
        <f t="shared" si="317"/>
        <v>3933</v>
      </c>
      <c r="G51" s="712">
        <f t="shared" si="317"/>
        <v>4373</v>
      </c>
      <c r="H51" s="712">
        <f t="shared" si="317"/>
        <v>4969</v>
      </c>
      <c r="I51" s="713">
        <f t="shared" si="317"/>
        <v>4068</v>
      </c>
      <c r="J51" s="714">
        <f t="shared" si="317"/>
        <v>4064</v>
      </c>
      <c r="K51" s="712">
        <f t="shared" si="317"/>
        <v>4898</v>
      </c>
      <c r="L51" s="712">
        <f t="shared" si="317"/>
        <v>5786.9999999999991</v>
      </c>
      <c r="M51" s="713">
        <f t="shared" si="317"/>
        <v>5134</v>
      </c>
      <c r="N51" s="714">
        <f t="shared" si="317"/>
        <v>4928</v>
      </c>
      <c r="O51" s="712">
        <f t="shared" si="317"/>
        <v>5335</v>
      </c>
      <c r="P51" s="712">
        <f t="shared" si="317"/>
        <v>6917</v>
      </c>
      <c r="Q51" s="713">
        <f t="shared" si="317"/>
        <v>6283</v>
      </c>
      <c r="R51" s="714">
        <f t="shared" si="317"/>
        <v>6183</v>
      </c>
      <c r="S51" s="712">
        <f t="shared" si="317"/>
        <v>6701</v>
      </c>
      <c r="T51" s="712">
        <f t="shared" si="317"/>
        <v>7764</v>
      </c>
      <c r="U51" s="712">
        <f t="shared" si="317"/>
        <v>10931</v>
      </c>
      <c r="V51" s="714">
        <f t="shared" si="317"/>
        <v>9707</v>
      </c>
      <c r="W51" s="712">
        <f t="shared" si="317"/>
        <v>14598</v>
      </c>
      <c r="X51" s="712">
        <f t="shared" si="317"/>
        <v>15758</v>
      </c>
      <c r="Y51" s="713">
        <f t="shared" si="317"/>
        <v>15516</v>
      </c>
      <c r="Z51" s="714">
        <f t="shared" si="317"/>
        <v>14870</v>
      </c>
      <c r="AA51" s="712">
        <f t="shared" si="317"/>
        <v>26303</v>
      </c>
      <c r="AB51" s="712">
        <f t="shared" si="317"/>
        <v>28514</v>
      </c>
      <c r="AC51" s="713">
        <f t="shared" si="317"/>
        <v>27734</v>
      </c>
      <c r="AD51" s="714">
        <f t="shared" si="317"/>
        <v>27085</v>
      </c>
      <c r="AE51" s="712">
        <f t="shared" si="317"/>
        <v>27202</v>
      </c>
      <c r="AF51" s="712">
        <f t="shared" si="317"/>
        <v>28921</v>
      </c>
      <c r="AG51" s="713">
        <f t="shared" si="317"/>
        <v>27780</v>
      </c>
      <c r="AH51" s="714">
        <f t="shared" si="317"/>
        <v>28488</v>
      </c>
      <c r="AI51" s="1460">
        <f t="shared" si="317"/>
        <v>29688</v>
      </c>
      <c r="AJ51" s="1460">
        <f t="shared" si="317"/>
        <v>31560</v>
      </c>
      <c r="AK51" s="1493">
        <f t="shared" si="317"/>
        <v>32132</v>
      </c>
      <c r="AL51" s="714">
        <f t="shared" si="317"/>
        <v>33193</v>
      </c>
      <c r="AM51" s="712">
        <f t="shared" si="317"/>
        <v>31682</v>
      </c>
      <c r="AN51" s="1460">
        <f t="shared" ref="AN51" si="318">AN50+AN42</f>
        <v>36593</v>
      </c>
      <c r="AO51" s="1493">
        <f t="shared" si="317"/>
        <v>36958</v>
      </c>
      <c r="AP51" s="714">
        <f t="shared" ref="AP51:AQ51" si="319">AP50+AP42</f>
        <v>33191</v>
      </c>
      <c r="AQ51" s="712">
        <f t="shared" si="319"/>
        <v>34282</v>
      </c>
      <c r="AR51" s="712">
        <f t="shared" ref="AR51:AS51" si="320">AR50+AR42</f>
        <v>38890.371640615755</v>
      </c>
      <c r="AS51" s="713">
        <f t="shared" si="320"/>
        <v>41899.32697487915</v>
      </c>
      <c r="AT51" s="714">
        <f t="shared" ref="AT51:AW51" si="321">AT50+AT42</f>
        <v>39680.067525927996</v>
      </c>
      <c r="AU51" s="712">
        <f t="shared" si="321"/>
        <v>42331.277220677272</v>
      </c>
      <c r="AV51" s="712">
        <f t="shared" si="321"/>
        <v>47161.360546475764</v>
      </c>
      <c r="AW51" s="713">
        <f t="shared" si="321"/>
        <v>50226.621048530593</v>
      </c>
      <c r="AX51" s="714">
        <f t="shared" ref="AX51:BA51" si="322">AX50+AX42</f>
        <v>48151.255687160054</v>
      </c>
      <c r="AY51" s="712">
        <f t="shared" si="322"/>
        <v>51254.118553394364</v>
      </c>
      <c r="AZ51" s="712">
        <f t="shared" si="322"/>
        <v>56319.88810981797</v>
      </c>
      <c r="BA51" s="713">
        <f t="shared" si="322"/>
        <v>60022.195361287057</v>
      </c>
      <c r="BB51" s="327"/>
      <c r="BC51" s="686"/>
      <c r="BD51" s="930">
        <f t="shared" si="280"/>
        <v>4250</v>
      </c>
      <c r="BE51" s="930">
        <f t="shared" si="281"/>
        <v>4068</v>
      </c>
      <c r="BF51" s="930">
        <f t="shared" si="282"/>
        <v>5134</v>
      </c>
      <c r="BG51" s="930">
        <f t="shared" si="283"/>
        <v>6283</v>
      </c>
      <c r="BH51" s="930">
        <f t="shared" si="284"/>
        <v>10931</v>
      </c>
      <c r="BI51" s="930">
        <f t="shared" si="285"/>
        <v>15516</v>
      </c>
      <c r="BJ51" s="930">
        <f t="shared" si="286"/>
        <v>27734</v>
      </c>
      <c r="BK51" s="930">
        <f t="shared" si="287"/>
        <v>27780</v>
      </c>
      <c r="BL51" s="930">
        <f t="shared" si="288"/>
        <v>32132</v>
      </c>
      <c r="BM51" s="930">
        <f t="shared" si="289"/>
        <v>36958</v>
      </c>
      <c r="BN51" s="930">
        <f t="shared" si="289"/>
        <v>33191</v>
      </c>
      <c r="BO51" s="930">
        <f t="shared" si="290"/>
        <v>50226.621048530593</v>
      </c>
      <c r="BP51" s="930">
        <f t="shared" si="291"/>
        <v>60022.195361287057</v>
      </c>
      <c r="BQ51" s="687"/>
      <c r="BR51" s="1423"/>
      <c r="BS51" s="1424"/>
      <c r="BT51" s="1424"/>
    </row>
    <row r="52" spans="1:72" s="688" customFormat="1" ht="12.75" customHeight="1">
      <c r="A52" s="1183"/>
      <c r="B52" s="725"/>
      <c r="C52" s="725"/>
      <c r="D52" s="725"/>
      <c r="E52" s="725"/>
      <c r="F52" s="725"/>
      <c r="G52" s="725"/>
      <c r="H52" s="725"/>
      <c r="I52" s="725"/>
      <c r="J52" s="725"/>
      <c r="K52" s="725"/>
      <c r="L52" s="725"/>
      <c r="M52" s="725"/>
      <c r="N52" s="725"/>
      <c r="O52" s="725"/>
      <c r="P52" s="725"/>
      <c r="Q52" s="725"/>
      <c r="R52" s="725"/>
      <c r="S52" s="725"/>
      <c r="T52" s="725"/>
      <c r="U52" s="725"/>
      <c r="V52" s="725"/>
      <c r="W52" s="725"/>
      <c r="X52" s="725"/>
      <c r="Y52" s="725"/>
      <c r="Z52" s="725"/>
      <c r="AA52" s="725"/>
      <c r="AB52" s="725"/>
      <c r="AC52" s="725"/>
      <c r="AD52" s="725"/>
      <c r="AE52" s="725"/>
      <c r="AF52" s="725"/>
      <c r="AG52" s="725"/>
      <c r="AH52" s="725"/>
      <c r="AI52" s="725"/>
      <c r="AJ52" s="725"/>
      <c r="AK52" s="725"/>
      <c r="AL52" s="725"/>
      <c r="AM52" s="725"/>
      <c r="AN52" s="725"/>
      <c r="AO52" s="725"/>
      <c r="AP52" s="725"/>
      <c r="AQ52" s="725"/>
      <c r="AR52" s="725"/>
      <c r="AS52" s="725"/>
      <c r="AT52" s="725"/>
      <c r="AU52" s="725"/>
      <c r="AV52" s="725"/>
      <c r="AW52" s="725"/>
      <c r="AX52" s="725"/>
      <c r="AY52" s="725"/>
      <c r="AZ52" s="725"/>
      <c r="BA52" s="725"/>
      <c r="BB52" s="327"/>
      <c r="BC52" s="213"/>
      <c r="BD52" s="725"/>
      <c r="BE52" s="725"/>
      <c r="BF52" s="725"/>
      <c r="BG52" s="725"/>
      <c r="BH52" s="725"/>
      <c r="BI52" s="725"/>
      <c r="BJ52" s="725"/>
      <c r="BK52" s="725"/>
      <c r="BL52" s="725"/>
      <c r="BM52" s="725"/>
      <c r="BN52" s="725"/>
      <c r="BO52" s="725"/>
      <c r="BP52" s="725"/>
      <c r="BQ52" s="687"/>
      <c r="BR52" s="1423"/>
      <c r="BS52" s="1424"/>
      <c r="BT52" s="1424"/>
    </row>
    <row r="53" spans="1:72" s="688" customFormat="1" ht="12.75" customHeight="1">
      <c r="A53" s="1191" t="s">
        <v>152</v>
      </c>
      <c r="B53" s="1184">
        <f t="shared" ref="B53:Q53" si="323">+B6+B7-B26-B38</f>
        <v>-26</v>
      </c>
      <c r="C53" s="1184">
        <f t="shared" si="323"/>
        <v>-911</v>
      </c>
      <c r="D53" s="1184">
        <f t="shared" si="323"/>
        <v>613</v>
      </c>
      <c r="E53" s="1185">
        <f t="shared" si="323"/>
        <v>80</v>
      </c>
      <c r="F53" s="1184">
        <f t="shared" si="323"/>
        <v>-495</v>
      </c>
      <c r="G53" s="1184">
        <f t="shared" si="323"/>
        <v>-513</v>
      </c>
      <c r="H53" s="1184">
        <f t="shared" si="323"/>
        <v>1093</v>
      </c>
      <c r="I53" s="1185">
        <f t="shared" si="323"/>
        <v>289</v>
      </c>
      <c r="J53" s="1184">
        <f t="shared" si="323"/>
        <v>-98</v>
      </c>
      <c r="K53" s="1184">
        <f t="shared" si="323"/>
        <v>-377</v>
      </c>
      <c r="L53" s="1184">
        <f t="shared" si="323"/>
        <v>1486</v>
      </c>
      <c r="M53" s="1185">
        <f t="shared" si="323"/>
        <v>1278</v>
      </c>
      <c r="N53" s="1184">
        <f t="shared" si="323"/>
        <v>907</v>
      </c>
      <c r="O53" s="1184">
        <f t="shared" si="323"/>
        <v>920</v>
      </c>
      <c r="P53" s="1184">
        <f t="shared" si="323"/>
        <v>2898</v>
      </c>
      <c r="Q53" s="1185">
        <f t="shared" si="323"/>
        <v>2304</v>
      </c>
      <c r="R53" s="1184">
        <f>+R6+R7-R26-R38</f>
        <v>1832</v>
      </c>
      <c r="S53" s="1184">
        <f t="shared" ref="S53:AO53" si="324">+S6+S7-S26-S38</f>
        <v>1855</v>
      </c>
      <c r="T53" s="1184">
        <f t="shared" si="324"/>
        <v>3573</v>
      </c>
      <c r="U53" s="1185">
        <f t="shared" si="324"/>
        <v>3681</v>
      </c>
      <c r="V53" s="1184">
        <f t="shared" si="324"/>
        <v>3436</v>
      </c>
      <c r="W53" s="1184">
        <f t="shared" si="324"/>
        <v>380</v>
      </c>
      <c r="X53" s="1184">
        <f t="shared" si="324"/>
        <v>2083</v>
      </c>
      <c r="Y53" s="1185">
        <f t="shared" si="324"/>
        <v>1836</v>
      </c>
      <c r="Z53" s="1184">
        <f t="shared" si="324"/>
        <v>1213</v>
      </c>
      <c r="AA53" s="1184">
        <f t="shared" si="324"/>
        <v>-5318</v>
      </c>
      <c r="AB53" s="1184">
        <f t="shared" si="324"/>
        <v>-2949</v>
      </c>
      <c r="AC53" s="1185">
        <f t="shared" si="324"/>
        <v>-3633</v>
      </c>
      <c r="AD53" s="1184">
        <f t="shared" si="324"/>
        <v>-4261</v>
      </c>
      <c r="AE53" s="1184">
        <f t="shared" si="324"/>
        <v>-5006</v>
      </c>
      <c r="AF53" s="1184">
        <f t="shared" si="324"/>
        <v>-2342</v>
      </c>
      <c r="AG53" s="1185">
        <f t="shared" si="324"/>
        <v>-2458</v>
      </c>
      <c r="AH53" s="1184">
        <f t="shared" si="324"/>
        <v>-3608</v>
      </c>
      <c r="AI53" s="1184">
        <f t="shared" si="324"/>
        <v>-4461</v>
      </c>
      <c r="AJ53" s="1184">
        <f t="shared" si="324"/>
        <v>-1274</v>
      </c>
      <c r="AK53" s="1185">
        <f t="shared" si="324"/>
        <v>-1964</v>
      </c>
      <c r="AL53" s="1184">
        <f t="shared" si="324"/>
        <v>-2766</v>
      </c>
      <c r="AM53" s="1184">
        <f t="shared" si="324"/>
        <v>-3801</v>
      </c>
      <c r="AN53" s="1184">
        <f t="shared" ref="AN53" si="325">+AN6+AN7-AN26-AN38</f>
        <v>-232</v>
      </c>
      <c r="AO53" s="1185">
        <f t="shared" si="324"/>
        <v>-1421</v>
      </c>
      <c r="AP53" s="1184">
        <f t="shared" ref="AP53:AQ53" si="326">+AP6+AP7-AP26-AP38</f>
        <v>-2444</v>
      </c>
      <c r="AQ53" s="1184">
        <f t="shared" si="326"/>
        <v>-3185</v>
      </c>
      <c r="AR53" s="1184">
        <f t="shared" ref="AR53:AS53" si="327">+AR6+AR7-AR26-AR38</f>
        <v>1358.7456437109295</v>
      </c>
      <c r="AS53" s="1185">
        <f t="shared" si="327"/>
        <v>2619.203011943604</v>
      </c>
      <c r="AT53" s="1184">
        <f t="shared" ref="AT53:AW53" si="328">+AT6+AT7-AT26-AT38</f>
        <v>3691.709316189068</v>
      </c>
      <c r="AU53" s="1184">
        <f t="shared" si="328"/>
        <v>4555.8472164617942</v>
      </c>
      <c r="AV53" s="1184">
        <f t="shared" si="328"/>
        <v>9556.5602591139941</v>
      </c>
      <c r="AW53" s="1185">
        <f t="shared" si="328"/>
        <v>10563.104186616445</v>
      </c>
      <c r="AX53" s="1184">
        <f t="shared" ref="AX53:BA53" si="329">+AX6+AX7-AX26-AX38</f>
        <v>12017.997959454766</v>
      </c>
      <c r="AY53" s="1184">
        <f t="shared" si="329"/>
        <v>12947.677848909254</v>
      </c>
      <c r="AZ53" s="1184">
        <f t="shared" si="329"/>
        <v>18360.133604343995</v>
      </c>
      <c r="BA53" s="1185">
        <f t="shared" si="329"/>
        <v>19541.531079260814</v>
      </c>
      <c r="BB53" s="1197"/>
      <c r="BC53" s="1189"/>
      <c r="BD53" s="1185">
        <f t="shared" ref="BD53:BD56" si="330">E53</f>
        <v>80</v>
      </c>
      <c r="BE53" s="1185">
        <f t="shared" ref="BE53:BE56" si="331">I53</f>
        <v>289</v>
      </c>
      <c r="BF53" s="1185">
        <f t="shared" ref="BF53:BF56" si="332">M53</f>
        <v>1278</v>
      </c>
      <c r="BG53" s="1185">
        <f t="shared" ref="BG53:BG56" si="333">Q53</f>
        <v>2304</v>
      </c>
      <c r="BH53" s="1185">
        <f t="shared" ref="BH53:BH56" si="334">U53</f>
        <v>3681</v>
      </c>
      <c r="BI53" s="1185">
        <f t="shared" ref="BI53:BI56" si="335">Y53</f>
        <v>1836</v>
      </c>
      <c r="BJ53" s="1185">
        <f t="shared" ref="BJ53:BJ56" si="336">AC53</f>
        <v>-3633</v>
      </c>
      <c r="BK53" s="1185">
        <f t="shared" ref="BK53:BK56" si="337">+AG53</f>
        <v>-2458</v>
      </c>
      <c r="BL53" s="1185">
        <f t="shared" ref="BL53:BL56" si="338">+AK53</f>
        <v>-1964</v>
      </c>
      <c r="BM53" s="1185">
        <f>+AO53</f>
        <v>-1421</v>
      </c>
      <c r="BN53" s="1185">
        <f>+AP53</f>
        <v>-2444</v>
      </c>
      <c r="BO53" s="1185">
        <f>+AW53</f>
        <v>10563.104186616445</v>
      </c>
      <c r="BP53" s="1185">
        <f>+BA53</f>
        <v>19541.531079260814</v>
      </c>
      <c r="BQ53" s="687"/>
      <c r="BR53" s="1423"/>
      <c r="BS53" s="1424"/>
      <c r="BT53" s="1424"/>
    </row>
    <row r="54" spans="1:72" s="1014" customFormat="1" ht="12" customHeight="1">
      <c r="A54" s="983" t="s">
        <v>181</v>
      </c>
      <c r="B54" s="984" t="str">
        <f t="shared" ref="B54" si="339">IF(ISERROR(B53/#REF!-1),"NA",B53/#REF!-1)</f>
        <v>NA</v>
      </c>
      <c r="C54" s="984" t="str">
        <f t="shared" ref="C54" si="340">IF(ISERROR(C53/#REF!-1),"NA",C53/#REF!-1)</f>
        <v>NA</v>
      </c>
      <c r="D54" s="984" t="str">
        <f t="shared" ref="D54:E54" si="341">IF(ISERROR(D53/#REF!-1),"NA",D53/#REF!-1)</f>
        <v>NA</v>
      </c>
      <c r="E54" s="985" t="str">
        <f t="shared" si="341"/>
        <v>NA</v>
      </c>
      <c r="F54" s="984">
        <f t="shared" ref="F54" si="342">IF(ISERROR(F53/B53-1),"NA",F53/B53-1)</f>
        <v>18.03846153846154</v>
      </c>
      <c r="G54" s="984">
        <f t="shared" ref="G54" si="343">IF(ISERROR(G53/C53-1),"NA",G53/C53-1)</f>
        <v>-0.43688254665203075</v>
      </c>
      <c r="H54" s="984">
        <f t="shared" ref="H54" si="344">IF(ISERROR(H53/D53-1),"NA",H53/D53-1)</f>
        <v>0.78303425774877655</v>
      </c>
      <c r="I54" s="985">
        <f t="shared" ref="I54" si="345">IF(ISERROR(I53/E53-1),"NA",I53/E53-1)</f>
        <v>2.6124999999999998</v>
      </c>
      <c r="J54" s="984">
        <f t="shared" ref="J54:M54" si="346">IF(ISERROR(J53/F53-1),"NA",J53/F53-1)</f>
        <v>-0.80202020202020208</v>
      </c>
      <c r="K54" s="984">
        <f t="shared" si="346"/>
        <v>-0.26510721247563351</v>
      </c>
      <c r="L54" s="984">
        <f t="shared" si="346"/>
        <v>0.35956084172003666</v>
      </c>
      <c r="M54" s="985">
        <f t="shared" si="346"/>
        <v>3.422145328719723</v>
      </c>
      <c r="N54" s="984">
        <f t="shared" ref="N54" si="347">IF(ISERROR(N53/J53-1),"NA",N53/J53-1)</f>
        <v>-10.255102040816327</v>
      </c>
      <c r="O54" s="984">
        <f t="shared" ref="O54" si="348">IF(ISERROR(O53/K53-1),"NA",O53/K53-1)</f>
        <v>-3.4403183023872681</v>
      </c>
      <c r="P54" s="984">
        <f t="shared" ref="P54" si="349">IF(ISERROR(P53/L53-1),"NA",P53/L53-1)</f>
        <v>0.95020188425302821</v>
      </c>
      <c r="Q54" s="985">
        <f t="shared" ref="Q54" si="350">IF(ISERROR(Q53/M53-1),"NA",Q53/M53-1)</f>
        <v>0.80281690140845074</v>
      </c>
      <c r="R54" s="984">
        <f t="shared" ref="R54" si="351">IF(ISERROR(R53/N53-1),"NA",R53/N53-1)</f>
        <v>1.0198456449834619</v>
      </c>
      <c r="S54" s="984">
        <f t="shared" ref="S54" si="352">IF(ISERROR(S53/O53-1),"NA",S53/O53-1)</f>
        <v>1.0163043478260869</v>
      </c>
      <c r="T54" s="984">
        <f t="shared" ref="T54" si="353">IF(ISERROR(T53/P53-1),"NA",T53/P53-1)</f>
        <v>0.23291925465838514</v>
      </c>
      <c r="U54" s="985">
        <f t="shared" ref="U54" si="354">IF(ISERROR(U53/Q53-1),"NA",U53/Q53-1)</f>
        <v>0.59765625</v>
      </c>
      <c r="V54" s="984">
        <f t="shared" ref="V54" si="355">IF(ISERROR(V53/R53-1),"NA",V53/R53-1)</f>
        <v>0.87554585152838427</v>
      </c>
      <c r="W54" s="984">
        <f t="shared" ref="W54" si="356">IF(ISERROR(W53/S53-1),"NA",W53/S53-1)</f>
        <v>-0.79514824797843664</v>
      </c>
      <c r="X54" s="984">
        <f t="shared" ref="X54" si="357">IF(ISERROR(X53/T53-1),"NA",X53/T53-1)</f>
        <v>-0.41701651273439688</v>
      </c>
      <c r="Y54" s="985">
        <f t="shared" ref="Y54" si="358">IF(ISERROR(Y53/U53-1),"NA",Y53/U53-1)</f>
        <v>-0.50122249388753048</v>
      </c>
      <c r="Z54" s="984">
        <f t="shared" ref="Z54" si="359">IF(ISERROR(Z53/V53-1),"NA",Z53/V53-1)</f>
        <v>-0.64697322467986029</v>
      </c>
      <c r="AA54" s="984">
        <f t="shared" ref="AA54" si="360">IF(ISERROR(AA53/W53-1),"NA",AA53/W53-1)</f>
        <v>-14.994736842105263</v>
      </c>
      <c r="AB54" s="984">
        <f t="shared" ref="AB54" si="361">IF(ISERROR(AB53/X53-1),"NA",AB53/X53-1)</f>
        <v>-2.4157465194431111</v>
      </c>
      <c r="AC54" s="985">
        <f t="shared" ref="AC54" si="362">IF(ISERROR(AC53/Y53-1),"NA",AC53/Y53-1)</f>
        <v>-2.9787581699346406</v>
      </c>
      <c r="AD54" s="984">
        <f t="shared" ref="AD54" si="363">IF(ISERROR(AD53/Z53-1),"NA",AD53/Z53-1)</f>
        <v>-4.5127782357790602</v>
      </c>
      <c r="AE54" s="984">
        <f t="shared" ref="AE54" si="364">IF(ISERROR(AE53/AA53-1),"NA",AE53/AA53-1)</f>
        <v>-5.8668672433245583E-2</v>
      </c>
      <c r="AF54" s="984">
        <f t="shared" ref="AF54" si="365">IF(ISERROR(AF53/AB53-1),"NA",AF53/AB53-1)</f>
        <v>-0.205832485588335</v>
      </c>
      <c r="AG54" s="985">
        <f t="shared" ref="AG54" si="366">IF(ISERROR(AG53/AC53-1),"NA",AG53/AC53-1)</f>
        <v>-0.32342416735480317</v>
      </c>
      <c r="AH54" s="984">
        <f t="shared" ref="AH54" si="367">IF(ISERROR(AH53/AD53-1),"NA",AH53/AD53-1)</f>
        <v>-0.15325041070171319</v>
      </c>
      <c r="AI54" s="984">
        <f t="shared" ref="AI54" si="368">IF(ISERROR(AI53/AE53-1),"NA",AI53/AE53-1)</f>
        <v>-0.1088693567718737</v>
      </c>
      <c r="AJ54" s="984">
        <f t="shared" ref="AJ54" si="369">IF(ISERROR(AJ53/AF53-1),"NA",AJ53/AF53-1)</f>
        <v>-0.45602049530315969</v>
      </c>
      <c r="AK54" s="985">
        <f t="shared" ref="AK54" si="370">IF(ISERROR(AK53/AG53-1),"NA",AK53/AG53-1)</f>
        <v>-0.20097640358014646</v>
      </c>
      <c r="AL54" s="984">
        <f t="shared" ref="AL54" si="371">IF(ISERROR(AL53/AH53-1),"NA",AL53/AH53-1)</f>
        <v>-0.23337028824833705</v>
      </c>
      <c r="AM54" s="984">
        <f t="shared" ref="AM54:AN54" si="372">IF(ISERROR(AM53/AI53-1),"NA",AM53/AI53-1)</f>
        <v>-0.14794889038332215</v>
      </c>
      <c r="AN54" s="984">
        <f t="shared" si="372"/>
        <v>-0.81789638932496078</v>
      </c>
      <c r="AO54" s="985">
        <f t="shared" ref="AO54:AQ54" si="373">IF(ISERROR(AO53/AK53-1),"NA",AO53/AK53-1)</f>
        <v>-0.27647657841140527</v>
      </c>
      <c r="AP54" s="984">
        <f t="shared" si="373"/>
        <v>-0.11641359363702097</v>
      </c>
      <c r="AQ54" s="984">
        <f t="shared" si="373"/>
        <v>-0.16206261510128916</v>
      </c>
      <c r="AR54" s="984">
        <f t="shared" ref="AR54" si="374">IF(ISERROR(AR53/AN53-1),"NA",AR53/AN53-1)</f>
        <v>-6.8566622573746958</v>
      </c>
      <c r="AS54" s="985">
        <f t="shared" ref="AS54" si="375">IF(ISERROR(AS53/AO53-1),"NA",AS53/AO53-1)</f>
        <v>-2.8432111273354002</v>
      </c>
      <c r="AT54" s="984">
        <f t="shared" ref="AT54" si="376">IF(ISERROR(AT53/AP53-1),"NA",AT53/AP53-1)</f>
        <v>-2.5105193601428262</v>
      </c>
      <c r="AU54" s="984">
        <f t="shared" ref="AU54" si="377">IF(ISERROR(AU53/AQ53-1),"NA",AU53/AQ53-1)</f>
        <v>-2.4304072893129653</v>
      </c>
      <c r="AV54" s="984">
        <f t="shared" ref="AV54" si="378">IF(ISERROR(AV53/AR53-1),"NA",AV53/AR53-1)</f>
        <v>6.0333695665169937</v>
      </c>
      <c r="AW54" s="985">
        <f t="shared" ref="AW54" si="379">IF(ISERROR(AW53/AS53-1),"NA",AW53/AS53-1)</f>
        <v>3.032945952814095</v>
      </c>
      <c r="AX54" s="984">
        <f t="shared" ref="AX54" si="380">IF(ISERROR(AX53/AT53-1),"NA",AX53/AT53-1)</f>
        <v>2.2554020184505972</v>
      </c>
      <c r="AY54" s="984">
        <f t="shared" ref="AY54" si="381">IF(ISERROR(AY53/AU53-1),"NA",AY53/AU53-1)</f>
        <v>1.8419912331838035</v>
      </c>
      <c r="AZ54" s="984">
        <f t="shared" ref="AZ54" si="382">IF(ISERROR(AZ53/AV53-1),"NA",AZ53/AV53-1)</f>
        <v>0.92120732842490294</v>
      </c>
      <c r="BA54" s="985">
        <f t="shared" ref="BA54" si="383">IF(ISERROR(BA53/AW53-1),"NA",BA53/AW53-1)</f>
        <v>0.84997996176352419</v>
      </c>
      <c r="BB54" s="1198"/>
      <c r="BC54" s="1186"/>
      <c r="BD54" s="985" t="str">
        <f t="shared" si="330"/>
        <v>NA</v>
      </c>
      <c r="BE54" s="985">
        <f t="shared" si="331"/>
        <v>2.6124999999999998</v>
      </c>
      <c r="BF54" s="985">
        <f t="shared" si="332"/>
        <v>3.422145328719723</v>
      </c>
      <c r="BG54" s="985">
        <f t="shared" si="333"/>
        <v>0.80281690140845074</v>
      </c>
      <c r="BH54" s="985">
        <f t="shared" si="334"/>
        <v>0.59765625</v>
      </c>
      <c r="BI54" s="985">
        <f t="shared" si="335"/>
        <v>-0.50122249388753048</v>
      </c>
      <c r="BJ54" s="1187">
        <f t="shared" si="336"/>
        <v>-2.9787581699346406</v>
      </c>
      <c r="BK54" s="985">
        <f t="shared" si="337"/>
        <v>-0.32342416735480317</v>
      </c>
      <c r="BL54" s="1187">
        <f t="shared" si="338"/>
        <v>-0.20097640358014646</v>
      </c>
      <c r="BM54" s="985">
        <f>+AO54</f>
        <v>-0.27647657841140527</v>
      </c>
      <c r="BN54" s="985">
        <f>+AP54</f>
        <v>-0.11641359363702097</v>
      </c>
      <c r="BO54" s="985">
        <f>+AW54</f>
        <v>3.032945952814095</v>
      </c>
      <c r="BP54" s="985">
        <f>+BA54</f>
        <v>0.84997996176352419</v>
      </c>
      <c r="BR54" s="1425"/>
      <c r="BS54" s="1425"/>
      <c r="BT54" s="1425"/>
    </row>
    <row r="55" spans="1:72" s="1014" customFormat="1" ht="12" customHeight="1">
      <c r="A55" s="983" t="s">
        <v>291</v>
      </c>
      <c r="B55" s="984" t="str">
        <f t="shared" ref="B55" si="384">IF(ISERROR(B53/A53-1),"NA",B53/A53-1)</f>
        <v>NA</v>
      </c>
      <c r="C55" s="984">
        <f t="shared" ref="C55" si="385">IF(ISERROR(C53/B53-1),"NA",C53/B53-1)</f>
        <v>34.03846153846154</v>
      </c>
      <c r="D55" s="984">
        <f t="shared" ref="D55" si="386">IF(ISERROR(D53/C53-1),"NA",D53/C53-1)</f>
        <v>-1.6728869374313939</v>
      </c>
      <c r="E55" s="985">
        <f t="shared" ref="E55" si="387">IF(ISERROR(E53/D53-1),"NA",E53/D53-1)</f>
        <v>-0.86949429037520387</v>
      </c>
      <c r="F55" s="984">
        <f t="shared" ref="F55" si="388">IF(ISERROR(F53/E53-1),"NA",F53/E53-1)</f>
        <v>-7.1875</v>
      </c>
      <c r="G55" s="984">
        <f t="shared" ref="G55" si="389">IF(ISERROR(G53/F53-1),"NA",G53/F53-1)</f>
        <v>3.6363636363636376E-2</v>
      </c>
      <c r="H55" s="984">
        <f t="shared" ref="H55" si="390">IF(ISERROR(H53/G53-1),"NA",H53/G53-1)</f>
        <v>-3.1306042884990255</v>
      </c>
      <c r="I55" s="985">
        <f t="shared" ref="I55" si="391">IF(ISERROR(I53/H53-1),"NA",I53/H53-1)</f>
        <v>-0.73559011893870085</v>
      </c>
      <c r="J55" s="984">
        <f t="shared" ref="J55:M55" si="392">IF(ISERROR(J53/I53-1),"NA",J53/I53-1)</f>
        <v>-1.3391003460207611</v>
      </c>
      <c r="K55" s="984">
        <f t="shared" si="392"/>
        <v>2.8469387755102042</v>
      </c>
      <c r="L55" s="984">
        <f t="shared" si="392"/>
        <v>-4.9416445623342176</v>
      </c>
      <c r="M55" s="985">
        <f t="shared" si="392"/>
        <v>-0.13997308209959625</v>
      </c>
      <c r="N55" s="984">
        <f t="shared" ref="N55" si="393">IF(ISERROR(N53/M53-1),"NA",N53/M53-1)</f>
        <v>-0.29029733959311421</v>
      </c>
      <c r="O55" s="984">
        <f t="shared" ref="O55" si="394">IF(ISERROR(O53/N53-1),"NA",O53/N53-1)</f>
        <v>1.4332965821389099E-2</v>
      </c>
      <c r="P55" s="984">
        <f t="shared" ref="P55" si="395">IF(ISERROR(P53/O53-1),"NA",P53/O53-1)</f>
        <v>2.15</v>
      </c>
      <c r="Q55" s="985">
        <f t="shared" ref="Q55" si="396">IF(ISERROR(Q53/P53-1),"NA",Q53/P53-1)</f>
        <v>-0.20496894409937894</v>
      </c>
      <c r="R55" s="984">
        <f t="shared" ref="R55" si="397">IF(ISERROR(R53/Q53-1),"NA",R53/Q53-1)</f>
        <v>-0.20486111111111116</v>
      </c>
      <c r="S55" s="984">
        <f t="shared" ref="S55" si="398">IF(ISERROR(S53/R53-1),"NA",S53/R53-1)</f>
        <v>1.255458515283836E-2</v>
      </c>
      <c r="T55" s="984">
        <f t="shared" ref="T55" si="399">IF(ISERROR(T53/S53-1),"NA",T53/S53-1)</f>
        <v>0.92614555256064679</v>
      </c>
      <c r="U55" s="985">
        <f t="shared" ref="U55" si="400">IF(ISERROR(U53/T53-1),"NA",U53/T53-1)</f>
        <v>3.0226700251889227E-2</v>
      </c>
      <c r="V55" s="984">
        <f t="shared" ref="V55" si="401">IF(ISERROR(V53/U53-1),"NA",V53/U53-1)</f>
        <v>-6.6558000543330609E-2</v>
      </c>
      <c r="W55" s="984">
        <f t="shared" ref="W55" si="402">IF(ISERROR(W53/V53-1),"NA",W53/V53-1)</f>
        <v>-0.88940628637951102</v>
      </c>
      <c r="X55" s="984">
        <f t="shared" ref="X55" si="403">IF(ISERROR(X53/W53-1),"NA",X53/W53-1)</f>
        <v>4.4815789473684209</v>
      </c>
      <c r="Y55" s="985">
        <f t="shared" ref="Y55" si="404">IF(ISERROR(Y53/X53-1),"NA",Y53/X53-1)</f>
        <v>-0.11857897263562167</v>
      </c>
      <c r="Z55" s="984">
        <f t="shared" ref="Z55" si="405">IF(ISERROR(Z53/Y53-1),"NA",Z53/Y53-1)</f>
        <v>-0.33932461873638342</v>
      </c>
      <c r="AA55" s="984">
        <f t="shared" ref="AA55" si="406">IF(ISERROR(AA53/Z53-1),"NA",AA53/Z53-1)</f>
        <v>-5.384171475680132</v>
      </c>
      <c r="AB55" s="984">
        <f t="shared" ref="AB55" si="407">IF(ISERROR(AB53/AA53-1),"NA",AB53/AA53-1)</f>
        <v>-0.44546822113576534</v>
      </c>
      <c r="AC55" s="985">
        <f t="shared" ref="AC55" si="408">IF(ISERROR(AC53/AB53-1),"NA",AC53/AB53-1)</f>
        <v>0.23194303153611395</v>
      </c>
      <c r="AD55" s="984">
        <f t="shared" ref="AD55" si="409">IF(ISERROR(AD53/AC53-1),"NA",AD53/AC53-1)</f>
        <v>0.17285989540324809</v>
      </c>
      <c r="AE55" s="984">
        <f t="shared" ref="AE55" si="410">IF(ISERROR(AE53/AD53-1),"NA",AE53/AD53-1)</f>
        <v>0.17484158648204651</v>
      </c>
      <c r="AF55" s="984">
        <f t="shared" ref="AF55" si="411">IF(ISERROR(AF53/AE53-1),"NA",AF53/AE53-1)</f>
        <v>-0.53216140631242514</v>
      </c>
      <c r="AG55" s="985">
        <f t="shared" ref="AG55" si="412">IF(ISERROR(AG53/AF53-1),"NA",AG53/AF53-1)</f>
        <v>4.9530315969257055E-2</v>
      </c>
      <c r="AH55" s="984">
        <f t="shared" ref="AH55" si="413">IF(ISERROR(AH53/AG53-1),"NA",AH53/AG53-1)</f>
        <v>0.46786004882017895</v>
      </c>
      <c r="AI55" s="984">
        <f t="shared" ref="AI55" si="414">IF(ISERROR(AI53/AH53-1),"NA",AI53/AH53-1)</f>
        <v>0.23641906873614182</v>
      </c>
      <c r="AJ55" s="984">
        <f t="shared" ref="AJ55" si="415">IF(ISERROR(AJ53/AI53-1),"NA",AJ53/AI53-1)</f>
        <v>-0.71441380856310244</v>
      </c>
      <c r="AK55" s="985">
        <f t="shared" ref="AK55" si="416">IF(ISERROR(AK53/AJ53-1),"NA",AK53/AJ53-1)</f>
        <v>0.54160125588697028</v>
      </c>
      <c r="AL55" s="984">
        <f t="shared" ref="AL55" si="417">IF(ISERROR(AL53/AK53-1),"NA",AL53/AK53-1)</f>
        <v>0.40835030549898166</v>
      </c>
      <c r="AM55" s="984">
        <f t="shared" ref="AM55:AN55" si="418">IF(ISERROR(AM53/AL53-1),"NA",AM53/AL53-1)</f>
        <v>0.37418655097613884</v>
      </c>
      <c r="AN55" s="984">
        <f t="shared" si="418"/>
        <v>-0.93896343067613786</v>
      </c>
      <c r="AO55" s="985">
        <f t="shared" ref="AO55:AQ55" si="419">IF(ISERROR(AO53/AN53-1),"NA",AO53/AN53-1)</f>
        <v>5.125</v>
      </c>
      <c r="AP55" s="984">
        <f t="shared" si="419"/>
        <v>0.71991555242786776</v>
      </c>
      <c r="AQ55" s="984">
        <f t="shared" si="419"/>
        <v>0.30319148936170204</v>
      </c>
      <c r="AR55" s="984">
        <f t="shared" ref="AR55" si="420">IF(ISERROR(AR53/AQ53-1),"NA",AR53/AQ53-1)</f>
        <v>-1.4266077374288633</v>
      </c>
      <c r="AS55" s="985">
        <f t="shared" ref="AS55" si="421">IF(ISERROR(AS53/AR53-1),"NA",AS53/AR53-1)</f>
        <v>0.92766249081776953</v>
      </c>
      <c r="AT55" s="984">
        <f t="shared" ref="AT55" si="422">IF(ISERROR(AT53/AS53-1),"NA",AT53/AS53-1)</f>
        <v>0.40947811198857798</v>
      </c>
      <c r="AU55" s="984">
        <f t="shared" ref="AU55" si="423">IF(ISERROR(AU53/AT53-1),"NA",AU53/AT53-1)</f>
        <v>0.23407528227730867</v>
      </c>
      <c r="AV55" s="984">
        <f t="shared" ref="AV55" si="424">IF(ISERROR(AV53/AU53-1),"NA",AV53/AU53-1)</f>
        <v>1.0976472223613989</v>
      </c>
      <c r="AW55" s="985">
        <f t="shared" ref="AW55" si="425">IF(ISERROR(AW53/AV53-1),"NA",AW53/AV53-1)</f>
        <v>0.10532491819350165</v>
      </c>
      <c r="AX55" s="984">
        <f t="shared" ref="AX55" si="426">IF(ISERROR(AX53/AW53-1),"NA",AX53/AW53-1)</f>
        <v>0.13773354377037061</v>
      </c>
      <c r="AY55" s="984">
        <f t="shared" ref="AY55" si="427">IF(ISERROR(AY53/AX53-1),"NA",AY53/AX53-1)</f>
        <v>7.7357301323478067E-2</v>
      </c>
      <c r="AZ55" s="984">
        <f t="shared" ref="AZ55" si="428">IF(ISERROR(AZ53/AY53-1),"NA",AZ53/AY53-1)</f>
        <v>0.41802521028052153</v>
      </c>
      <c r="BA55" s="985">
        <f t="shared" ref="BA55" si="429">IF(ISERROR(BA53/AZ53-1),"NA",BA53/AZ53-1)</f>
        <v>6.4345799457434349E-2</v>
      </c>
      <c r="BB55" s="1198"/>
      <c r="BC55" s="1190"/>
      <c r="BD55" s="1047" t="s">
        <v>366</v>
      </c>
      <c r="BE55" s="1047" t="s">
        <v>366</v>
      </c>
      <c r="BF55" s="1047" t="s">
        <v>366</v>
      </c>
      <c r="BG55" s="991" t="s">
        <v>366</v>
      </c>
      <c r="BH55" s="991" t="s">
        <v>366</v>
      </c>
      <c r="BI55" s="1047" t="s">
        <v>366</v>
      </c>
      <c r="BJ55" s="1188" t="s">
        <v>366</v>
      </c>
      <c r="BK55" s="1188" t="s">
        <v>366</v>
      </c>
      <c r="BL55" s="1188" t="s">
        <v>366</v>
      </c>
      <c r="BM55" s="1047" t="s">
        <v>366</v>
      </c>
      <c r="BN55" s="1047" t="s">
        <v>366</v>
      </c>
      <c r="BO55" s="1047" t="s">
        <v>366</v>
      </c>
      <c r="BP55" s="1047" t="s">
        <v>366</v>
      </c>
      <c r="BR55" s="1425"/>
      <c r="BS55" s="1425"/>
      <c r="BT55" s="1425"/>
    </row>
    <row r="56" spans="1:72" s="688" customFormat="1" ht="12.75" customHeight="1">
      <c r="A56" s="1192" t="s">
        <v>396</v>
      </c>
      <c r="B56" s="1194">
        <f>+B53/'Income Statement'!B37</f>
        <v>-9.5588235294117641E-2</v>
      </c>
      <c r="C56" s="1194">
        <f>+C53/'Income Statement'!C37</f>
        <v>-3.4248120300751879</v>
      </c>
      <c r="D56" s="1194">
        <f>+D53/'Income Statement'!D37</f>
        <v>2.3576923076923078</v>
      </c>
      <c r="E56" s="1195">
        <f>+E53/'Income Statement'!E37</f>
        <v>0.30769230769230771</v>
      </c>
      <c r="F56" s="1194">
        <f>+F53/'Income Statement'!F37</f>
        <v>-1.9186046511627908</v>
      </c>
      <c r="G56" s="1194">
        <f>+G53/'Income Statement'!G37</f>
        <v>-1.9730769230769232</v>
      </c>
      <c r="H56" s="1194">
        <f>+H53/'Income Statement'!H37</f>
        <v>4.203846153846154</v>
      </c>
      <c r="I56" s="1195">
        <f>+I53/'Income Statement'!I37</f>
        <v>1.1115384615384616</v>
      </c>
      <c r="J56" s="1194">
        <f>+J53/'Income Statement'!J37</f>
        <v>-0.3783783783783784</v>
      </c>
      <c r="K56" s="1194">
        <f>+K53/'Income Statement'!K37</f>
        <v>-1.45</v>
      </c>
      <c r="L56" s="1194">
        <f>+L53/'Income Statement'!L37</f>
        <v>5.6717557251908399</v>
      </c>
      <c r="M56" s="1195">
        <f>+M53/'Income Statement'!M37</f>
        <v>4.9534883720930232</v>
      </c>
      <c r="N56" s="1194">
        <f>+N53/'Income Statement'!N37</f>
        <v>3.4356060606060606</v>
      </c>
      <c r="O56" s="1194">
        <f>+O53/'Income Statement'!O37</f>
        <v>3.4848484848484849</v>
      </c>
      <c r="P56" s="1194">
        <f>+P53/'Income Statement'!P37</f>
        <v>10.977272727272727</v>
      </c>
      <c r="Q56" s="1195">
        <f>+Q53/'Income Statement'!Q37</f>
        <v>8.861538461538462</v>
      </c>
      <c r="R56" s="1194">
        <f>+R53/'Income Statement'!R37</f>
        <v>6.9393939393939394</v>
      </c>
      <c r="S56" s="1194">
        <f>+S53/'Income Statement'!S37</f>
        <v>7.0265151515151514</v>
      </c>
      <c r="T56" s="1194">
        <f>+T53/'Income Statement'!T37</f>
        <v>13.559772296015181</v>
      </c>
      <c r="U56" s="1195">
        <f>+U53/'Income Statement'!U37</f>
        <v>13.943181818181818</v>
      </c>
      <c r="V56" s="1194">
        <f>+V53/'Income Statement'!V37</f>
        <v>12.966037735849056</v>
      </c>
      <c r="W56" s="1194">
        <f>+W53/'Income Statement'!W37</f>
        <v>1.3919413919413919</v>
      </c>
      <c r="X56" s="1194">
        <f>+X53/'Income Statement'!X37</f>
        <v>7.5471014492753623</v>
      </c>
      <c r="Y56" s="1195">
        <f>+Y53/'Income Statement'!Y37</f>
        <v>6.628158844765343</v>
      </c>
      <c r="Z56" s="1194">
        <f>+Z53/'Income Statement'!Z37</f>
        <v>4.3790613718411553</v>
      </c>
      <c r="AA56" s="1194">
        <f>+AA53/'Income Statement'!AA37</f>
        <v>-18.529616724738677</v>
      </c>
      <c r="AB56" s="1194">
        <f>+AB53/'Income Statement'!AB37</f>
        <v>-10.311188811188812</v>
      </c>
      <c r="AC56" s="1195">
        <f>+AC53/'Income Statement'!AC37</f>
        <v>-12.882978723404255</v>
      </c>
      <c r="AD56" s="1194">
        <f>+AD53/'Income Statement'!AD37</f>
        <v>-15.014094432699084</v>
      </c>
      <c r="AE56" s="1194">
        <f>+AE53/'Income Statement'!AE37</f>
        <v>-17.726628895184138</v>
      </c>
      <c r="AF56" s="1194">
        <f>+AF53/'Income Statement'!AF37</f>
        <v>-8.2639378969654214</v>
      </c>
      <c r="AG56" s="1195">
        <f>+AG53/'Income Statement'!AG37</f>
        <v>-8.681217772126864</v>
      </c>
      <c r="AH56" s="1194">
        <f>+AH53/'Income Statement'!AH37</f>
        <v>-12.749116607773852</v>
      </c>
      <c r="AI56" s="1194">
        <f>+AI53/'Income Statement'!AI37</f>
        <v>-15.70774647887324</v>
      </c>
      <c r="AJ56" s="1194">
        <f>+AJ53/'Income Statement'!AJ37</f>
        <v>-4.4906591469862533</v>
      </c>
      <c r="AK56" s="1195">
        <f>+AK53/'Income Statement'!AK37</f>
        <v>-6.9399293286219077</v>
      </c>
      <c r="AL56" s="1194">
        <f>+AL53/'Income Statement'!AL37</f>
        <v>-9.7738515901060072</v>
      </c>
      <c r="AM56" s="1194">
        <f>+AM53/'Income Statement'!AM37</f>
        <v>-13.431095406360424</v>
      </c>
      <c r="AN56" s="1194">
        <f>+AN53/'Income Statement'!AN37</f>
        <v>-0.82415630550621666</v>
      </c>
      <c r="AO56" s="1195">
        <f>+AO53/'Income Statement'!AO37</f>
        <v>-5.0390070921985819</v>
      </c>
      <c r="AP56" s="1194">
        <f>+AP53/'Income Statement'!AP37</f>
        <v>-8.697508896797153</v>
      </c>
      <c r="AQ56" s="1194">
        <f>+AQ53/'Income Statement'!AQ37</f>
        <v>-11.387200572041474</v>
      </c>
      <c r="AR56" s="1194">
        <f>+AR53/'Income Statement'!AR37</f>
        <v>4.8578678716872705</v>
      </c>
      <c r="AS56" s="1195">
        <f>+AS53/'Income Statement'!AS37</f>
        <v>9.3643296816003012</v>
      </c>
      <c r="AT56" s="1194">
        <f>+AT53/'Income Statement'!AT37</f>
        <v>13.137755573626576</v>
      </c>
      <c r="AU56" s="1194">
        <f>+AU53/'Income Statement'!AU37</f>
        <v>16.212979418013504</v>
      </c>
      <c r="AV56" s="1194">
        <f>+AV53/'Income Statement'!AV37</f>
        <v>34.009111242398554</v>
      </c>
      <c r="AW56" s="1195">
        <f>+AW53/'Income Statement'!AW37</f>
        <v>37.591118101837885</v>
      </c>
      <c r="AX56" s="1194">
        <f>+AX53/'Income Statement'!AX37</f>
        <v>42.921421283767017</v>
      </c>
      <c r="AY56" s="1194">
        <f>+AY53/'Income Statement'!AY37</f>
        <v>46.241706603247337</v>
      </c>
      <c r="AZ56" s="1194">
        <f>+AZ53/'Income Statement'!AZ37</f>
        <v>65.57190572979998</v>
      </c>
      <c r="BA56" s="1195">
        <f>+BA53/'Income Statement'!BA37</f>
        <v>69.791182425931481</v>
      </c>
      <c r="BB56" s="1197"/>
      <c r="BC56" s="1193"/>
      <c r="BD56" s="1195">
        <f t="shared" si="330"/>
        <v>0.30769230769230771</v>
      </c>
      <c r="BE56" s="1195">
        <f t="shared" si="331"/>
        <v>1.1115384615384616</v>
      </c>
      <c r="BF56" s="1195">
        <f t="shared" si="332"/>
        <v>4.9534883720930232</v>
      </c>
      <c r="BG56" s="1195">
        <f t="shared" si="333"/>
        <v>8.861538461538462</v>
      </c>
      <c r="BH56" s="1195">
        <f t="shared" si="334"/>
        <v>13.943181818181818</v>
      </c>
      <c r="BI56" s="1196">
        <f t="shared" si="335"/>
        <v>6.628158844765343</v>
      </c>
      <c r="BJ56" s="1195">
        <f t="shared" si="336"/>
        <v>-12.882978723404255</v>
      </c>
      <c r="BK56" s="1195">
        <f t="shared" si="337"/>
        <v>-8.681217772126864</v>
      </c>
      <c r="BL56" s="1195">
        <f t="shared" si="338"/>
        <v>-6.9399293286219077</v>
      </c>
      <c r="BM56" s="1195">
        <f>+AO56</f>
        <v>-5.0390070921985819</v>
      </c>
      <c r="BN56" s="1195">
        <f>+AP56</f>
        <v>-8.697508896797153</v>
      </c>
      <c r="BO56" s="1195">
        <f>+AW56</f>
        <v>37.591118101837885</v>
      </c>
      <c r="BP56" s="1195">
        <f>+BA56</f>
        <v>69.791182425931481</v>
      </c>
      <c r="BQ56" s="687"/>
      <c r="BR56" s="1423"/>
      <c r="BS56" s="1424"/>
      <c r="BT56" s="1424"/>
    </row>
    <row r="57" spans="1:72" s="688" customFormat="1" ht="12.75" customHeight="1">
      <c r="A57" s="1183"/>
      <c r="B57" s="725"/>
      <c r="C57" s="725"/>
      <c r="D57" s="725"/>
      <c r="E57" s="725"/>
      <c r="F57" s="725"/>
      <c r="G57" s="725"/>
      <c r="H57" s="725"/>
      <c r="I57" s="725"/>
      <c r="J57" s="725"/>
      <c r="K57" s="725"/>
      <c r="L57" s="725"/>
      <c r="M57" s="725"/>
      <c r="N57" s="725"/>
      <c r="O57" s="725"/>
      <c r="P57" s="725"/>
      <c r="Q57" s="725"/>
      <c r="R57" s="725"/>
      <c r="S57" s="725"/>
      <c r="T57" s="725"/>
      <c r="U57" s="725"/>
      <c r="V57" s="725"/>
      <c r="W57" s="725"/>
      <c r="X57" s="725"/>
      <c r="Y57" s="725"/>
      <c r="Z57" s="725"/>
      <c r="AA57" s="725"/>
      <c r="AB57" s="725"/>
      <c r="AC57" s="725"/>
      <c r="AD57" s="725"/>
      <c r="AE57" s="725"/>
      <c r="AF57" s="725"/>
      <c r="AG57" s="725"/>
      <c r="AH57" s="725"/>
      <c r="AI57" s="725"/>
      <c r="AJ57" s="725"/>
      <c r="AK57" s="725"/>
      <c r="AL57" s="725"/>
      <c r="AM57" s="725"/>
      <c r="AN57" s="725"/>
      <c r="AO57" s="725"/>
      <c r="AP57" s="725"/>
      <c r="AQ57" s="725"/>
      <c r="AR57" s="725"/>
      <c r="AS57" s="725"/>
      <c r="AT57" s="725"/>
      <c r="AU57" s="725"/>
      <c r="AV57" s="725"/>
      <c r="AW57" s="725"/>
      <c r="AX57" s="725"/>
      <c r="AY57" s="725"/>
      <c r="AZ57" s="725"/>
      <c r="BA57" s="725"/>
      <c r="BB57" s="327"/>
      <c r="BC57" s="213"/>
      <c r="BD57" s="725"/>
      <c r="BE57" s="725"/>
      <c r="BF57" s="725"/>
      <c r="BG57" s="725"/>
      <c r="BH57" s="725"/>
      <c r="BI57" s="1184"/>
      <c r="BJ57" s="725"/>
      <c r="BK57" s="725"/>
      <c r="BL57" s="725"/>
      <c r="BM57" s="725"/>
      <c r="BN57" s="725"/>
      <c r="BO57" s="725"/>
      <c r="BP57" s="725"/>
      <c r="BQ57" s="687"/>
      <c r="BR57" s="1423"/>
      <c r="BS57" s="1424"/>
      <c r="BT57" s="1424"/>
    </row>
    <row r="58" spans="1:72" ht="12.75" customHeight="1">
      <c r="A58" s="288" t="s">
        <v>86</v>
      </c>
    </row>
    <row r="59" spans="1:72" ht="12.75" customHeight="1">
      <c r="A59" s="288"/>
    </row>
    <row r="60" spans="1:72" ht="12.75" customHeight="1">
      <c r="A60" s="689" t="s">
        <v>333</v>
      </c>
      <c r="B60" s="690" t="str">
        <f t="shared" ref="B60:AO60" si="430">IF((B23=B51)*AND(B23&gt;0),"—","X")</f>
        <v>—</v>
      </c>
      <c r="C60" s="690" t="str">
        <f t="shared" si="430"/>
        <v>X</v>
      </c>
      <c r="D60" s="690" t="str">
        <f t="shared" si="430"/>
        <v>—</v>
      </c>
      <c r="E60" s="690" t="str">
        <f t="shared" si="430"/>
        <v>—</v>
      </c>
      <c r="F60" s="690" t="str">
        <f t="shared" si="430"/>
        <v>—</v>
      </c>
      <c r="G60" s="690" t="str">
        <f t="shared" si="430"/>
        <v>—</v>
      </c>
      <c r="H60" s="690" t="str">
        <f t="shared" si="430"/>
        <v>—</v>
      </c>
      <c r="I60" s="690" t="str">
        <f t="shared" si="430"/>
        <v>—</v>
      </c>
      <c r="J60" s="690" t="str">
        <f t="shared" si="430"/>
        <v>—</v>
      </c>
      <c r="K60" s="690" t="str">
        <f t="shared" si="430"/>
        <v>—</v>
      </c>
      <c r="L60" s="690" t="str">
        <f t="shared" si="430"/>
        <v>—</v>
      </c>
      <c r="M60" s="690" t="str">
        <f t="shared" si="430"/>
        <v>—</v>
      </c>
      <c r="N60" s="690" t="str">
        <f t="shared" si="430"/>
        <v>—</v>
      </c>
      <c r="O60" s="690" t="str">
        <f t="shared" si="430"/>
        <v>—</v>
      </c>
      <c r="P60" s="690" t="str">
        <f t="shared" si="430"/>
        <v>—</v>
      </c>
      <c r="Q60" s="690" t="str">
        <f t="shared" si="430"/>
        <v>—</v>
      </c>
      <c r="R60" s="690" t="str">
        <f t="shared" si="430"/>
        <v>—</v>
      </c>
      <c r="S60" s="690" t="str">
        <f t="shared" si="430"/>
        <v>—</v>
      </c>
      <c r="T60" s="690" t="str">
        <f t="shared" si="430"/>
        <v>—</v>
      </c>
      <c r="U60" s="690" t="str">
        <f t="shared" si="430"/>
        <v>—</v>
      </c>
      <c r="V60" s="690" t="str">
        <f t="shared" si="430"/>
        <v>—</v>
      </c>
      <c r="W60" s="690" t="str">
        <f t="shared" si="430"/>
        <v>—</v>
      </c>
      <c r="X60" s="690" t="str">
        <f t="shared" si="430"/>
        <v>—</v>
      </c>
      <c r="Y60" s="690" t="str">
        <f t="shared" si="430"/>
        <v>—</v>
      </c>
      <c r="Z60" s="690" t="str">
        <f t="shared" si="430"/>
        <v>—</v>
      </c>
      <c r="AA60" s="690" t="str">
        <f t="shared" si="430"/>
        <v>—</v>
      </c>
      <c r="AB60" s="690" t="str">
        <f t="shared" si="430"/>
        <v>—</v>
      </c>
      <c r="AC60" s="690" t="str">
        <f t="shared" si="430"/>
        <v>—</v>
      </c>
      <c r="AD60" s="690" t="str">
        <f t="shared" si="430"/>
        <v>—</v>
      </c>
      <c r="AE60" s="690" t="str">
        <f t="shared" si="430"/>
        <v>—</v>
      </c>
      <c r="AF60" s="690" t="str">
        <f t="shared" si="430"/>
        <v>—</v>
      </c>
      <c r="AG60" s="690" t="str">
        <f t="shared" si="430"/>
        <v>—</v>
      </c>
      <c r="AH60" s="690" t="str">
        <f t="shared" si="430"/>
        <v>—</v>
      </c>
      <c r="AI60" s="690" t="str">
        <f t="shared" si="430"/>
        <v>—</v>
      </c>
      <c r="AJ60" s="690" t="str">
        <f t="shared" si="430"/>
        <v>—</v>
      </c>
      <c r="AK60" s="690" t="str">
        <f t="shared" ref="AK60" si="431">IF((AK23=AK51)*AND(AK23&gt;0),"—","X")</f>
        <v>—</v>
      </c>
      <c r="AL60" s="690" t="str">
        <f t="shared" si="430"/>
        <v>—</v>
      </c>
      <c r="AM60" s="690" t="str">
        <f t="shared" si="430"/>
        <v>—</v>
      </c>
      <c r="AN60" s="690" t="str">
        <f t="shared" si="430"/>
        <v>—</v>
      </c>
      <c r="AO60" s="690" t="str">
        <f t="shared" si="430"/>
        <v>—</v>
      </c>
      <c r="AP60" s="690" t="str">
        <f t="shared" ref="AP60:AQ60" si="432">IF((AP23=AP51)*AND(AP23&gt;0),"—","X")</f>
        <v>—</v>
      </c>
      <c r="AQ60" s="690" t="str">
        <f t="shared" si="432"/>
        <v>—</v>
      </c>
      <c r="AR60" s="690" t="str">
        <f t="shared" ref="AR60:AS60" si="433">IF((AR23=AR51)*AND(AR23&gt;0),"—","X")</f>
        <v>—</v>
      </c>
      <c r="AS60" s="690" t="str">
        <f t="shared" si="433"/>
        <v>—</v>
      </c>
      <c r="AT60" s="690" t="str">
        <f t="shared" ref="AT60:AW60" si="434">IF((AT23=AT51)*AND(AT23&gt;0),"—","X")</f>
        <v>—</v>
      </c>
      <c r="AU60" s="690" t="str">
        <f t="shared" si="434"/>
        <v>—</v>
      </c>
      <c r="AV60" s="690" t="str">
        <f t="shared" si="434"/>
        <v>—</v>
      </c>
      <c r="AW60" s="690" t="str">
        <f t="shared" si="434"/>
        <v>—</v>
      </c>
      <c r="AX60" s="690" t="str">
        <f t="shared" ref="AX60:BA60" si="435">IF((AX23=AX51)*AND(AX23&gt;0),"—","X")</f>
        <v>—</v>
      </c>
      <c r="AY60" s="690" t="str">
        <f t="shared" si="435"/>
        <v>—</v>
      </c>
      <c r="AZ60" s="690" t="str">
        <f t="shared" si="435"/>
        <v>—</v>
      </c>
      <c r="BA60" s="690" t="str">
        <f t="shared" si="435"/>
        <v>X</v>
      </c>
      <c r="BB60" s="691"/>
      <c r="BC60" s="692"/>
      <c r="BD60" s="692" t="str">
        <f t="shared" ref="BD60:BM60" si="436">IF((BD23=BD51)*AND(BD23&gt;0),"—","X")</f>
        <v>—</v>
      </c>
      <c r="BE60" s="690" t="str">
        <f t="shared" si="436"/>
        <v>—</v>
      </c>
      <c r="BF60" s="690" t="str">
        <f t="shared" si="436"/>
        <v>—</v>
      </c>
      <c r="BG60" s="690" t="str">
        <f t="shared" si="436"/>
        <v>—</v>
      </c>
      <c r="BH60" s="690" t="str">
        <f t="shared" si="436"/>
        <v>—</v>
      </c>
      <c r="BI60" s="690" t="str">
        <f t="shared" si="436"/>
        <v>—</v>
      </c>
      <c r="BJ60" s="690" t="str">
        <f t="shared" si="436"/>
        <v>—</v>
      </c>
      <c r="BK60" s="690" t="str">
        <f t="shared" si="436"/>
        <v>—</v>
      </c>
      <c r="BL60" s="690" t="str">
        <f t="shared" si="436"/>
        <v>—</v>
      </c>
      <c r="BM60" s="690" t="str">
        <f t="shared" si="436"/>
        <v>—</v>
      </c>
      <c r="BN60" s="690" t="str">
        <f t="shared" ref="BN60:BO60" si="437">IF((BN23=BN51)*AND(BN23&gt;0),"—","X")</f>
        <v>—</v>
      </c>
      <c r="BO60" s="690" t="str">
        <f t="shared" si="437"/>
        <v>—</v>
      </c>
      <c r="BP60" s="690" t="str">
        <f t="shared" ref="BP60" si="438">IF((BP23=BP51)*AND(BP23&gt;0),"—","X")</f>
        <v>X</v>
      </c>
    </row>
    <row r="61" spans="1:72" s="200" customFormat="1" ht="11.25" customHeight="1">
      <c r="A61" s="693"/>
      <c r="B61" s="694" t="str">
        <f t="shared" ref="B61:AO61" si="439">IF(B60="X",B23-B51,"")</f>
        <v/>
      </c>
      <c r="C61" s="694">
        <f t="shared" si="439"/>
        <v>45653</v>
      </c>
      <c r="D61" s="694" t="str">
        <f t="shared" si="439"/>
        <v/>
      </c>
      <c r="E61" s="694" t="str">
        <f t="shared" si="439"/>
        <v/>
      </c>
      <c r="F61" s="694" t="str">
        <f t="shared" si="439"/>
        <v/>
      </c>
      <c r="G61" s="694" t="str">
        <f t="shared" si="439"/>
        <v/>
      </c>
      <c r="H61" s="694" t="str">
        <f t="shared" si="439"/>
        <v/>
      </c>
      <c r="I61" s="694" t="str">
        <f t="shared" si="439"/>
        <v/>
      </c>
      <c r="J61" s="694" t="str">
        <f t="shared" si="439"/>
        <v/>
      </c>
      <c r="K61" s="694" t="str">
        <f t="shared" si="439"/>
        <v/>
      </c>
      <c r="L61" s="694" t="str">
        <f t="shared" si="439"/>
        <v/>
      </c>
      <c r="M61" s="694" t="str">
        <f t="shared" si="439"/>
        <v/>
      </c>
      <c r="N61" s="694" t="str">
        <f t="shared" si="439"/>
        <v/>
      </c>
      <c r="O61" s="694" t="str">
        <f t="shared" si="439"/>
        <v/>
      </c>
      <c r="P61" s="694" t="str">
        <f t="shared" si="439"/>
        <v/>
      </c>
      <c r="Q61" s="694" t="str">
        <f t="shared" si="439"/>
        <v/>
      </c>
      <c r="R61" s="694" t="str">
        <f t="shared" si="439"/>
        <v/>
      </c>
      <c r="S61" s="694" t="str">
        <f t="shared" si="439"/>
        <v/>
      </c>
      <c r="T61" s="694" t="str">
        <f t="shared" si="439"/>
        <v/>
      </c>
      <c r="U61" s="694" t="str">
        <f t="shared" si="439"/>
        <v/>
      </c>
      <c r="V61" s="694" t="str">
        <f t="shared" si="439"/>
        <v/>
      </c>
      <c r="W61" s="919" t="str">
        <f t="shared" si="439"/>
        <v/>
      </c>
      <c r="X61" s="919" t="str">
        <f t="shared" si="439"/>
        <v/>
      </c>
      <c r="Y61" s="919" t="str">
        <f t="shared" si="439"/>
        <v/>
      </c>
      <c r="Z61" s="919" t="str">
        <f t="shared" si="439"/>
        <v/>
      </c>
      <c r="AA61" s="919" t="str">
        <f t="shared" si="439"/>
        <v/>
      </c>
      <c r="AB61" s="919" t="str">
        <f t="shared" si="439"/>
        <v/>
      </c>
      <c r="AC61" s="919" t="str">
        <f t="shared" si="439"/>
        <v/>
      </c>
      <c r="AD61" s="919" t="str">
        <f t="shared" si="439"/>
        <v/>
      </c>
      <c r="AE61" s="919" t="str">
        <f t="shared" si="439"/>
        <v/>
      </c>
      <c r="AF61" s="919" t="str">
        <f t="shared" si="439"/>
        <v/>
      </c>
      <c r="AG61" s="919" t="str">
        <f t="shared" si="439"/>
        <v/>
      </c>
      <c r="AH61" s="919" t="str">
        <f t="shared" si="439"/>
        <v/>
      </c>
      <c r="AI61" s="919" t="str">
        <f t="shared" si="439"/>
        <v/>
      </c>
      <c r="AJ61" s="919" t="str">
        <f t="shared" si="439"/>
        <v/>
      </c>
      <c r="AK61" s="919" t="str">
        <f t="shared" ref="AK61" si="440">IF(AK60="X",AK23-AK51,"")</f>
        <v/>
      </c>
      <c r="AL61" s="919" t="str">
        <f>IF(AL60="X",AL23-AL51,"")</f>
        <v/>
      </c>
      <c r="AM61" s="919" t="str">
        <f>IF(AM60="X",AM23-AM51,"")</f>
        <v/>
      </c>
      <c r="AN61" s="919" t="str">
        <f t="shared" si="439"/>
        <v/>
      </c>
      <c r="AO61" s="919" t="str">
        <f t="shared" si="439"/>
        <v/>
      </c>
      <c r="AP61" s="919" t="str">
        <f>IF(AP60="X",AP23-AP51,"")</f>
        <v/>
      </c>
      <c r="AQ61" s="919" t="str">
        <f t="shared" ref="AQ61" si="441">IF(AQ60="X",AQ23-AQ51,"")</f>
        <v/>
      </c>
      <c r="AR61" s="919" t="str">
        <f t="shared" ref="AR61:AS61" si="442">IF(AR60="X",AR23-AR51,"")</f>
        <v/>
      </c>
      <c r="AS61" s="919" t="str">
        <f t="shared" si="442"/>
        <v/>
      </c>
      <c r="AT61" s="919" t="str">
        <f t="shared" ref="AT61:AW61" si="443">IF(AT60="X",AT23-AT51,"")</f>
        <v/>
      </c>
      <c r="AU61" s="919" t="str">
        <f t="shared" si="443"/>
        <v/>
      </c>
      <c r="AV61" s="919" t="str">
        <f t="shared" si="443"/>
        <v/>
      </c>
      <c r="AW61" s="919" t="str">
        <f t="shared" si="443"/>
        <v/>
      </c>
      <c r="AX61" s="919" t="str">
        <f t="shared" ref="AX61:BA61" si="444">IF(AX60="X",AX23-AX51,"")</f>
        <v/>
      </c>
      <c r="AY61" s="919" t="str">
        <f t="shared" si="444"/>
        <v/>
      </c>
      <c r="AZ61" s="919" t="str">
        <f t="shared" si="444"/>
        <v/>
      </c>
      <c r="BA61" s="919">
        <f t="shared" si="444"/>
        <v>-7.2759576141834259E-12</v>
      </c>
      <c r="BB61" s="695"/>
      <c r="BC61" s="695" t="str">
        <f t="shared" ref="BC61:BM61" si="445">IF(BC60="X",BC23-BC51,"")</f>
        <v/>
      </c>
      <c r="BD61" s="694" t="str">
        <f t="shared" si="445"/>
        <v/>
      </c>
      <c r="BE61" s="694" t="str">
        <f t="shared" si="445"/>
        <v/>
      </c>
      <c r="BF61" s="694" t="str">
        <f t="shared" si="445"/>
        <v/>
      </c>
      <c r="BG61" s="694" t="str">
        <f t="shared" si="445"/>
        <v/>
      </c>
      <c r="BH61" s="694" t="str">
        <f t="shared" si="445"/>
        <v/>
      </c>
      <c r="BI61" s="695" t="str">
        <f t="shared" si="445"/>
        <v/>
      </c>
      <c r="BJ61" s="694" t="str">
        <f t="shared" si="445"/>
        <v/>
      </c>
      <c r="BK61" s="694" t="str">
        <f t="shared" si="445"/>
        <v/>
      </c>
      <c r="BL61" s="694" t="str">
        <f t="shared" si="445"/>
        <v/>
      </c>
      <c r="BM61" s="694" t="str">
        <f t="shared" si="445"/>
        <v/>
      </c>
      <c r="BN61" s="694" t="str">
        <f t="shared" ref="BN61:BO61" si="446">IF(BN60="X",BN23-BN51,"")</f>
        <v/>
      </c>
      <c r="BO61" s="694" t="str">
        <f t="shared" si="446"/>
        <v/>
      </c>
      <c r="BP61" s="694">
        <f t="shared" ref="BP61" si="447">IF(BP60="X",BP23-BP51,"")</f>
        <v>-7.2759576141834259E-12</v>
      </c>
      <c r="BR61" s="1426"/>
      <c r="BS61" s="1426"/>
      <c r="BT61" s="1426"/>
    </row>
    <row r="62" spans="1:72" s="327" customFormat="1" ht="12.75" customHeight="1">
      <c r="A62" s="414"/>
      <c r="I62" s="324"/>
      <c r="BR62" s="1405"/>
      <c r="BS62" s="1405"/>
      <c r="BT62" s="1405"/>
    </row>
    <row r="63" spans="1:72" s="327" customFormat="1" ht="12.75" customHeight="1">
      <c r="A63" s="492" t="s">
        <v>232</v>
      </c>
      <c r="I63" s="324"/>
      <c r="BR63" s="1405"/>
      <c r="BS63" s="1405"/>
      <c r="BT63" s="1405"/>
    </row>
    <row r="64" spans="1:72" s="327" customFormat="1" ht="12.75" customHeight="1">
      <c r="A64" s="414" t="s">
        <v>16</v>
      </c>
      <c r="B64" s="905">
        <f>+'Income Statement'!B9</f>
        <v>713</v>
      </c>
      <c r="C64" s="905">
        <f>+'Income Statement'!C9</f>
        <v>923</v>
      </c>
      <c r="D64" s="905">
        <f>+'Income Statement'!D9</f>
        <v>2304</v>
      </c>
      <c r="E64" s="905">
        <f>+'Income Statement'!E9</f>
        <v>754</v>
      </c>
      <c r="F64" s="905">
        <f>+'Income Statement'!F9</f>
        <v>778</v>
      </c>
      <c r="G64" s="905">
        <f>+'Income Statement'!G9</f>
        <v>1016</v>
      </c>
      <c r="H64" s="905">
        <f>+'Income Statement'!H9</f>
        <v>2541</v>
      </c>
      <c r="I64" s="905">
        <f>+'Income Statement'!I9</f>
        <v>842</v>
      </c>
      <c r="J64" s="905">
        <f>+'Income Statement'!J9</f>
        <v>910</v>
      </c>
      <c r="K64" s="905">
        <f>+'Income Statement'!K9</f>
        <v>1339</v>
      </c>
      <c r="L64" s="905">
        <f>+'Income Statement'!L9</f>
        <v>2912</v>
      </c>
      <c r="M64" s="905">
        <f>+'Income Statement'!M9</f>
        <v>864</v>
      </c>
      <c r="N64" s="905">
        <f>+'Income Statement'!N9</f>
        <v>1016</v>
      </c>
      <c r="O64" s="905">
        <f>+'Income Statement'!O9</f>
        <v>1502</v>
      </c>
      <c r="P64" s="905">
        <f>+'Income Statement'!P9</f>
        <v>3272</v>
      </c>
      <c r="Q64" s="905">
        <f>+'Income Statement'!Q9</f>
        <v>994</v>
      </c>
      <c r="R64" s="905">
        <f>+'Income Statement'!R9</f>
        <v>1165</v>
      </c>
      <c r="S64" s="905">
        <f>+'Income Statement'!S9</f>
        <v>1696</v>
      </c>
      <c r="T64" s="905">
        <f>+'Income Statement'!T9</f>
        <v>3002</v>
      </c>
      <c r="U64" s="905">
        <f>+'Income Statement'!U9</f>
        <v>1816</v>
      </c>
      <c r="V64" s="905">
        <f>+'Income Statement'!V9</f>
        <v>1323</v>
      </c>
      <c r="W64" s="905">
        <f>+'Income Statement'!W9</f>
        <v>1576</v>
      </c>
      <c r="X64" s="905">
        <f>+'Income Statement'!X9</f>
        <v>4173</v>
      </c>
      <c r="Y64" s="905">
        <f>+'Income Statement'!Y9</f>
        <v>2561</v>
      </c>
      <c r="Z64" s="905">
        <f>+'Income Statement'!Z9</f>
        <v>2007</v>
      </c>
      <c r="AA64" s="905">
        <f>+'Income Statement'!AA9</f>
        <v>2673</v>
      </c>
      <c r="AB64" s="905">
        <f>+'Income Statement'!AB9</f>
        <v>5631.9999999999991</v>
      </c>
      <c r="AC64" s="905">
        <f>+'Income Statement'!AC9</f>
        <v>2414</v>
      </c>
      <c r="AD64" s="905">
        <f>+'Income Statement'!AD9</f>
        <v>2597</v>
      </c>
      <c r="AE64" s="905">
        <f>+'Income Statement'!AE9</f>
        <v>3041</v>
      </c>
      <c r="AF64" s="905">
        <f>+'Income Statement'!AF9</f>
        <v>6018</v>
      </c>
      <c r="AG64" s="905">
        <f>+'Income Statement'!AG9</f>
        <v>2712</v>
      </c>
      <c r="AH64" s="905">
        <f>+'Income Statement'!AH9</f>
        <v>2978</v>
      </c>
      <c r="AI64" s="905">
        <f>+'Income Statement'!AI9</f>
        <v>3386</v>
      </c>
      <c r="AJ64" s="905">
        <f>+'Income Statement'!AJ9</f>
        <v>6736.9999999999991</v>
      </c>
      <c r="AK64" s="905">
        <f>+'Income Statement'!AK9</f>
        <v>3184.0000000000005</v>
      </c>
      <c r="AL64" s="905">
        <f>+'Income Statement'!AL9</f>
        <v>3283</v>
      </c>
      <c r="AM64" s="905">
        <f>+'Income Statement'!AM9</f>
        <v>3963</v>
      </c>
      <c r="AN64" s="905">
        <f>+'Income Statement'!AN9</f>
        <v>7754</v>
      </c>
      <c r="AO64" s="905">
        <f>+'Income Statement'!AO9</f>
        <v>3831</v>
      </c>
      <c r="AP64" s="905">
        <f>+'Income Statement'!AP9</f>
        <v>3885</v>
      </c>
      <c r="AQ64" s="905">
        <f>+'Income Statement'!AQ9</f>
        <v>4651</v>
      </c>
      <c r="AR64" s="905">
        <f>+'Income Statement'!AR9</f>
        <v>8488.57</v>
      </c>
      <c r="AS64" s="905">
        <f>+'Income Statement'!AS9</f>
        <v>4252.6274999999996</v>
      </c>
      <c r="AT64" s="905">
        <f>+'Income Statement'!AT9</f>
        <v>4417.3</v>
      </c>
      <c r="AU64" s="905">
        <f>+'Income Statement'!AU9</f>
        <v>5301.2951105004904</v>
      </c>
      <c r="AV64" s="905">
        <f>+'Income Statement'!AV9</f>
        <v>9303.2677381828289</v>
      </c>
      <c r="AW64" s="905">
        <f>+'Income Statement'!AW9</f>
        <v>4745.4742171638809</v>
      </c>
      <c r="AX64" s="905">
        <f>+'Income Statement'!AX9</f>
        <v>4978.4313475080407</v>
      </c>
      <c r="AY64" s="905">
        <f>+'Income Statement'!AY9</f>
        <v>6023.0443072607904</v>
      </c>
      <c r="AZ64" s="905">
        <f>+'Income Statement'!AZ9</f>
        <v>10237.364326980149</v>
      </c>
      <c r="BA64" s="905">
        <f>+'Income Statement'!BA9</f>
        <v>5332.8723519617597</v>
      </c>
      <c r="BR64" s="1405"/>
      <c r="BS64" s="1405"/>
      <c r="BT64" s="1405"/>
    </row>
    <row r="65" spans="1:72" s="327" customFormat="1" ht="12.75" customHeight="1">
      <c r="A65" s="414" t="s">
        <v>334</v>
      </c>
      <c r="B65" s="905">
        <f>+'Income Statement'!B15</f>
        <v>158</v>
      </c>
      <c r="C65" s="905">
        <f>+'Income Statement'!C15</f>
        <v>191</v>
      </c>
      <c r="D65" s="905">
        <f>+'Income Statement'!D15</f>
        <v>209</v>
      </c>
      <c r="E65" s="905">
        <f>+'Income Statement'!E15</f>
        <v>164</v>
      </c>
      <c r="F65" s="905">
        <f>+'Income Statement'!F15</f>
        <v>178</v>
      </c>
      <c r="G65" s="905">
        <f>+'Income Statement'!G15</f>
        <v>201</v>
      </c>
      <c r="H65" s="905">
        <f>+'Income Statement'!H15</f>
        <v>232</v>
      </c>
      <c r="I65" s="905">
        <f>+'Income Statement'!I15</f>
        <v>178</v>
      </c>
      <c r="J65" s="905">
        <f>+'Income Statement'!J15</f>
        <v>193</v>
      </c>
      <c r="K65" s="905">
        <f>+'Income Statement'!K15</f>
        <v>230</v>
      </c>
      <c r="L65" s="905">
        <f>+'Income Statement'!L15</f>
        <v>286</v>
      </c>
      <c r="M65" s="905">
        <f>+'Income Statement'!M15</f>
        <v>211</v>
      </c>
      <c r="N65" s="905">
        <f>+'Income Statement'!N15</f>
        <v>228</v>
      </c>
      <c r="O65" s="905">
        <f>+'Income Statement'!O15</f>
        <v>265</v>
      </c>
      <c r="P65" s="905">
        <f>+'Income Statement'!P15</f>
        <v>334</v>
      </c>
      <c r="Q65" s="905">
        <f>+'Income Statement'!Q15</f>
        <v>262</v>
      </c>
      <c r="R65" s="905">
        <f>+'Income Statement'!R15</f>
        <v>269</v>
      </c>
      <c r="S65" s="905">
        <f>+'Income Statement'!S15</f>
        <v>320</v>
      </c>
      <c r="T65" s="905">
        <f>+'Income Statement'!T15</f>
        <v>406</v>
      </c>
      <c r="U65" s="905">
        <f>+'Income Statement'!U15</f>
        <v>301</v>
      </c>
      <c r="V65" s="905">
        <f>+'Income Statement'!V15</f>
        <v>234</v>
      </c>
      <c r="W65" s="905">
        <f>+'Income Statement'!W15</f>
        <v>337</v>
      </c>
      <c r="X65" s="905">
        <f>+'Income Statement'!X15</f>
        <v>565</v>
      </c>
      <c r="Y65" s="905">
        <f>+'Income Statement'!Y15</f>
        <v>428</v>
      </c>
      <c r="Z65" s="905">
        <f>+'Income Statement'!Z15</f>
        <v>375</v>
      </c>
      <c r="AA65" s="905">
        <f>+'Income Statement'!AA15</f>
        <v>485</v>
      </c>
      <c r="AB65" s="905">
        <f>+'Income Statement'!AB15</f>
        <v>742</v>
      </c>
      <c r="AC65" s="905">
        <f>+'Income Statement'!AC15</f>
        <v>518</v>
      </c>
      <c r="AD65" s="905">
        <f>+'Income Statement'!AD15</f>
        <v>549</v>
      </c>
      <c r="AE65" s="905">
        <f>+'Income Statement'!AE15</f>
        <v>641</v>
      </c>
      <c r="AF65" s="905">
        <f>+'Income Statement'!AF15</f>
        <v>827</v>
      </c>
      <c r="AG65" s="905">
        <f>+'Income Statement'!AG15</f>
        <v>589</v>
      </c>
      <c r="AH65" s="905">
        <f>+'Income Statement'!AH15</f>
        <v>621</v>
      </c>
      <c r="AI65" s="905">
        <f>+'Income Statement'!AI15</f>
        <v>718</v>
      </c>
      <c r="AJ65" s="905">
        <f>+'Income Statement'!AJ15</f>
        <v>933</v>
      </c>
      <c r="AK65" s="905">
        <f>+'Income Statement'!AK15</f>
        <v>645</v>
      </c>
      <c r="AL65" s="905">
        <f>+'Income Statement'!AL15</f>
        <v>675</v>
      </c>
      <c r="AM65" s="905">
        <f>+'Income Statement'!AM15</f>
        <v>790</v>
      </c>
      <c r="AN65" s="905">
        <f>+'Income Statement'!AN15</f>
        <v>1055</v>
      </c>
      <c r="AO65" s="905">
        <f>+'Income Statement'!AO15</f>
        <v>749</v>
      </c>
      <c r="AP65" s="905">
        <f>+'Income Statement'!AP15</f>
        <v>742</v>
      </c>
      <c r="AQ65" s="905">
        <f>+'Income Statement'!AQ15</f>
        <v>905</v>
      </c>
      <c r="AR65" s="905">
        <f>+'Income Statement'!AR15</f>
        <v>1158.3487946919313</v>
      </c>
      <c r="AS65" s="905">
        <f>+'Income Statement'!AS15</f>
        <v>837.01950039539156</v>
      </c>
      <c r="AT65" s="905">
        <f>+'Income Statement'!AT15</f>
        <v>848.13785722849968</v>
      </c>
      <c r="AU65" s="905">
        <f>+'Income Statement'!AU15</f>
        <v>1042.9290240786847</v>
      </c>
      <c r="AV65" s="905">
        <f>+'Income Statement'!AV15</f>
        <v>1273.4117853917912</v>
      </c>
      <c r="AW65" s="905">
        <f>+'Income Statement'!AW15</f>
        <v>940.16541305991564</v>
      </c>
      <c r="AX65" s="905">
        <f>+'Income Statement'!AX15</f>
        <v>961.48979785846302</v>
      </c>
      <c r="AY65" s="905">
        <f>+'Income Statement'!AY15</f>
        <v>1197.830575835671</v>
      </c>
      <c r="AZ65" s="905">
        <f>+'Income Statement'!AZ15</f>
        <v>1405.8499303925648</v>
      </c>
      <c r="BA65" s="905">
        <f>+'Income Statement'!BA15</f>
        <v>1063.2876500525883</v>
      </c>
      <c r="BR65" s="1405"/>
      <c r="BS65" s="1405"/>
      <c r="BT65" s="1405"/>
    </row>
    <row r="66" spans="1:72" s="327" customFormat="1" ht="12.75" customHeight="1">
      <c r="A66" s="414" t="s">
        <v>335</v>
      </c>
      <c r="B66" s="905">
        <f>+'Income Statement'!B21</f>
        <v>192</v>
      </c>
      <c r="C66" s="905">
        <f>+'Income Statement'!C21</f>
        <v>184</v>
      </c>
      <c r="D66" s="905">
        <f>+'Income Statement'!D21</f>
        <v>207</v>
      </c>
      <c r="E66" s="905">
        <f>+'Income Statement'!E21</f>
        <v>208</v>
      </c>
      <c r="F66" s="905">
        <f>+'Income Statement'!F21</f>
        <v>210</v>
      </c>
      <c r="G66" s="905">
        <f>+'Income Statement'!G21</f>
        <v>214</v>
      </c>
      <c r="H66" s="905">
        <f>+'Income Statement'!H21</f>
        <v>222</v>
      </c>
      <c r="I66" s="905">
        <f>+'Income Statement'!I21</f>
        <v>230</v>
      </c>
      <c r="J66" s="905">
        <f>+'Income Statement'!J21</f>
        <v>254</v>
      </c>
      <c r="K66" s="905">
        <f>+'Income Statement'!K21</f>
        <v>256</v>
      </c>
      <c r="L66" s="905">
        <f>+'Income Statement'!L21</f>
        <v>266</v>
      </c>
      <c r="M66" s="905">
        <f>+'Income Statement'!M21</f>
        <v>277</v>
      </c>
      <c r="N66" s="905">
        <f>+'Income Statement'!N21</f>
        <v>259</v>
      </c>
      <c r="O66" s="905">
        <f>+'Income Statement'!O21</f>
        <v>261</v>
      </c>
      <c r="P66" s="905">
        <f>+'Income Statement'!P21</f>
        <v>279</v>
      </c>
      <c r="Q66" s="905">
        <f>+'Income Statement'!Q21</f>
        <v>298</v>
      </c>
      <c r="R66" s="905">
        <f>+'Income Statement'!R21</f>
        <v>296</v>
      </c>
      <c r="S66" s="905">
        <f>+'Income Statement'!S21</f>
        <v>296</v>
      </c>
      <c r="T66" s="905">
        <f>+'Income Statement'!T21</f>
        <v>296</v>
      </c>
      <c r="U66" s="905">
        <f>+'Income Statement'!U21</f>
        <v>353</v>
      </c>
      <c r="V66" s="905">
        <f>+'Income Statement'!V21</f>
        <v>287</v>
      </c>
      <c r="W66" s="905">
        <f>+'Income Statement'!W21</f>
        <v>301</v>
      </c>
      <c r="X66" s="905">
        <f>+'Income Statement'!X21</f>
        <v>382</v>
      </c>
      <c r="Y66" s="905">
        <f>+'Income Statement'!Y21</f>
        <v>427</v>
      </c>
      <c r="Z66" s="905">
        <f>+'Income Statement'!Z21</f>
        <v>421</v>
      </c>
      <c r="AA66" s="905">
        <f>+'Income Statement'!AA21</f>
        <v>458</v>
      </c>
      <c r="AB66" s="905">
        <f>+'Income Statement'!AB21</f>
        <v>462</v>
      </c>
      <c r="AC66" s="905">
        <f>+'Income Statement'!AC21</f>
        <v>485</v>
      </c>
      <c r="AD66" s="905">
        <f>+'Income Statement'!AD21</f>
        <v>489</v>
      </c>
      <c r="AE66" s="905">
        <f>+'Income Statement'!AE21</f>
        <v>498</v>
      </c>
      <c r="AF66" s="905">
        <f>+'Income Statement'!AF21</f>
        <v>488</v>
      </c>
      <c r="AG66" s="905">
        <f>+'Income Statement'!AG21</f>
        <v>532</v>
      </c>
      <c r="AH66" s="905">
        <f>+'Income Statement'!AH21</f>
        <v>519</v>
      </c>
      <c r="AI66" s="905">
        <f>+'Income Statement'!AI21</f>
        <v>516</v>
      </c>
      <c r="AJ66" s="905">
        <f>+'Income Statement'!AJ21</f>
        <v>516</v>
      </c>
      <c r="AK66" s="905">
        <f>+'Income Statement'!AK21</f>
        <v>564</v>
      </c>
      <c r="AL66" s="905">
        <f>+'Income Statement'!AL21</f>
        <v>543</v>
      </c>
      <c r="AM66" s="905">
        <f>+'Income Statement'!AM21</f>
        <v>555</v>
      </c>
      <c r="AN66" s="905">
        <f>+'Income Statement'!AN21</f>
        <v>559</v>
      </c>
      <c r="AO66" s="905">
        <f>+'Income Statement'!AO21</f>
        <v>642</v>
      </c>
      <c r="AP66" s="905">
        <f>+'Income Statement'!AP21</f>
        <v>658</v>
      </c>
      <c r="AQ66" s="905">
        <f>+'Income Statement'!AQ21</f>
        <v>658</v>
      </c>
      <c r="AR66" s="905">
        <f>+'Income Statement'!AR21</f>
        <v>620.44506084343561</v>
      </c>
      <c r="AS66" s="905">
        <f>+'Income Statement'!AS21</f>
        <v>670.13017370790908</v>
      </c>
      <c r="AT66" s="905">
        <f>+'Income Statement'!AT21</f>
        <v>739.32071531531528</v>
      </c>
      <c r="AU66" s="905">
        <f>+'Income Statement'!AU21</f>
        <v>739.39787907792879</v>
      </c>
      <c r="AV66" s="905">
        <f>+'Income Statement'!AV21</f>
        <v>661.38626871322299</v>
      </c>
      <c r="AW66" s="905">
        <f>+'Income Statement'!AW21</f>
        <v>738.30214218422168</v>
      </c>
      <c r="AX66" s="905">
        <f>+'Income Statement'!AX21</f>
        <v>823.28005238610444</v>
      </c>
      <c r="AY66" s="905">
        <f>+'Income Statement'!AY21</f>
        <v>828.01772476571068</v>
      </c>
      <c r="AZ66" s="905">
        <f>+'Income Statement'!AZ21</f>
        <v>707.31816995198483</v>
      </c>
      <c r="BA66" s="905">
        <f>+'Income Statement'!BA21</f>
        <v>819.02395568633062</v>
      </c>
      <c r="BR66" s="1405"/>
      <c r="BS66" s="1405"/>
      <c r="BT66" s="1405"/>
    </row>
    <row r="67" spans="1:72" s="327" customFormat="1" ht="12.75" customHeight="1">
      <c r="A67" s="414" t="s">
        <v>1</v>
      </c>
      <c r="B67" s="905">
        <f>+'Income Statement'!B24</f>
        <v>46</v>
      </c>
      <c r="C67" s="905">
        <f>+'Income Statement'!C24</f>
        <v>114</v>
      </c>
      <c r="D67" s="905">
        <f>+'Income Statement'!D24</f>
        <v>1359</v>
      </c>
      <c r="E67" s="905">
        <f>+'Income Statement'!E24</f>
        <v>36</v>
      </c>
      <c r="F67" s="905">
        <f>+'Income Statement'!F24</f>
        <v>32</v>
      </c>
      <c r="G67" s="905">
        <f>+'Income Statement'!G24</f>
        <v>106</v>
      </c>
      <c r="H67" s="905">
        <f>+'Income Statement'!H24</f>
        <v>1519</v>
      </c>
      <c r="I67" s="905">
        <f>+'Income Statement'!I24</f>
        <v>78</v>
      </c>
      <c r="J67" s="905">
        <f>+'Income Statement'!J24</f>
        <v>65</v>
      </c>
      <c r="K67" s="905">
        <f>+'Income Statement'!K24</f>
        <v>294</v>
      </c>
      <c r="L67" s="905">
        <f>+'Income Statement'!L24</f>
        <v>1700</v>
      </c>
      <c r="M67" s="905">
        <f>+'Income Statement'!M24</f>
        <v>-15</v>
      </c>
      <c r="N67" s="905">
        <f>+'Income Statement'!N24</f>
        <v>102</v>
      </c>
      <c r="O67" s="905">
        <f>+'Income Statement'!O24</f>
        <v>339</v>
      </c>
      <c r="P67" s="905">
        <f>+'Income Statement'!P24</f>
        <v>1888</v>
      </c>
      <c r="Q67" s="905">
        <f>+'Income Statement'!Q24</f>
        <v>-47</v>
      </c>
      <c r="R67" s="905">
        <f>+'Income Statement'!R24</f>
        <v>129</v>
      </c>
      <c r="S67" s="905">
        <f>+'Income Statement'!S24</f>
        <v>384</v>
      </c>
      <c r="T67" s="905">
        <f>+'Income Statement'!T24</f>
        <v>1539</v>
      </c>
      <c r="U67" s="905">
        <f>+'Income Statement'!U24</f>
        <v>616</v>
      </c>
      <c r="V67" s="905">
        <f>+'Income Statement'!V24</f>
        <v>334</v>
      </c>
      <c r="W67" s="905">
        <f>+'Income Statement'!W24</f>
        <v>235</v>
      </c>
      <c r="X67" s="905">
        <f>+'Income Statement'!X24</f>
        <v>2201</v>
      </c>
      <c r="Y67" s="905">
        <f>+'Income Statement'!Y24</f>
        <v>715</v>
      </c>
      <c r="Z67" s="905">
        <f>+'Income Statement'!Z24</f>
        <v>555</v>
      </c>
      <c r="AA67" s="905">
        <f>+'Income Statement'!AA24</f>
        <v>612</v>
      </c>
      <c r="AB67" s="905">
        <f>+'Income Statement'!AB24</f>
        <v>2903.9999999999991</v>
      </c>
      <c r="AC67" s="905">
        <f>+'Income Statement'!AC24</f>
        <v>433</v>
      </c>
      <c r="AD67" s="905">
        <f>+'Income Statement'!AD24</f>
        <v>662</v>
      </c>
      <c r="AE67" s="905">
        <f>+'Income Statement'!AE24</f>
        <v>856</v>
      </c>
      <c r="AF67" s="905">
        <f>+'Income Statement'!AF24</f>
        <v>3358</v>
      </c>
      <c r="AG67" s="905">
        <f>+'Income Statement'!AG24</f>
        <v>627</v>
      </c>
      <c r="AH67" s="905">
        <f>+'Income Statement'!AH24</f>
        <v>960</v>
      </c>
      <c r="AI67" s="905">
        <f>+'Income Statement'!AI24</f>
        <v>1000</v>
      </c>
      <c r="AJ67" s="905">
        <f>+'Income Statement'!AJ24</f>
        <v>3711.9999999999991</v>
      </c>
      <c r="AK67" s="905">
        <f>+'Income Statement'!AK24</f>
        <v>730.00000000000045</v>
      </c>
      <c r="AL67" s="905">
        <f>+'Income Statement'!AL24</f>
        <v>953</v>
      </c>
      <c r="AM67" s="905">
        <f>+'Income Statement'!AM24</f>
        <v>1260</v>
      </c>
      <c r="AN67" s="905">
        <f>+'Income Statement'!AN24</f>
        <v>4343</v>
      </c>
      <c r="AO67" s="905">
        <f>+'Income Statement'!AO24</f>
        <v>1016</v>
      </c>
      <c r="AP67" s="905">
        <f>+'Income Statement'!AP24</f>
        <v>1258</v>
      </c>
      <c r="AQ67" s="905">
        <f>+'Income Statement'!AQ24</f>
        <v>1549</v>
      </c>
      <c r="AR67" s="905">
        <f>+'Income Statement'!AR24</f>
        <v>4627.942857254161</v>
      </c>
      <c r="AS67" s="905">
        <f>+'Income Statement'!AS24</f>
        <v>1228.5463926645148</v>
      </c>
      <c r="AT67" s="905">
        <f>+'Income Statement'!AT24</f>
        <v>1456.8115567998143</v>
      </c>
      <c r="AU67" s="905">
        <f>+'Income Statement'!AU24</f>
        <v>1796.5955490539113</v>
      </c>
      <c r="AV67" s="905">
        <f>+'Income Statement'!AV24</f>
        <v>5151.9535475306529</v>
      </c>
      <c r="AW67" s="905">
        <f>+'Income Statement'!AW24</f>
        <v>1378.0030774879033</v>
      </c>
      <c r="AX67" s="905">
        <f>+'Income Statement'!AX24</f>
        <v>1666.1288302553016</v>
      </c>
      <c r="AY67" s="905">
        <f>+'Income Statement'!AY24</f>
        <v>2064.4216789570528</v>
      </c>
      <c r="AZ67" s="905">
        <f>+'Income Statement'!AZ24</f>
        <v>5724.0322973526327</v>
      </c>
      <c r="BA67" s="905">
        <f>+'Income Statement'!BA24</f>
        <v>1589.8212171583409</v>
      </c>
      <c r="BR67" s="1405"/>
      <c r="BS67" s="1405"/>
      <c r="BT67" s="1405"/>
    </row>
    <row r="68" spans="1:72" s="327" customFormat="1" ht="13.15" customHeight="1">
      <c r="A68" s="414" t="s">
        <v>3</v>
      </c>
      <c r="B68" s="905">
        <f>+'Income Statement'!B33</f>
        <v>24</v>
      </c>
      <c r="C68" s="905">
        <f>+'Income Statement'!C33</f>
        <v>67</v>
      </c>
      <c r="D68" s="905">
        <f>+'Income Statement'!D33</f>
        <v>893</v>
      </c>
      <c r="E68" s="905">
        <f>+'Income Statement'!E33</f>
        <v>20</v>
      </c>
      <c r="F68" s="905">
        <f>+'Income Statement'!F33</f>
        <v>15</v>
      </c>
      <c r="G68" s="905">
        <f>+'Income Statement'!G33</f>
        <v>67</v>
      </c>
      <c r="H68" s="905">
        <f>+'Income Statement'!H33</f>
        <v>1015</v>
      </c>
      <c r="I68" s="905">
        <f>+'Income Statement'!I33</f>
        <v>53</v>
      </c>
      <c r="J68" s="905">
        <f>+'Income Statement'!J33</f>
        <v>44</v>
      </c>
      <c r="K68" s="905">
        <f>+'Income Statement'!K33</f>
        <v>219</v>
      </c>
      <c r="L68" s="905">
        <f>+'Income Statement'!L33</f>
        <v>1251</v>
      </c>
      <c r="M68" s="905">
        <f>+'Income Statement'!M33</f>
        <v>-3</v>
      </c>
      <c r="N68" s="905">
        <f>+'Income Statement'!N33</f>
        <v>76</v>
      </c>
      <c r="O68" s="905">
        <f>+'Income Statement'!O33</f>
        <v>264</v>
      </c>
      <c r="P68" s="905">
        <f>+'Income Statement'!P33</f>
        <v>1465</v>
      </c>
      <c r="Q68" s="905">
        <f>+'Income Statement'!Q33</f>
        <v>-23</v>
      </c>
      <c r="R68" s="905">
        <f>+'Income Statement'!R33</f>
        <v>109</v>
      </c>
      <c r="S68" s="905">
        <f>+'Income Statement'!S33</f>
        <v>306</v>
      </c>
      <c r="T68" s="905">
        <f>+'Income Statement'!T33</f>
        <v>1183</v>
      </c>
      <c r="U68" s="905">
        <f>+'Income Statement'!U33</f>
        <v>477</v>
      </c>
      <c r="V68" s="905">
        <f>+'Income Statement'!V33</f>
        <v>250</v>
      </c>
      <c r="W68" s="905">
        <f>+'Income Statement'!W33</f>
        <v>185</v>
      </c>
      <c r="X68" s="905">
        <f>+'Income Statement'!X33</f>
        <v>1678</v>
      </c>
      <c r="Y68" s="905">
        <f>+'Income Statement'!Y33</f>
        <v>544</v>
      </c>
      <c r="Z68" s="905">
        <f>+'Income Statement'!Z33</f>
        <v>423</v>
      </c>
      <c r="AA68" s="905">
        <f>+'Income Statement'!AA33</f>
        <v>446</v>
      </c>
      <c r="AB68" s="905">
        <f>+'Income Statement'!AB33</f>
        <v>2184.9999999999991</v>
      </c>
      <c r="AC68" s="905">
        <f>+'Income Statement'!AC33</f>
        <v>311</v>
      </c>
      <c r="AD68" s="905">
        <f>+'Income Statement'!AD33</f>
        <v>470</v>
      </c>
      <c r="AE68" s="905">
        <f>+'Income Statement'!AE33</f>
        <v>620</v>
      </c>
      <c r="AF68" s="905">
        <f>+'Income Statement'!AF33</f>
        <v>2523</v>
      </c>
      <c r="AG68" s="905">
        <f>+'Income Statement'!AG33</f>
        <v>467</v>
      </c>
      <c r="AH68" s="905">
        <f>+'Income Statement'!AH33</f>
        <v>698</v>
      </c>
      <c r="AI68" s="905">
        <f>+'Income Statement'!AI33</f>
        <v>746</v>
      </c>
      <c r="AJ68" s="905">
        <f>+'Income Statement'!AJ33</f>
        <v>2803.9999999999991</v>
      </c>
      <c r="AK68" s="905">
        <f>+'Income Statement'!AK33</f>
        <v>563.00000000000045</v>
      </c>
      <c r="AL68" s="905">
        <f>+'Income Statement'!AL33</f>
        <v>709</v>
      </c>
      <c r="AM68" s="905">
        <f>+'Income Statement'!AM33</f>
        <v>938</v>
      </c>
      <c r="AN68" s="905">
        <f>+'Income Statement'!AN33</f>
        <v>3280</v>
      </c>
      <c r="AO68" s="905">
        <f>+'Income Statement'!AO33</f>
        <v>776</v>
      </c>
      <c r="AP68" s="905">
        <f>+'Income Statement'!AP33</f>
        <v>939</v>
      </c>
      <c r="AQ68" s="905">
        <f>+'Income Statement'!AQ33</f>
        <v>1160</v>
      </c>
      <c r="AR68" s="905">
        <f>+'Income Statement'!AR33</f>
        <v>3493.5643875596988</v>
      </c>
      <c r="AS68" s="905">
        <f>+'Income Statement'!AS33</f>
        <v>900.88142461001473</v>
      </c>
      <c r="AT68" s="905">
        <f>+'Income Statement'!AT33</f>
        <v>1094.2694704960522</v>
      </c>
      <c r="AU68" s="905">
        <f>+'Income Statement'!AU33</f>
        <v>1352.6455464758701</v>
      </c>
      <c r="AV68" s="905">
        <f>+'Income Statement'!AV33</f>
        <v>3870.4502378239758</v>
      </c>
      <c r="AW68" s="905">
        <f>+'Income Statement'!AW33</f>
        <v>1008.9979204630303</v>
      </c>
      <c r="AX68" s="905">
        <f>+'Income Statement'!AX33</f>
        <v>1253.9068116537183</v>
      </c>
      <c r="AY68" s="905">
        <f>+'Income Statement'!AY33</f>
        <v>1556.9050925920069</v>
      </c>
      <c r="AZ68" s="905">
        <f>+'Income Statement'!AZ33</f>
        <v>4306.7502576300485</v>
      </c>
      <c r="BA68" s="905">
        <f>+'Income Statement'!BA33</f>
        <v>1170.5425654306255</v>
      </c>
      <c r="BR68" s="1405"/>
      <c r="BS68" s="1405"/>
      <c r="BT68" s="1405"/>
    </row>
    <row r="69" spans="1:72" s="327" customFormat="1" ht="13.15" customHeight="1">
      <c r="A69" s="697"/>
      <c r="BR69" s="1405"/>
      <c r="BS69" s="1405"/>
      <c r="BT69" s="1405"/>
    </row>
    <row r="70" spans="1:72" s="327" customFormat="1" ht="12.75" customHeight="1">
      <c r="A70" s="414" t="s">
        <v>336</v>
      </c>
      <c r="B70" s="327">
        <f t="shared" ref="B70:V70" si="448">+(B8/B64)*91.25</f>
        <v>15.869565217391305</v>
      </c>
      <c r="C70" s="327">
        <f t="shared" si="448"/>
        <v>50.617551462621883</v>
      </c>
      <c r="D70" s="327">
        <f t="shared" si="448"/>
        <v>8.4754774305555554</v>
      </c>
      <c r="E70" s="327">
        <f t="shared" si="448"/>
        <v>13.070291777188331</v>
      </c>
      <c r="F70" s="327">
        <f t="shared" si="448"/>
        <v>14.191838046272494</v>
      </c>
      <c r="G70" s="327">
        <f t="shared" si="448"/>
        <v>46.792568897637793</v>
      </c>
      <c r="H70" s="327">
        <f t="shared" si="448"/>
        <v>8.798209366391184</v>
      </c>
      <c r="I70" s="327">
        <f t="shared" si="448"/>
        <v>11.162410926365796</v>
      </c>
      <c r="J70" s="327">
        <f t="shared" si="448"/>
        <v>11.631868131868131</v>
      </c>
      <c r="K70" s="327">
        <f t="shared" si="448"/>
        <v>36.254667662434649</v>
      </c>
      <c r="L70" s="327">
        <f t="shared" si="448"/>
        <v>9.6827781593406588</v>
      </c>
      <c r="M70" s="327">
        <f t="shared" si="448"/>
        <v>10.35011574074074</v>
      </c>
      <c r="N70" s="327">
        <f t="shared" si="448"/>
        <v>6.9156003937007879</v>
      </c>
      <c r="O70" s="327">
        <f t="shared" si="448"/>
        <v>33.656790945406129</v>
      </c>
      <c r="P70" s="327">
        <f t="shared" si="448"/>
        <v>7.306693154034229</v>
      </c>
      <c r="Q70" s="327">
        <f t="shared" si="448"/>
        <v>7.9866700201207248</v>
      </c>
      <c r="R70" s="327">
        <f t="shared" si="448"/>
        <v>8.1459227467811157</v>
      </c>
      <c r="S70" s="327">
        <f t="shared" si="448"/>
        <v>32.443248820754718</v>
      </c>
      <c r="T70" s="327">
        <f t="shared" si="448"/>
        <v>6.6568121252498331</v>
      </c>
      <c r="U70" s="327">
        <f t="shared" si="448"/>
        <v>7.486921806167401</v>
      </c>
      <c r="V70" s="327">
        <f t="shared" si="448"/>
        <v>6.8282312925170068</v>
      </c>
      <c r="W70" s="327">
        <f t="shared" ref="W70:Y70" si="449">+(W8/W64)*91.25</f>
        <v>26.923381979695431</v>
      </c>
      <c r="X70" s="327">
        <f t="shared" si="449"/>
        <v>12.114186436616343</v>
      </c>
      <c r="Y70" s="327">
        <f t="shared" si="449"/>
        <v>13.931569699336197</v>
      </c>
      <c r="Z70" s="327">
        <f t="shared" ref="Z70:AC70" si="450">+(Z8/Z64)*91.25</f>
        <v>18.686472346786246</v>
      </c>
      <c r="AA70" s="327">
        <f t="shared" si="450"/>
        <v>30.348391320613541</v>
      </c>
      <c r="AB70" s="327">
        <f t="shared" si="450"/>
        <v>11.957120028409093</v>
      </c>
      <c r="AC70" s="327">
        <f t="shared" si="450"/>
        <v>16.8589478044739</v>
      </c>
      <c r="AD70" s="327">
        <f t="shared" ref="AD70:AG70" si="451">+(AD8/AD64)*91.25</f>
        <v>13.492491336157103</v>
      </c>
      <c r="AE70" s="327">
        <f t="shared" si="451"/>
        <v>27.095938835909244</v>
      </c>
      <c r="AF70" s="327">
        <f t="shared" si="451"/>
        <v>10.871759720837487</v>
      </c>
      <c r="AG70" s="327">
        <f t="shared" si="451"/>
        <v>13.626935840707965</v>
      </c>
      <c r="AH70" s="327">
        <f t="shared" ref="AH70:AN70" si="452">+(AH8/AH64)*91.25</f>
        <v>11.398589657488246</v>
      </c>
      <c r="AI70" s="327">
        <f t="shared" si="452"/>
        <v>25.008860011813351</v>
      </c>
      <c r="AJ70" s="327">
        <f t="shared" si="452"/>
        <v>10.700237494433726</v>
      </c>
      <c r="AK70" s="327">
        <f t="shared" si="452"/>
        <v>13.097126256281404</v>
      </c>
      <c r="AL70" s="327">
        <f t="shared" si="452"/>
        <v>11.840542187024065</v>
      </c>
      <c r="AM70" s="327">
        <f t="shared" si="452"/>
        <v>23.416919000757005</v>
      </c>
      <c r="AN70" s="327">
        <f t="shared" si="452"/>
        <v>8.5201186484395155</v>
      </c>
      <c r="AO70" s="327">
        <f t="shared" ref="AO70:AP70" si="453">+(AO8/AO64)*91.25</f>
        <v>12.623988514748108</v>
      </c>
      <c r="AP70" s="327">
        <f t="shared" si="453"/>
        <v>13.599420849420849</v>
      </c>
      <c r="AQ70" s="327">
        <f t="shared" ref="AQ70" si="454">+(AQ8/AQ64)*91.25</f>
        <v>23.052838099333474</v>
      </c>
      <c r="AR70" s="698">
        <f t="shared" ref="AR70" si="455">+AN70</f>
        <v>8.5201186484395155</v>
      </c>
      <c r="AS70" s="698">
        <f t="shared" ref="AS70" si="456">+AO70</f>
        <v>12.623988514748108</v>
      </c>
      <c r="AT70" s="698">
        <f t="shared" ref="AT70:AW70" si="457">+AP70+1</f>
        <v>14.599420849420849</v>
      </c>
      <c r="AU70" s="698">
        <f t="shared" si="457"/>
        <v>24.052838099333474</v>
      </c>
      <c r="AV70" s="698">
        <f t="shared" si="457"/>
        <v>9.5201186484395155</v>
      </c>
      <c r="AW70" s="698">
        <f t="shared" si="457"/>
        <v>13.623988514748108</v>
      </c>
      <c r="AX70" s="698">
        <f t="shared" ref="AX70" si="458">+AT70+1</f>
        <v>15.599420849420849</v>
      </c>
      <c r="AY70" s="698">
        <f t="shared" ref="AY70" si="459">+AU70+1</f>
        <v>25.052838099333474</v>
      </c>
      <c r="AZ70" s="698">
        <f t="shared" ref="AZ70" si="460">+AV70+1</f>
        <v>10.520118648439515</v>
      </c>
      <c r="BA70" s="698">
        <f t="shared" ref="BA70" si="461">+AW70+1</f>
        <v>14.623988514748108</v>
      </c>
      <c r="BR70" s="1405"/>
      <c r="BS70" s="1405"/>
      <c r="BT70" s="1405"/>
    </row>
    <row r="71" spans="1:72" s="327" customFormat="1" ht="13.15" customHeight="1">
      <c r="A71" s="414"/>
      <c r="BR71" s="1405"/>
      <c r="BS71" s="1405"/>
      <c r="BT71" s="1405"/>
    </row>
    <row r="72" spans="1:72" s="327" customFormat="1" ht="12.75" customHeight="1">
      <c r="A72" s="492" t="s">
        <v>17</v>
      </c>
      <c r="I72" s="324"/>
      <c r="BR72" s="1405"/>
      <c r="BS72" s="1405"/>
      <c r="BT72" s="1405"/>
    </row>
    <row r="73" spans="1:72" s="327" customFormat="1" ht="13.15" customHeight="1">
      <c r="A73" s="697" t="s">
        <v>110</v>
      </c>
      <c r="B73" s="699">
        <f t="shared" ref="B73:V73" si="462">B9/B64</f>
        <v>0.14025245441795231</v>
      </c>
      <c r="C73" s="699">
        <f t="shared" si="462"/>
        <v>49.578548212351031</v>
      </c>
      <c r="D73" s="699">
        <f t="shared" si="462"/>
        <v>1.736111111111111E-3</v>
      </c>
      <c r="E73" s="699">
        <f t="shared" si="462"/>
        <v>2.6525198938992044E-2</v>
      </c>
      <c r="F73" s="699">
        <f t="shared" si="462"/>
        <v>7.3264781491002573E-2</v>
      </c>
      <c r="G73" s="699">
        <f t="shared" si="462"/>
        <v>4.0354330708661415E-2</v>
      </c>
      <c r="H73" s="699">
        <f t="shared" si="462"/>
        <v>0</v>
      </c>
      <c r="I73" s="699">
        <f t="shared" si="462"/>
        <v>7.4821852731591448E-2</v>
      </c>
      <c r="J73" s="699">
        <f t="shared" si="462"/>
        <v>6.7032967032967031E-2</v>
      </c>
      <c r="K73" s="699">
        <f t="shared" si="462"/>
        <v>2.4645257654966394E-2</v>
      </c>
      <c r="L73" s="699">
        <f t="shared" si="462"/>
        <v>6.8681318681318687E-4</v>
      </c>
      <c r="M73" s="699">
        <f t="shared" si="462"/>
        <v>4.5138888888888888E-2</v>
      </c>
      <c r="N73" s="699">
        <f t="shared" si="462"/>
        <v>0.1141732283464567</v>
      </c>
      <c r="O73" s="699">
        <f t="shared" si="462"/>
        <v>4.6604527296937419E-2</v>
      </c>
      <c r="P73" s="699">
        <f t="shared" si="462"/>
        <v>9.1687041564792176E-4</v>
      </c>
      <c r="Q73" s="699">
        <f t="shared" si="462"/>
        <v>6.5392354124748489E-2</v>
      </c>
      <c r="R73" s="699">
        <f t="shared" si="462"/>
        <v>7.3819742489270382E-2</v>
      </c>
      <c r="S73" s="699">
        <f t="shared" si="462"/>
        <v>3.0660377358490566E-2</v>
      </c>
      <c r="T73" s="699">
        <f t="shared" si="462"/>
        <v>1.9986675549633578E-3</v>
      </c>
      <c r="U73" s="699">
        <f t="shared" si="462"/>
        <v>6.6079295154185024E-3</v>
      </c>
      <c r="V73" s="699">
        <f t="shared" si="462"/>
        <v>2.1919879062736205E-2</v>
      </c>
      <c r="W73" s="699">
        <f t="shared" ref="W73:Y73" si="463">W9/W64</f>
        <v>9.7081218274111675E-2</v>
      </c>
      <c r="X73" s="699">
        <f t="shared" si="463"/>
        <v>9.5854301461778101E-4</v>
      </c>
      <c r="Y73" s="699">
        <f t="shared" si="463"/>
        <v>4.8028114017961733E-2</v>
      </c>
      <c r="Z73" s="699">
        <f t="shared" ref="Z73:AC73" si="464">Z9/Z64</f>
        <v>5.5306427503736919E-2</v>
      </c>
      <c r="AA73" s="699">
        <f t="shared" si="464"/>
        <v>9.0160867938645722E-2</v>
      </c>
      <c r="AB73" s="699">
        <f t="shared" si="464"/>
        <v>1.0653409090909092E-3</v>
      </c>
      <c r="AC73" s="699">
        <f t="shared" si="464"/>
        <v>0.24937862468931235</v>
      </c>
      <c r="AD73" s="699">
        <f t="shared" ref="AD73:AG73" si="465">AD9/AD64</f>
        <v>0.25182903350019253</v>
      </c>
      <c r="AE73" s="699">
        <f t="shared" si="465"/>
        <v>0.33377178559684312</v>
      </c>
      <c r="AF73" s="699">
        <f t="shared" si="465"/>
        <v>0.11665004985044865</v>
      </c>
      <c r="AG73" s="699">
        <f t="shared" si="465"/>
        <v>0.2640117994100295</v>
      </c>
      <c r="AH73" s="699">
        <f t="shared" ref="AH73:AK73" si="466">AH9/AH64</f>
        <v>0.22666218938885158</v>
      </c>
      <c r="AI73" s="699">
        <f t="shared" si="466"/>
        <v>0.33904311872415832</v>
      </c>
      <c r="AJ73" s="699">
        <f t="shared" si="466"/>
        <v>0.10523972094404038</v>
      </c>
      <c r="AK73" s="699">
        <f t="shared" si="466"/>
        <v>0.27010050251256279</v>
      </c>
      <c r="AL73" s="699">
        <f t="shared" ref="AL73:AN73" si="467">AL9/AL64</f>
        <v>0.28297289064879683</v>
      </c>
      <c r="AM73" s="699">
        <f t="shared" si="467"/>
        <v>0.37345445369669444</v>
      </c>
      <c r="AN73" s="699">
        <f t="shared" si="467"/>
        <v>0.17204023729687903</v>
      </c>
      <c r="AO73" s="699">
        <f t="shared" ref="AO73:AP73" si="468">AO9/AO64</f>
        <v>0.37927434090315842</v>
      </c>
      <c r="AP73" s="699">
        <f t="shared" si="468"/>
        <v>0.41132561132561135</v>
      </c>
      <c r="AQ73" s="699">
        <f t="shared" ref="AQ73" si="469">AQ9/AQ64</f>
        <v>0.40851429800043004</v>
      </c>
      <c r="AR73" s="700">
        <f t="shared" ref="AR73:AR76" si="470">+AN73</f>
        <v>0.17204023729687903</v>
      </c>
      <c r="AS73" s="700">
        <f t="shared" ref="AS73:AS76" si="471">+AO73</f>
        <v>0.37927434090315842</v>
      </c>
      <c r="AT73" s="700">
        <f t="shared" ref="AT73" si="472">+AP73</f>
        <v>0.41132561132561135</v>
      </c>
      <c r="AU73" s="700">
        <f t="shared" ref="AU73" si="473">+AQ73</f>
        <v>0.40851429800043004</v>
      </c>
      <c r="AV73" s="700">
        <f t="shared" ref="AV73" si="474">+AR73</f>
        <v>0.17204023729687903</v>
      </c>
      <c r="AW73" s="700">
        <f t="shared" ref="AW73" si="475">+AS73</f>
        <v>0.37927434090315842</v>
      </c>
      <c r="AX73" s="700">
        <f t="shared" ref="AX73:AX76" si="476">+AT73</f>
        <v>0.41132561132561135</v>
      </c>
      <c r="AY73" s="700">
        <f t="shared" ref="AY73:AY76" si="477">+AU73</f>
        <v>0.40851429800043004</v>
      </c>
      <c r="AZ73" s="700">
        <f t="shared" ref="AZ73:AZ76" si="478">+AV73</f>
        <v>0.17204023729687903</v>
      </c>
      <c r="BA73" s="700">
        <f t="shared" ref="BA73:BA76" si="479">+AW73</f>
        <v>0.37927434090315842</v>
      </c>
      <c r="BR73" s="1405"/>
      <c r="BS73" s="1405"/>
      <c r="BT73" s="1405"/>
    </row>
    <row r="74" spans="1:72" s="327" customFormat="1" ht="13.15" customHeight="1">
      <c r="A74" s="1227" t="s">
        <v>119</v>
      </c>
      <c r="B74" s="1228">
        <f t="shared" ref="B74:V74" si="480">+B14/B64</f>
        <v>0.48667601683029454</v>
      </c>
      <c r="C74" s="1228">
        <f t="shared" si="480"/>
        <v>0.40411700975081255</v>
      </c>
      <c r="D74" s="1228">
        <f t="shared" si="480"/>
        <v>0.16145833333333334</v>
      </c>
      <c r="E74" s="1228">
        <f t="shared" si="480"/>
        <v>0.40318302387267907</v>
      </c>
      <c r="F74" s="1228">
        <f t="shared" si="480"/>
        <v>0.41902313624678661</v>
      </c>
      <c r="G74" s="1228">
        <f t="shared" si="480"/>
        <v>0.31889763779527558</v>
      </c>
      <c r="H74" s="1228">
        <f t="shared" si="480"/>
        <v>0.12711530893349074</v>
      </c>
      <c r="I74" s="1228">
        <f t="shared" si="480"/>
        <v>0.44180522565320662</v>
      </c>
      <c r="J74" s="1228">
        <f t="shared" si="480"/>
        <v>0.35054945054945053</v>
      </c>
      <c r="K74" s="1228">
        <f t="shared" si="480"/>
        <v>0.31516056758775207</v>
      </c>
      <c r="L74" s="1228">
        <f t="shared" si="480"/>
        <v>0.14388736263736263</v>
      </c>
      <c r="M74" s="1228">
        <f t="shared" si="480"/>
        <v>0.42476851851851855</v>
      </c>
      <c r="N74" s="1228">
        <f t="shared" si="480"/>
        <v>0.43110236220472442</v>
      </c>
      <c r="O74" s="1228">
        <f t="shared" si="480"/>
        <v>0.28894806924101196</v>
      </c>
      <c r="P74" s="1228">
        <f t="shared" si="480"/>
        <v>0.11705378973105135</v>
      </c>
      <c r="Q74" s="1228">
        <f t="shared" si="480"/>
        <v>0.43863179074446679</v>
      </c>
      <c r="R74" s="1228">
        <f t="shared" si="480"/>
        <v>0.35450643776824037</v>
      </c>
      <c r="S74" s="1228">
        <f t="shared" si="480"/>
        <v>0.27181603773584906</v>
      </c>
      <c r="T74" s="1228">
        <f t="shared" si="480"/>
        <v>0.12958027981345768</v>
      </c>
      <c r="U74" s="1228">
        <f t="shared" si="480"/>
        <v>0.25055066079295152</v>
      </c>
      <c r="V74" s="1228">
        <f t="shared" si="480"/>
        <v>0.36583522297808013</v>
      </c>
      <c r="W74" s="1228">
        <f t="shared" ref="W74:Y74" si="481">+W14/W64</f>
        <v>0.27030456852791879</v>
      </c>
      <c r="X74" s="1228">
        <f t="shared" si="481"/>
        <v>8.3393242271746951E-2</v>
      </c>
      <c r="Y74" s="1228">
        <f t="shared" si="481"/>
        <v>0.17844591956267083</v>
      </c>
      <c r="Z74" s="1228">
        <f t="shared" ref="Z74:AC74" si="482">+Z14/Z64</f>
        <v>0.15246636771300448</v>
      </c>
      <c r="AA74" s="1228">
        <f t="shared" si="482"/>
        <v>0.14029180695847362</v>
      </c>
      <c r="AB74" s="1228">
        <f t="shared" si="482"/>
        <v>9.5703125000000014E-2</v>
      </c>
      <c r="AC74" s="1228">
        <f t="shared" si="482"/>
        <v>0.17854183927091963</v>
      </c>
      <c r="AD74" s="1228">
        <f t="shared" ref="AD74:AG74" si="483">+AD14/AD64</f>
        <v>0.18020793222949558</v>
      </c>
      <c r="AE74" s="1228">
        <f t="shared" si="483"/>
        <v>0.12364353830976653</v>
      </c>
      <c r="AF74" s="1228">
        <f t="shared" si="483"/>
        <v>6.4473246925889002E-2</v>
      </c>
      <c r="AG74" s="1228">
        <f t="shared" si="483"/>
        <v>0.15486725663716813</v>
      </c>
      <c r="AH74" s="1228">
        <f t="shared" ref="AH74:AK74" si="484">+AH14/AH64</f>
        <v>0.84788448623237067</v>
      </c>
      <c r="AI74" s="1228">
        <f t="shared" si="484"/>
        <v>1.0011813349084466</v>
      </c>
      <c r="AJ74" s="1228">
        <f t="shared" si="484"/>
        <v>0.40403740537331162</v>
      </c>
      <c r="AK74" s="1228">
        <f t="shared" si="484"/>
        <v>1.231469849246231</v>
      </c>
      <c r="AL74" s="1228">
        <f t="shared" ref="AL74:AN74" si="485">+AL14/AL64</f>
        <v>1.7075845263478526</v>
      </c>
      <c r="AM74" s="1228">
        <f t="shared" si="485"/>
        <v>0.84128185717890491</v>
      </c>
      <c r="AN74" s="1228">
        <f t="shared" si="485"/>
        <v>0.67332989424812995</v>
      </c>
      <c r="AO74" s="1228">
        <f t="shared" ref="AO74:AP74" si="486">+AO14/AO64</f>
        <v>1.8470373270686504</v>
      </c>
      <c r="AP74" s="1228">
        <f t="shared" si="486"/>
        <v>1.0084942084942086</v>
      </c>
      <c r="AQ74" s="1228">
        <f t="shared" ref="AQ74" si="487">+AQ14/AQ64</f>
        <v>0.94904321651257795</v>
      </c>
      <c r="AR74" s="1229">
        <f t="shared" si="470"/>
        <v>0.67332989424812995</v>
      </c>
      <c r="AS74" s="1229">
        <f t="shared" si="471"/>
        <v>1.8470373270686504</v>
      </c>
      <c r="AT74" s="1229">
        <f t="shared" ref="AT74:AT76" si="488">+AP74</f>
        <v>1.0084942084942086</v>
      </c>
      <c r="AU74" s="1229">
        <f t="shared" ref="AU74:AU76" si="489">+AQ74</f>
        <v>0.94904321651257795</v>
      </c>
      <c r="AV74" s="1229">
        <f t="shared" ref="AV74:AV76" si="490">+AR74</f>
        <v>0.67332989424812995</v>
      </c>
      <c r="AW74" s="1229">
        <f t="shared" ref="AW74:AW76" si="491">+AS74</f>
        <v>1.8470373270686504</v>
      </c>
      <c r="AX74" s="1229">
        <f t="shared" si="476"/>
        <v>1.0084942084942086</v>
      </c>
      <c r="AY74" s="1229">
        <f t="shared" si="477"/>
        <v>0.94904321651257795</v>
      </c>
      <c r="AZ74" s="1229">
        <f t="shared" si="478"/>
        <v>0.67332989424812995</v>
      </c>
      <c r="BA74" s="1229">
        <f t="shared" si="479"/>
        <v>1.8470373270686504</v>
      </c>
      <c r="BR74" s="1405"/>
      <c r="BS74" s="1405"/>
      <c r="BT74" s="1405"/>
    </row>
    <row r="75" spans="1:72" s="327" customFormat="1" ht="13.15" customHeight="1">
      <c r="A75" s="697" t="s">
        <v>7</v>
      </c>
      <c r="B75" s="699">
        <f t="shared" ref="B75:V75" si="492">B22/B64</f>
        <v>0.45722300140252453</v>
      </c>
      <c r="C75" s="699">
        <f t="shared" si="492"/>
        <v>0.5731310942578548</v>
      </c>
      <c r="D75" s="699">
        <f t="shared" si="492"/>
        <v>0.11848958333333333</v>
      </c>
      <c r="E75" s="699">
        <f t="shared" si="492"/>
        <v>0.33289124668435011</v>
      </c>
      <c r="F75" s="699">
        <f t="shared" si="492"/>
        <v>0.33933161953727509</v>
      </c>
      <c r="G75" s="699">
        <f t="shared" si="492"/>
        <v>0.2874015748031496</v>
      </c>
      <c r="H75" s="699">
        <f t="shared" si="492"/>
        <v>0.12750885478158205</v>
      </c>
      <c r="I75" s="699">
        <f t="shared" si="492"/>
        <v>0.32660332541567694</v>
      </c>
      <c r="J75" s="699">
        <f t="shared" si="492"/>
        <v>0.31868131868131866</v>
      </c>
      <c r="K75" s="699">
        <f t="shared" si="492"/>
        <v>0.21956684092606424</v>
      </c>
      <c r="L75" s="699">
        <f t="shared" si="492"/>
        <v>9.7184065934065936E-2</v>
      </c>
      <c r="M75" s="699">
        <f t="shared" si="492"/>
        <v>0.24884259259259259</v>
      </c>
      <c r="N75" s="699">
        <f t="shared" si="492"/>
        <v>0.20964566929133857</v>
      </c>
      <c r="O75" s="699">
        <f t="shared" si="492"/>
        <v>0.1384820239680426</v>
      </c>
      <c r="P75" s="699">
        <f t="shared" si="492"/>
        <v>6.1735941320293398E-2</v>
      </c>
      <c r="Q75" s="699">
        <f t="shared" si="492"/>
        <v>0.1881287726358149</v>
      </c>
      <c r="R75" s="699">
        <f t="shared" si="492"/>
        <v>0.19227467811158799</v>
      </c>
      <c r="S75" s="699">
        <f t="shared" si="492"/>
        <v>0.14563679245283018</v>
      </c>
      <c r="T75" s="699">
        <f t="shared" si="492"/>
        <v>7.6948700866089279E-2</v>
      </c>
      <c r="U75" s="699">
        <f t="shared" si="492"/>
        <v>0.15969162995594713</v>
      </c>
      <c r="V75" s="699">
        <f t="shared" si="492"/>
        <v>0.22146636432350719</v>
      </c>
      <c r="W75" s="699">
        <f t="shared" ref="W75:Y75" si="493">W22/W64</f>
        <v>0.18845177664974619</v>
      </c>
      <c r="X75" s="699">
        <f t="shared" si="493"/>
        <v>7.0452911574406904E-2</v>
      </c>
      <c r="Y75" s="699">
        <f t="shared" si="493"/>
        <v>0.11362748926200703</v>
      </c>
      <c r="Z75" s="699">
        <f t="shared" ref="Z75:AC75" si="494">Z22/Z64</f>
        <v>0.14798206278026907</v>
      </c>
      <c r="AA75" s="699">
        <f t="shared" si="494"/>
        <v>0.12457912457912458</v>
      </c>
      <c r="AB75" s="699">
        <f t="shared" si="494"/>
        <v>5.681818181818183E-2</v>
      </c>
      <c r="AC75" s="699">
        <f t="shared" si="494"/>
        <v>0.14705882352941177</v>
      </c>
      <c r="AD75" s="699">
        <f t="shared" ref="AD75:AG75" si="495">AD22/AD64</f>
        <v>0.1313053523296111</v>
      </c>
      <c r="AE75" s="699">
        <f t="shared" si="495"/>
        <v>0.12594541269319304</v>
      </c>
      <c r="AF75" s="699">
        <f t="shared" si="495"/>
        <v>6.4639415088069127E-2</v>
      </c>
      <c r="AG75" s="699">
        <f t="shared" si="495"/>
        <v>0.15376106194690264</v>
      </c>
      <c r="AH75" s="699">
        <f t="shared" ref="AH75:AK75" si="496">AH22/AH64</f>
        <v>0.14405641370047012</v>
      </c>
      <c r="AI75" s="699">
        <f t="shared" si="496"/>
        <v>0.26107501476668638</v>
      </c>
      <c r="AJ75" s="699">
        <f t="shared" si="496"/>
        <v>0.14947305922517443</v>
      </c>
      <c r="AK75" s="699">
        <f t="shared" si="496"/>
        <v>0.16991206030150752</v>
      </c>
      <c r="AL75" s="699">
        <f t="shared" ref="AL75:AN75" si="497">AL22/AL64</f>
        <v>0.16052391105696009</v>
      </c>
      <c r="AM75" s="699">
        <f t="shared" si="497"/>
        <v>0.16881150643451931</v>
      </c>
      <c r="AN75" s="699">
        <f t="shared" si="497"/>
        <v>0.22710858911529533</v>
      </c>
      <c r="AO75" s="699">
        <f t="shared" ref="AO75:AP75" si="498">AO22/AO64</f>
        <v>0.51500913599582354</v>
      </c>
      <c r="AP75" s="699">
        <f t="shared" si="498"/>
        <v>0.51505791505791509</v>
      </c>
      <c r="AQ75" s="699">
        <f t="shared" ref="AQ75" si="499">AQ22/AQ64</f>
        <v>0.41517953128359492</v>
      </c>
      <c r="AR75" s="700">
        <f t="shared" si="470"/>
        <v>0.22710858911529533</v>
      </c>
      <c r="AS75" s="700">
        <f t="shared" si="471"/>
        <v>0.51500913599582354</v>
      </c>
      <c r="AT75" s="700">
        <f t="shared" si="488"/>
        <v>0.51505791505791509</v>
      </c>
      <c r="AU75" s="700">
        <f t="shared" si="489"/>
        <v>0.41517953128359492</v>
      </c>
      <c r="AV75" s="700">
        <f t="shared" si="490"/>
        <v>0.22710858911529533</v>
      </c>
      <c r="AW75" s="700">
        <f t="shared" si="491"/>
        <v>0.51500913599582354</v>
      </c>
      <c r="AX75" s="700">
        <f t="shared" si="476"/>
        <v>0.51505791505791509</v>
      </c>
      <c r="AY75" s="700">
        <f t="shared" si="477"/>
        <v>0.41517953128359492</v>
      </c>
      <c r="AZ75" s="700">
        <f t="shared" si="478"/>
        <v>0.22710858911529533</v>
      </c>
      <c r="BA75" s="700">
        <f t="shared" si="479"/>
        <v>0.51500913599582354</v>
      </c>
      <c r="BR75" s="1405"/>
      <c r="BS75" s="1405"/>
      <c r="BT75" s="1405"/>
    </row>
    <row r="76" spans="1:72" s="327" customFormat="1" ht="13.15" customHeight="1">
      <c r="A76" s="697" t="s">
        <v>111</v>
      </c>
      <c r="B76" s="699">
        <f t="shared" ref="B76:V76" si="500">+B10/B64</f>
        <v>0.34221598877980364</v>
      </c>
      <c r="C76" s="699">
        <f t="shared" si="500"/>
        <v>0.11917659804983749</v>
      </c>
      <c r="D76" s="699">
        <f t="shared" si="500"/>
        <v>4.6875E-2</v>
      </c>
      <c r="E76" s="699">
        <f t="shared" si="500"/>
        <v>0.13527851458885942</v>
      </c>
      <c r="F76" s="699">
        <f t="shared" si="500"/>
        <v>0.19665809768637532</v>
      </c>
      <c r="G76" s="699">
        <f t="shared" si="500"/>
        <v>0.15354330708661418</v>
      </c>
      <c r="H76" s="699">
        <f t="shared" si="500"/>
        <v>3.699330972058245E-2</v>
      </c>
      <c r="I76" s="699">
        <f t="shared" si="500"/>
        <v>0.11876484560570071</v>
      </c>
      <c r="J76" s="699">
        <f t="shared" si="500"/>
        <v>0.15604395604395604</v>
      </c>
      <c r="K76" s="699">
        <f t="shared" si="500"/>
        <v>0.14115011202389843</v>
      </c>
      <c r="L76" s="699">
        <f t="shared" si="500"/>
        <v>6.1469780219780217E-2</v>
      </c>
      <c r="M76" s="699">
        <f t="shared" si="500"/>
        <v>0.23379629629629631</v>
      </c>
      <c r="N76" s="699">
        <f t="shared" si="500"/>
        <v>0.26476377952755903</v>
      </c>
      <c r="O76" s="699">
        <f t="shared" si="500"/>
        <v>0.16844207723035953</v>
      </c>
      <c r="P76" s="699">
        <f t="shared" si="500"/>
        <v>7.7933985330073355E-2</v>
      </c>
      <c r="Q76" s="699">
        <f t="shared" si="500"/>
        <v>0.26760563380281688</v>
      </c>
      <c r="R76" s="699">
        <f t="shared" si="500"/>
        <v>0.2609442060085837</v>
      </c>
      <c r="S76" s="699">
        <f t="shared" si="500"/>
        <v>0.18160377358490565</v>
      </c>
      <c r="T76" s="699">
        <f t="shared" si="500"/>
        <v>9.2271818787475021E-2</v>
      </c>
      <c r="U76" s="699">
        <f t="shared" si="500"/>
        <v>0.17290748898678415</v>
      </c>
      <c r="V76" s="699">
        <f t="shared" si="500"/>
        <v>0.18594104308390022</v>
      </c>
      <c r="W76" s="699">
        <f t="shared" ref="W76:Y76" si="501">+W10/W64</f>
        <v>0.19796954314720813</v>
      </c>
      <c r="X76" s="699">
        <f t="shared" si="501"/>
        <v>7.30889048646058E-2</v>
      </c>
      <c r="Y76" s="699">
        <f t="shared" si="501"/>
        <v>0.12338930105427567</v>
      </c>
      <c r="Z76" s="699">
        <f t="shared" ref="Z76:AC76" si="502">+Z10/Z64</f>
        <v>0.20378674638764324</v>
      </c>
      <c r="AA76" s="699">
        <f t="shared" si="502"/>
        <v>0.21361765806210251</v>
      </c>
      <c r="AB76" s="699">
        <f t="shared" si="502"/>
        <v>0.11914062500000001</v>
      </c>
      <c r="AC76" s="699">
        <f t="shared" si="502"/>
        <v>0.11888980944490472</v>
      </c>
      <c r="AD76" s="699">
        <f t="shared" ref="AD76:AG76" si="503">+AD10/AD64</f>
        <v>0.12475933769734308</v>
      </c>
      <c r="AE76" s="699">
        <f t="shared" si="503"/>
        <v>0.12857612627425188</v>
      </c>
      <c r="AF76" s="699">
        <f t="shared" si="503"/>
        <v>9.5380525091392485E-2</v>
      </c>
      <c r="AG76" s="699">
        <f t="shared" si="503"/>
        <v>0.13053097345132744</v>
      </c>
      <c r="AH76" s="699">
        <f t="shared" ref="AH76:AK76" si="504">+AH10/AH64</f>
        <v>0.13028878441907321</v>
      </c>
      <c r="AI76" s="699">
        <f t="shared" si="504"/>
        <v>0.10189013585351447</v>
      </c>
      <c r="AJ76" s="699">
        <f t="shared" si="504"/>
        <v>5.0022265103161649E-2</v>
      </c>
      <c r="AK76" s="699">
        <f t="shared" si="504"/>
        <v>0.11494974874371858</v>
      </c>
      <c r="AL76" s="699">
        <f t="shared" ref="AL76:AN76" si="505">+AL10/AL64</f>
        <v>0.12397197685044167</v>
      </c>
      <c r="AM76" s="699">
        <f t="shared" si="505"/>
        <v>0.21322230633358566</v>
      </c>
      <c r="AN76" s="699">
        <f t="shared" si="505"/>
        <v>6.6030435904049528E-2</v>
      </c>
      <c r="AO76" s="699">
        <f t="shared" ref="AO76:AP76" si="506">+AO10/AO64</f>
        <v>0.1294701122422344</v>
      </c>
      <c r="AP76" s="699">
        <f t="shared" si="506"/>
        <v>0.16216216216216217</v>
      </c>
      <c r="AQ76" s="699">
        <f t="shared" ref="AQ76" si="507">+AQ10/AQ64</f>
        <v>0.26639432380133304</v>
      </c>
      <c r="AR76" s="700">
        <f t="shared" si="470"/>
        <v>6.6030435904049528E-2</v>
      </c>
      <c r="AS76" s="700">
        <f t="shared" si="471"/>
        <v>0.1294701122422344</v>
      </c>
      <c r="AT76" s="700">
        <f t="shared" si="488"/>
        <v>0.16216216216216217</v>
      </c>
      <c r="AU76" s="700">
        <f t="shared" si="489"/>
        <v>0.26639432380133304</v>
      </c>
      <c r="AV76" s="700">
        <f t="shared" si="490"/>
        <v>6.6030435904049528E-2</v>
      </c>
      <c r="AW76" s="700">
        <f t="shared" si="491"/>
        <v>0.1294701122422344</v>
      </c>
      <c r="AX76" s="700">
        <f t="shared" si="476"/>
        <v>0.16216216216216217</v>
      </c>
      <c r="AY76" s="700">
        <f t="shared" si="477"/>
        <v>0.26639432380133304</v>
      </c>
      <c r="AZ76" s="700">
        <f t="shared" si="478"/>
        <v>6.6030435904049528E-2</v>
      </c>
      <c r="BA76" s="700">
        <f t="shared" si="479"/>
        <v>0.1294701122422344</v>
      </c>
      <c r="BR76" s="1405"/>
      <c r="BS76" s="1405"/>
      <c r="BT76" s="1405"/>
    </row>
    <row r="77" spans="1:72" s="327" customFormat="1" ht="13.15" customHeight="1">
      <c r="A77" s="697"/>
      <c r="AR77" s="699"/>
      <c r="AS77" s="699"/>
      <c r="AT77" s="699"/>
      <c r="AU77" s="699"/>
      <c r="AV77" s="699"/>
      <c r="AW77" s="699"/>
      <c r="AX77" s="699"/>
      <c r="AY77" s="699"/>
      <c r="AZ77" s="699"/>
      <c r="BA77" s="699"/>
      <c r="BR77" s="1405"/>
      <c r="BS77" s="1405"/>
      <c r="BT77" s="1405"/>
    </row>
    <row r="78" spans="1:72" s="327" customFormat="1" ht="13.15" customHeight="1">
      <c r="A78" s="697" t="s">
        <v>5</v>
      </c>
      <c r="B78" s="699">
        <f t="shared" ref="B78:V78" si="508">+B27/B64</f>
        <v>0.24964936886395511</v>
      </c>
      <c r="C78" s="699">
        <f t="shared" si="508"/>
        <v>0.30985915492957744</v>
      </c>
      <c r="D78" s="699">
        <f t="shared" si="508"/>
        <v>0.1171875</v>
      </c>
      <c r="E78" s="699">
        <f t="shared" si="508"/>
        <v>0.24403183023872679</v>
      </c>
      <c r="F78" s="699">
        <f t="shared" si="508"/>
        <v>0.2120822622107969</v>
      </c>
      <c r="G78" s="699">
        <f t="shared" si="508"/>
        <v>0.25393700787401574</v>
      </c>
      <c r="H78" s="699">
        <f t="shared" si="508"/>
        <v>0.10586383313656041</v>
      </c>
      <c r="I78" s="699">
        <f t="shared" si="508"/>
        <v>0.18646080760095013</v>
      </c>
      <c r="J78" s="699">
        <f t="shared" si="508"/>
        <v>0.24175824175824176</v>
      </c>
      <c r="K78" s="699">
        <f t="shared" si="508"/>
        <v>0.25616131441374163</v>
      </c>
      <c r="L78" s="699">
        <f t="shared" si="508"/>
        <v>0.11160714285714286</v>
      </c>
      <c r="M78" s="699">
        <f t="shared" si="508"/>
        <v>0.20601851851851852</v>
      </c>
      <c r="N78" s="699">
        <f t="shared" si="508"/>
        <v>0.20570866141732283</v>
      </c>
      <c r="O78" s="699">
        <f t="shared" si="508"/>
        <v>0.26631158455392812</v>
      </c>
      <c r="P78" s="699">
        <f t="shared" si="508"/>
        <v>0.11705378973105135</v>
      </c>
      <c r="Q78" s="699">
        <f t="shared" si="508"/>
        <v>0.27565392354124746</v>
      </c>
      <c r="R78" s="699">
        <f t="shared" si="508"/>
        <v>0.23347639484978541</v>
      </c>
      <c r="S78" s="699">
        <f t="shared" si="508"/>
        <v>0.26827830188679247</v>
      </c>
      <c r="T78" s="699">
        <f t="shared" si="508"/>
        <v>0.1279147235176549</v>
      </c>
      <c r="U78" s="699">
        <f t="shared" si="508"/>
        <v>0.16795154185022027</v>
      </c>
      <c r="V78" s="699">
        <f t="shared" si="508"/>
        <v>0.19349962207105065</v>
      </c>
      <c r="W78" s="699">
        <f t="shared" ref="W78:Y78" si="509">+W27/W64</f>
        <v>0.30837563451776651</v>
      </c>
      <c r="X78" s="699">
        <f t="shared" si="509"/>
        <v>0.1440210879463216</v>
      </c>
      <c r="Y78" s="699">
        <f t="shared" si="509"/>
        <v>0.24326434986333464</v>
      </c>
      <c r="Z78" s="699">
        <f t="shared" ref="Z78:AC78" si="510">+Z27/Z64</f>
        <v>0.26457399103139012</v>
      </c>
      <c r="AA78" s="699">
        <f t="shared" si="510"/>
        <v>0.33034044145155256</v>
      </c>
      <c r="AB78" s="699">
        <f t="shared" si="510"/>
        <v>0.15980113636363638</v>
      </c>
      <c r="AC78" s="699">
        <f t="shared" si="510"/>
        <v>0.30530240265120134</v>
      </c>
      <c r="AD78" s="699">
        <f t="shared" ref="AD78:AG78" si="511">+AD27/AD64</f>
        <v>0.25798998844820947</v>
      </c>
      <c r="AE78" s="699">
        <f t="shared" si="511"/>
        <v>0.26668858927984218</v>
      </c>
      <c r="AF78" s="699">
        <f t="shared" si="511"/>
        <v>0.15304087736789632</v>
      </c>
      <c r="AG78" s="699">
        <f t="shared" si="511"/>
        <v>0.23525073746312683</v>
      </c>
      <c r="AH78" s="699">
        <f t="shared" ref="AH78:AK78" si="512">+AH27/AH64</f>
        <v>0.21155137676292815</v>
      </c>
      <c r="AI78" s="699">
        <f t="shared" si="512"/>
        <v>0.23301831069108092</v>
      </c>
      <c r="AJ78" s="699">
        <f t="shared" si="512"/>
        <v>0.13151254267478107</v>
      </c>
      <c r="AK78" s="699">
        <f t="shared" si="512"/>
        <v>0.22644472361809043</v>
      </c>
      <c r="AL78" s="699">
        <f t="shared" ref="AL78:AN78" si="513">+AL27/AL64</f>
        <v>0.19859884252208346</v>
      </c>
      <c r="AM78" s="699">
        <f t="shared" si="513"/>
        <v>0.26192278576835731</v>
      </c>
      <c r="AN78" s="699">
        <f t="shared" si="513"/>
        <v>0.12922362651534691</v>
      </c>
      <c r="AO78" s="699">
        <f t="shared" ref="AO78:AP78" si="514">+AO27/AO64</f>
        <v>0.20673453406421299</v>
      </c>
      <c r="AP78" s="699">
        <f t="shared" si="514"/>
        <v>0.17245817245817247</v>
      </c>
      <c r="AQ78" s="699">
        <f t="shared" ref="AQ78" si="515">+AQ27/AQ64</f>
        <v>0.20339711889916148</v>
      </c>
      <c r="AR78" s="700">
        <f t="shared" ref="AR78:AS78" si="516">+AN78</f>
        <v>0.12922362651534691</v>
      </c>
      <c r="AS78" s="700">
        <f t="shared" si="516"/>
        <v>0.20673453406421299</v>
      </c>
      <c r="AT78" s="700">
        <f t="shared" ref="AT78:AT82" si="517">+AP78+0.01</f>
        <v>0.18245817245817247</v>
      </c>
      <c r="AU78" s="700">
        <f t="shared" ref="AU78:AU82" si="518">+AQ78+0.01</f>
        <v>0.21339711889916149</v>
      </c>
      <c r="AV78" s="700">
        <f t="shared" ref="AV78:AV82" si="519">+AR78+0.01</f>
        <v>0.13922362651534692</v>
      </c>
      <c r="AW78" s="700">
        <f t="shared" ref="AW78:AW82" si="520">+AS78</f>
        <v>0.20673453406421299</v>
      </c>
      <c r="AX78" s="700">
        <f t="shared" ref="AX78" si="521">+AT78</f>
        <v>0.18245817245817247</v>
      </c>
      <c r="AY78" s="700">
        <f t="shared" ref="AY78:AY79" si="522">+AU78</f>
        <v>0.21339711889916149</v>
      </c>
      <c r="AZ78" s="700">
        <f t="shared" ref="AZ78:AZ79" si="523">+AV78</f>
        <v>0.13922362651534692</v>
      </c>
      <c r="BA78" s="700">
        <f t="shared" ref="BA78:BA79" si="524">+AW78</f>
        <v>0.20673453406421299</v>
      </c>
      <c r="BR78" s="1405"/>
      <c r="BS78" s="1405"/>
      <c r="BT78" s="1405"/>
    </row>
    <row r="79" spans="1:72" s="327" customFormat="1" ht="13.15" customHeight="1">
      <c r="A79" s="697" t="s">
        <v>95</v>
      </c>
      <c r="B79" s="699">
        <f t="shared" ref="B79:U79" si="525">B28/B64</f>
        <v>0.19495091164095371</v>
      </c>
      <c r="C79" s="699">
        <f t="shared" si="525"/>
        <v>0.19393282773564463</v>
      </c>
      <c r="D79" s="699">
        <f t="shared" si="525"/>
        <v>9.8958333333333329E-2</v>
      </c>
      <c r="E79" s="699">
        <f t="shared" si="525"/>
        <v>0.38328912466843501</v>
      </c>
      <c r="F79" s="699">
        <f t="shared" si="525"/>
        <v>0.17480719794344474</v>
      </c>
      <c r="G79" s="699">
        <f t="shared" si="525"/>
        <v>0.20078740157480315</v>
      </c>
      <c r="H79" s="699">
        <f t="shared" si="525"/>
        <v>9.4451003541912631E-2</v>
      </c>
      <c r="I79" s="699">
        <f t="shared" si="525"/>
        <v>0.35629453681710216</v>
      </c>
      <c r="J79" s="699">
        <f t="shared" si="525"/>
        <v>0.16043956043956045</v>
      </c>
      <c r="K79" s="699">
        <f t="shared" si="525"/>
        <v>0.15384615384615385</v>
      </c>
      <c r="L79" s="699">
        <f t="shared" si="525"/>
        <v>9.8214285714285712E-2</v>
      </c>
      <c r="M79" s="699">
        <f t="shared" si="525"/>
        <v>0.42708333333333331</v>
      </c>
      <c r="N79" s="699">
        <f t="shared" si="525"/>
        <v>0.17125984251968504</v>
      </c>
      <c r="O79" s="699">
        <f t="shared" si="525"/>
        <v>0.14713715046604528</v>
      </c>
      <c r="P79" s="699">
        <f t="shared" si="525"/>
        <v>9.5048899755501223E-2</v>
      </c>
      <c r="Q79" s="699">
        <f t="shared" si="525"/>
        <v>0.38732394366197181</v>
      </c>
      <c r="R79" s="699">
        <f t="shared" si="525"/>
        <v>0.17253218884120172</v>
      </c>
      <c r="S79" s="699">
        <f t="shared" si="525"/>
        <v>0.15389150943396226</v>
      </c>
      <c r="T79" s="699">
        <f t="shared" si="525"/>
        <v>0.11592271818787475</v>
      </c>
      <c r="U79" s="699">
        <f t="shared" si="525"/>
        <v>0.26541850220264318</v>
      </c>
      <c r="V79" s="699">
        <f>V28/V64</f>
        <v>0.17611489040060468</v>
      </c>
      <c r="W79" s="699">
        <f>W28/W64</f>
        <v>0.2068527918781726</v>
      </c>
      <c r="X79" s="699">
        <f t="shared" ref="X79:Y79" si="526">X28/X64</f>
        <v>0.11406661873951593</v>
      </c>
      <c r="Y79" s="699">
        <f t="shared" si="526"/>
        <v>0.20695040999609526</v>
      </c>
      <c r="Z79" s="699">
        <f t="shared" ref="Z79" si="527">Z28/Z64</f>
        <v>0.15744892874937719</v>
      </c>
      <c r="AA79" s="699">
        <f>AA28/AA64</f>
        <v>0.15450804339693228</v>
      </c>
      <c r="AB79" s="699">
        <f t="shared" ref="AB79:AD79" si="528">AB28/AB64</f>
        <v>9.6413352272727293E-2</v>
      </c>
      <c r="AC79" s="699">
        <f t="shared" si="528"/>
        <v>0.23860811930405965</v>
      </c>
      <c r="AD79" s="699">
        <f t="shared" si="528"/>
        <v>0.15440893338467462</v>
      </c>
      <c r="AE79" s="699">
        <f>AE28/AE64</f>
        <v>0.16507727721144361</v>
      </c>
      <c r="AF79" s="699">
        <f t="shared" ref="AF79:AH79" si="529">AF28/AF64</f>
        <v>0.10385510136257893</v>
      </c>
      <c r="AG79" s="699">
        <f t="shared" si="529"/>
        <v>0.24520648967551623</v>
      </c>
      <c r="AH79" s="699">
        <f t="shared" si="529"/>
        <v>0.14741437206178643</v>
      </c>
      <c r="AI79" s="699">
        <f>AI28/AI64</f>
        <v>0.16154754873006497</v>
      </c>
      <c r="AJ79" s="699">
        <f t="shared" ref="AJ79:AK79" si="530">AJ28/AJ64</f>
        <v>0.10227104052248777</v>
      </c>
      <c r="AK79" s="699">
        <f t="shared" si="530"/>
        <v>0.28925879396984921</v>
      </c>
      <c r="AL79" s="699">
        <f t="shared" ref="AL79:AN79" si="531">AL28/AL64</f>
        <v>0.1257995735607676</v>
      </c>
      <c r="AM79" s="699">
        <f t="shared" si="531"/>
        <v>0.1572041382790815</v>
      </c>
      <c r="AN79" s="699">
        <f t="shared" si="531"/>
        <v>9.6337374258447253E-2</v>
      </c>
      <c r="AO79" s="699">
        <f t="shared" ref="AO79:AP79" si="532">AO28/AO64</f>
        <v>0.22396241190289742</v>
      </c>
      <c r="AP79" s="699">
        <f t="shared" si="532"/>
        <v>0.1232947232947233</v>
      </c>
      <c r="AQ79" s="699">
        <f t="shared" ref="AQ79" si="533">AQ28/AQ64</f>
        <v>0.15093528273489573</v>
      </c>
      <c r="AR79" s="700">
        <f t="shared" ref="AR79:AS82" si="534">+AN79</f>
        <v>9.6337374258447253E-2</v>
      </c>
      <c r="AS79" s="700">
        <f t="shared" si="534"/>
        <v>0.22396241190289742</v>
      </c>
      <c r="AT79" s="700">
        <f t="shared" si="517"/>
        <v>0.13329472329472331</v>
      </c>
      <c r="AU79" s="700">
        <f t="shared" si="518"/>
        <v>0.16093528273489574</v>
      </c>
      <c r="AV79" s="700">
        <f t="shared" si="519"/>
        <v>0.10633737425844725</v>
      </c>
      <c r="AW79" s="700">
        <f t="shared" ref="AW79" si="535">+AS79-0.03</f>
        <v>0.19396241190289742</v>
      </c>
      <c r="AX79" s="700">
        <f>+AT79</f>
        <v>0.13329472329472331</v>
      </c>
      <c r="AY79" s="700">
        <f t="shared" si="522"/>
        <v>0.16093528273489574</v>
      </c>
      <c r="AZ79" s="700">
        <f t="shared" si="523"/>
        <v>0.10633737425844725</v>
      </c>
      <c r="BA79" s="700">
        <f t="shared" si="524"/>
        <v>0.19396241190289742</v>
      </c>
      <c r="BR79" s="1405"/>
      <c r="BS79" s="1405"/>
      <c r="BT79" s="1405"/>
    </row>
    <row r="80" spans="1:72" s="327" customFormat="1" ht="13.15" customHeight="1">
      <c r="A80" s="697" t="s">
        <v>33</v>
      </c>
      <c r="B80" s="699">
        <f t="shared" ref="B80:V80" si="536">+B29/B64</f>
        <v>0.89060308555399714</v>
      </c>
      <c r="C80" s="699">
        <f t="shared" si="536"/>
        <v>1.0411700975081257</v>
      </c>
      <c r="D80" s="699">
        <f t="shared" si="536"/>
        <v>0.37065972222222221</v>
      </c>
      <c r="E80" s="699">
        <f t="shared" si="536"/>
        <v>1.0623342175066313</v>
      </c>
      <c r="F80" s="699">
        <f t="shared" si="536"/>
        <v>0.94987146529562982</v>
      </c>
      <c r="G80" s="699">
        <f t="shared" si="536"/>
        <v>1.0590551181102361</v>
      </c>
      <c r="H80" s="699">
        <f t="shared" si="536"/>
        <v>0.37583628492719401</v>
      </c>
      <c r="I80" s="699">
        <f t="shared" si="536"/>
        <v>1.0534441805225654</v>
      </c>
      <c r="J80" s="699">
        <f t="shared" si="536"/>
        <v>0.87802197802197801</v>
      </c>
      <c r="K80" s="699">
        <f t="shared" si="536"/>
        <v>0.83644510828976848</v>
      </c>
      <c r="L80" s="699">
        <f t="shared" si="536"/>
        <v>0.35714285714285715</v>
      </c>
      <c r="M80" s="699">
        <f t="shared" si="536"/>
        <v>0.67245370370370372</v>
      </c>
      <c r="N80" s="699">
        <f t="shared" si="536"/>
        <v>0.50492125984251968</v>
      </c>
      <c r="O80" s="699">
        <f t="shared" si="536"/>
        <v>0.42543275632490013</v>
      </c>
      <c r="P80" s="699">
        <f t="shared" si="536"/>
        <v>0.17481662591687042</v>
      </c>
      <c r="Q80" s="699">
        <f t="shared" si="536"/>
        <v>0.62273641851106643</v>
      </c>
      <c r="R80" s="699">
        <f t="shared" si="536"/>
        <v>0.4755364806866953</v>
      </c>
      <c r="S80" s="699">
        <f t="shared" si="536"/>
        <v>0.39563679245283018</v>
      </c>
      <c r="T80" s="699">
        <f t="shared" si="536"/>
        <v>0.21052631578947367</v>
      </c>
      <c r="U80" s="699">
        <f t="shared" si="536"/>
        <v>0.3590308370044053</v>
      </c>
      <c r="V80" s="699">
        <f t="shared" si="536"/>
        <v>0.43386243386243384</v>
      </c>
      <c r="W80" s="699">
        <f t="shared" ref="W80:Y80" si="537">+W29/W64</f>
        <v>0.47715736040609136</v>
      </c>
      <c r="X80" s="699">
        <f t="shared" si="537"/>
        <v>0.1557632398753894</v>
      </c>
      <c r="Y80" s="699">
        <f t="shared" si="537"/>
        <v>0.26708317063647014</v>
      </c>
      <c r="Z80" s="699">
        <f t="shared" ref="Z80:AC80" si="538">+Z29/Z64</f>
        <v>0.29895366218236175</v>
      </c>
      <c r="AA80" s="699">
        <f t="shared" si="538"/>
        <v>0.30751964085297417</v>
      </c>
      <c r="AB80" s="699">
        <f t="shared" si="538"/>
        <v>0.13156960227272729</v>
      </c>
      <c r="AC80" s="699">
        <f t="shared" si="538"/>
        <v>0.3347141673570837</v>
      </c>
      <c r="AD80" s="699">
        <f t="shared" ref="AD80:AG80" si="539">+AD29/AD64</f>
        <v>0.26877165960723914</v>
      </c>
      <c r="AE80" s="699">
        <f t="shared" si="539"/>
        <v>0.28017099638276882</v>
      </c>
      <c r="AF80" s="699">
        <f t="shared" si="539"/>
        <v>0.1377534064473247</v>
      </c>
      <c r="AG80" s="699">
        <f t="shared" si="539"/>
        <v>0.33960176991150443</v>
      </c>
      <c r="AH80" s="699">
        <f t="shared" ref="AH80:AK80" si="540">+AH29/AH64</f>
        <v>0.25621222296843521</v>
      </c>
      <c r="AI80" s="699">
        <f t="shared" si="540"/>
        <v>0.26196101594802124</v>
      </c>
      <c r="AJ80" s="699">
        <f t="shared" si="540"/>
        <v>0.12512987976844295</v>
      </c>
      <c r="AK80" s="699">
        <f t="shared" si="540"/>
        <v>0.27386934673366831</v>
      </c>
      <c r="AL80" s="699">
        <f t="shared" ref="AL80:AN80" si="541">+AL29/AL64</f>
        <v>0.27170271093512033</v>
      </c>
      <c r="AM80" s="699">
        <f t="shared" si="541"/>
        <v>0.25864244259399444</v>
      </c>
      <c r="AN80" s="699">
        <f t="shared" si="541"/>
        <v>0.12342017023471756</v>
      </c>
      <c r="AO80" s="699">
        <f t="shared" ref="AO80:AP80" si="542">+AO29/AO64</f>
        <v>0.26598799269120332</v>
      </c>
      <c r="AP80" s="699">
        <f t="shared" si="542"/>
        <v>0.26898326898326896</v>
      </c>
      <c r="AQ80" s="699">
        <f t="shared" ref="AQ80" si="543">+AQ29/AQ64</f>
        <v>0.2453235863255214</v>
      </c>
      <c r="AR80" s="700">
        <v>0.08</v>
      </c>
      <c r="AS80" s="700">
        <v>0.17</v>
      </c>
      <c r="AT80" s="700">
        <f t="shared" si="517"/>
        <v>0.27898326898326897</v>
      </c>
      <c r="AU80" s="700">
        <f t="shared" si="518"/>
        <v>0.25532358632552138</v>
      </c>
      <c r="AV80" s="700">
        <v>0.08</v>
      </c>
      <c r="AW80" s="700">
        <f t="shared" ref="AW80" si="544">+AS80-0.03</f>
        <v>0.14000000000000001</v>
      </c>
      <c r="AX80" s="700">
        <f t="shared" ref="AX80:AX82" si="545">+AT80</f>
        <v>0.27898326898326897</v>
      </c>
      <c r="AY80" s="700">
        <f t="shared" ref="AY80:AY82" si="546">+AU80</f>
        <v>0.25532358632552138</v>
      </c>
      <c r="AZ80" s="700">
        <f t="shared" ref="AZ80:AZ82" si="547">+AV80</f>
        <v>0.08</v>
      </c>
      <c r="BA80" s="700">
        <f t="shared" ref="BA80:BA82" si="548">+AW80</f>
        <v>0.14000000000000001</v>
      </c>
      <c r="BR80" s="1405"/>
      <c r="BS80" s="1405"/>
      <c r="BT80" s="1405"/>
    </row>
    <row r="81" spans="1:72" s="327" customFormat="1" ht="13.15" customHeight="1">
      <c r="A81" s="697" t="s">
        <v>360</v>
      </c>
      <c r="B81" s="699">
        <f t="shared" ref="B81:V81" si="549">+B32/B64</f>
        <v>0.3338008415147265</v>
      </c>
      <c r="C81" s="699">
        <f t="shared" si="549"/>
        <v>0.3304442036836403</v>
      </c>
      <c r="D81" s="699">
        <f t="shared" si="549"/>
        <v>8.6371527777777776E-2</v>
      </c>
      <c r="E81" s="699">
        <f t="shared" si="549"/>
        <v>0.21352785145888595</v>
      </c>
      <c r="F81" s="699">
        <f t="shared" si="549"/>
        <v>0.2442159383033419</v>
      </c>
      <c r="G81" s="699">
        <f t="shared" si="549"/>
        <v>0.25</v>
      </c>
      <c r="H81" s="699">
        <f t="shared" si="549"/>
        <v>8.7367178276269192E-2</v>
      </c>
      <c r="I81" s="699">
        <f t="shared" si="549"/>
        <v>0.21140142517814728</v>
      </c>
      <c r="J81" s="699">
        <f t="shared" si="549"/>
        <v>0.20109890109890111</v>
      </c>
      <c r="K81" s="699">
        <f t="shared" si="549"/>
        <v>0.18745332337565349</v>
      </c>
      <c r="L81" s="699">
        <f t="shared" si="549"/>
        <v>7.7953296703296704E-2</v>
      </c>
      <c r="M81" s="699">
        <f t="shared" si="549"/>
        <v>0.22569444444444445</v>
      </c>
      <c r="N81" s="699">
        <f t="shared" si="549"/>
        <v>0.19881889763779528</v>
      </c>
      <c r="O81" s="699">
        <f t="shared" si="549"/>
        <v>0.1711051930758988</v>
      </c>
      <c r="P81" s="699">
        <f t="shared" si="549"/>
        <v>7.7628361858190706E-2</v>
      </c>
      <c r="Q81" s="699">
        <f t="shared" si="549"/>
        <v>0.20321931589537223</v>
      </c>
      <c r="R81" s="699">
        <f t="shared" si="549"/>
        <v>0.22918454935622318</v>
      </c>
      <c r="S81" s="699">
        <f t="shared" si="549"/>
        <v>0.1875</v>
      </c>
      <c r="T81" s="699">
        <f t="shared" si="549"/>
        <v>9.49367088607595E-2</v>
      </c>
      <c r="U81" s="699">
        <f t="shared" si="549"/>
        <v>0.16354625550660792</v>
      </c>
      <c r="V81" s="699">
        <f t="shared" si="549"/>
        <v>0.21164021164021163</v>
      </c>
      <c r="W81" s="699">
        <f t="shared" ref="W81:Y81" si="550">+W32/W64</f>
        <v>0.22969543147208121</v>
      </c>
      <c r="X81" s="699">
        <f t="shared" si="550"/>
        <v>0.10040738078121256</v>
      </c>
      <c r="Y81" s="699">
        <f t="shared" si="550"/>
        <v>0.14096056228035925</v>
      </c>
      <c r="Z81" s="699">
        <f t="shared" ref="Z81:AC81" si="551">+Z32/Z64</f>
        <v>0.19182859990034878</v>
      </c>
      <c r="AA81" s="699">
        <f t="shared" si="551"/>
        <v>0.17770295548073325</v>
      </c>
      <c r="AB81" s="699">
        <f t="shared" si="551"/>
        <v>0.1189630681818182</v>
      </c>
      <c r="AC81" s="699">
        <f t="shared" si="551"/>
        <v>0.23985086992543497</v>
      </c>
      <c r="AD81" s="699">
        <f t="shared" ref="AD81:AG81" si="552">+AD32/AD64</f>
        <v>0.22680015402387371</v>
      </c>
      <c r="AE81" s="699">
        <f t="shared" si="552"/>
        <v>0.26964814205853338</v>
      </c>
      <c r="AF81" s="699">
        <f t="shared" si="552"/>
        <v>8.2751744765702892E-2</v>
      </c>
      <c r="AG81" s="699">
        <f t="shared" si="552"/>
        <v>0.42256637168141592</v>
      </c>
      <c r="AH81" s="699">
        <f t="shared" ref="AH81:AK81" si="553">+AH32/AH64</f>
        <v>0.16991269308260579</v>
      </c>
      <c r="AI81" s="699">
        <f t="shared" si="553"/>
        <v>0.17779090372120496</v>
      </c>
      <c r="AJ81" s="699">
        <f t="shared" si="553"/>
        <v>8.6982336351491774E-2</v>
      </c>
      <c r="AK81" s="699">
        <f t="shared" si="553"/>
        <v>0.17242462311557785</v>
      </c>
      <c r="AL81" s="699">
        <f t="shared" ref="AL81:AN81" si="554">+AL32/AL64</f>
        <v>0.16326530612244897</v>
      </c>
      <c r="AM81" s="699">
        <f t="shared" si="554"/>
        <v>0.16628816553116327</v>
      </c>
      <c r="AN81" s="699">
        <f t="shared" si="554"/>
        <v>7.9055971111684289E-2</v>
      </c>
      <c r="AO81" s="699">
        <f t="shared" ref="AO81:AP81" si="555">+AO32/AO64</f>
        <v>0.16314278256329939</v>
      </c>
      <c r="AP81" s="699">
        <f t="shared" si="555"/>
        <v>0</v>
      </c>
      <c r="AQ81" s="699">
        <f t="shared" ref="AQ81" si="556">+AQ32/AQ64</f>
        <v>0.17415609546334121</v>
      </c>
      <c r="AR81" s="700">
        <f t="shared" si="534"/>
        <v>7.9055971111684289E-2</v>
      </c>
      <c r="AS81" s="700">
        <v>0.15</v>
      </c>
      <c r="AT81" s="700">
        <f t="shared" si="517"/>
        <v>0.01</v>
      </c>
      <c r="AU81" s="700">
        <f t="shared" si="518"/>
        <v>0.18415609546334122</v>
      </c>
      <c r="AV81" s="700">
        <f t="shared" si="519"/>
        <v>8.9055971111684284E-2</v>
      </c>
      <c r="AW81" s="700">
        <f t="shared" si="520"/>
        <v>0.15</v>
      </c>
      <c r="AX81" s="700">
        <f t="shared" si="545"/>
        <v>0.01</v>
      </c>
      <c r="AY81" s="700">
        <f t="shared" si="546"/>
        <v>0.18415609546334122</v>
      </c>
      <c r="AZ81" s="700">
        <f t="shared" si="547"/>
        <v>8.9055971111684284E-2</v>
      </c>
      <c r="BA81" s="700">
        <f t="shared" si="548"/>
        <v>0.15</v>
      </c>
      <c r="BR81" s="1405"/>
      <c r="BS81" s="1405"/>
      <c r="BT81" s="1405"/>
    </row>
    <row r="82" spans="1:72" s="327" customFormat="1" ht="13.15" customHeight="1">
      <c r="A82" s="697" t="s">
        <v>361</v>
      </c>
      <c r="B82" s="699">
        <f t="shared" ref="B82:V82" si="557">+B41/B64</f>
        <v>0.5539971949509116</v>
      </c>
      <c r="C82" s="699">
        <f t="shared" si="557"/>
        <v>0.38894907908992415</v>
      </c>
      <c r="D82" s="699">
        <f t="shared" si="557"/>
        <v>0.14192708333333334</v>
      </c>
      <c r="E82" s="699">
        <f t="shared" si="557"/>
        <v>0.46419098143236076</v>
      </c>
      <c r="F82" s="699">
        <f t="shared" si="557"/>
        <v>0.43830334190231363</v>
      </c>
      <c r="G82" s="699">
        <f t="shared" si="557"/>
        <v>0.31692913385826771</v>
      </c>
      <c r="H82" s="699">
        <f t="shared" si="557"/>
        <v>0.12908303817394726</v>
      </c>
      <c r="I82" s="699">
        <f t="shared" si="557"/>
        <v>0.39429928741092635</v>
      </c>
      <c r="J82" s="699">
        <f t="shared" si="557"/>
        <v>0.35054945054945053</v>
      </c>
      <c r="K82" s="699">
        <f t="shared" si="557"/>
        <v>0.22106049290515309</v>
      </c>
      <c r="L82" s="699">
        <f t="shared" si="557"/>
        <v>0.10989010989010989</v>
      </c>
      <c r="M82" s="699">
        <f t="shared" si="557"/>
        <v>0.13773148148148148</v>
      </c>
      <c r="N82" s="699">
        <f t="shared" si="557"/>
        <v>0.11811023622047244</v>
      </c>
      <c r="O82" s="699">
        <f t="shared" si="557"/>
        <v>8.2556591211717711E-2</v>
      </c>
      <c r="P82" s="699">
        <f t="shared" si="557"/>
        <v>4.4315403422982888E-2</v>
      </c>
      <c r="Q82" s="699">
        <f t="shared" si="557"/>
        <v>0.14587525150905434</v>
      </c>
      <c r="R82" s="699">
        <f t="shared" si="557"/>
        <v>4.7210300429184553E-2</v>
      </c>
      <c r="S82" s="699">
        <f t="shared" si="557"/>
        <v>3.3018867924528301E-2</v>
      </c>
      <c r="T82" s="699">
        <f t="shared" si="557"/>
        <v>8.6608927381745509E-3</v>
      </c>
      <c r="U82" s="699">
        <f t="shared" si="557"/>
        <v>2.3127753303964757E-2</v>
      </c>
      <c r="V82" s="699">
        <f t="shared" si="557"/>
        <v>3.779289493575208E-2</v>
      </c>
      <c r="W82" s="699">
        <f t="shared" ref="W82:Y82" si="558">+W41/W64</f>
        <v>3.1091370558375634E-2</v>
      </c>
      <c r="X82" s="699">
        <f t="shared" si="558"/>
        <v>1.3419602204648934E-2</v>
      </c>
      <c r="Y82" s="699">
        <f t="shared" si="558"/>
        <v>2.0695040999609528E-2</v>
      </c>
      <c r="Z82" s="699">
        <f t="shared" ref="Z82:AC82" si="559">+Z41/Z64</f>
        <v>2.5411061285500747E-2</v>
      </c>
      <c r="AA82" s="699">
        <f t="shared" si="559"/>
        <v>2.7310138421249533E-2</v>
      </c>
      <c r="AB82" s="699">
        <f t="shared" si="559"/>
        <v>1.5269886363636366E-2</v>
      </c>
      <c r="AC82" s="699">
        <f t="shared" si="559"/>
        <v>3.6039768019884011E-2</v>
      </c>
      <c r="AD82" s="699">
        <f t="shared" ref="AD82:AG82" si="560">+AD41/AD64</f>
        <v>3.4270311898344244E-2</v>
      </c>
      <c r="AE82" s="699">
        <f t="shared" si="560"/>
        <v>2.8937849391647483E-2</v>
      </c>
      <c r="AF82" s="699">
        <f t="shared" si="560"/>
        <v>1.9275506812894649E-2</v>
      </c>
      <c r="AG82" s="699">
        <f t="shared" si="560"/>
        <v>4.314159292035398E-2</v>
      </c>
      <c r="AH82" s="699">
        <f t="shared" ref="AH82:AK82" si="561">+AH41/AH64</f>
        <v>4.8354600402955E-2</v>
      </c>
      <c r="AI82" s="699">
        <f t="shared" si="561"/>
        <v>4.0756054341405785E-2</v>
      </c>
      <c r="AJ82" s="699">
        <f t="shared" si="561"/>
        <v>3.2210182573845933E-2</v>
      </c>
      <c r="AK82" s="699">
        <f t="shared" si="561"/>
        <v>6.5326633165829137E-2</v>
      </c>
      <c r="AL82" s="699">
        <f t="shared" ref="AL82:AN82" si="562">+AL41/AL64</f>
        <v>6.7316478830338103E-2</v>
      </c>
      <c r="AM82" s="699">
        <f t="shared" si="562"/>
        <v>5.5765833964168558E-2</v>
      </c>
      <c r="AN82" s="699">
        <f t="shared" si="562"/>
        <v>3.7915914366778436E-2</v>
      </c>
      <c r="AO82" s="699">
        <f t="shared" ref="AO82:AP82" si="563">+AO41/AO64</f>
        <v>8.0396763247193942E-2</v>
      </c>
      <c r="AP82" s="699">
        <f t="shared" si="563"/>
        <v>8.1338481338481344E-2</v>
      </c>
      <c r="AQ82" s="699">
        <f t="shared" ref="AQ82" si="564">+AQ41/AQ64</f>
        <v>7.0092453235863258E-2</v>
      </c>
      <c r="AR82" s="700">
        <f t="shared" si="534"/>
        <v>3.7915914366778436E-2</v>
      </c>
      <c r="AS82" s="700">
        <f t="shared" si="534"/>
        <v>8.0396763247193942E-2</v>
      </c>
      <c r="AT82" s="700">
        <f t="shared" si="517"/>
        <v>9.1338481338481339E-2</v>
      </c>
      <c r="AU82" s="700">
        <f t="shared" si="518"/>
        <v>8.0092453235863253E-2</v>
      </c>
      <c r="AV82" s="700">
        <f t="shared" si="519"/>
        <v>4.7915914366778438E-2</v>
      </c>
      <c r="AW82" s="700">
        <f t="shared" si="520"/>
        <v>8.0396763247193942E-2</v>
      </c>
      <c r="AX82" s="700">
        <f t="shared" si="545"/>
        <v>9.1338481338481339E-2</v>
      </c>
      <c r="AY82" s="700">
        <f t="shared" si="546"/>
        <v>8.0092453235863253E-2</v>
      </c>
      <c r="AZ82" s="700">
        <f t="shared" si="547"/>
        <v>4.7915914366778438E-2</v>
      </c>
      <c r="BA82" s="700">
        <f t="shared" si="548"/>
        <v>8.0396763247193942E-2</v>
      </c>
      <c r="BR82" s="1405"/>
      <c r="BS82" s="1405"/>
      <c r="BT82" s="1405"/>
    </row>
    <row r="83" spans="1:72" s="327" customFormat="1" ht="13.15" customHeight="1">
      <c r="A83" s="697"/>
      <c r="B83" s="699"/>
      <c r="C83" s="699"/>
      <c r="D83" s="699"/>
      <c r="E83" s="699"/>
      <c r="F83" s="699"/>
      <c r="G83" s="699"/>
      <c r="H83" s="699"/>
      <c r="I83" s="699"/>
      <c r="J83" s="699"/>
      <c r="K83" s="699"/>
      <c r="L83" s="699"/>
      <c r="M83" s="699"/>
      <c r="N83" s="699"/>
      <c r="O83" s="699"/>
      <c r="P83" s="699"/>
      <c r="Q83" s="699"/>
      <c r="R83" s="699"/>
      <c r="S83" s="699"/>
      <c r="T83" s="699"/>
      <c r="U83" s="699"/>
      <c r="V83" s="699"/>
      <c r="W83" s="699"/>
      <c r="X83" s="700"/>
      <c r="Y83" s="700"/>
      <c r="Z83" s="700"/>
      <c r="AA83" s="700"/>
      <c r="AB83" s="700"/>
      <c r="AC83" s="700"/>
      <c r="AD83" s="700"/>
      <c r="AE83" s="700"/>
      <c r="AF83" s="700"/>
      <c r="AG83" s="700"/>
      <c r="AH83" s="700"/>
      <c r="AI83" s="700"/>
      <c r="AJ83" s="700"/>
      <c r="AK83" s="700"/>
      <c r="AL83" s="700"/>
      <c r="AM83" s="700"/>
      <c r="AN83" s="700"/>
      <c r="AO83" s="700"/>
      <c r="AP83" s="700"/>
      <c r="AQ83" s="700"/>
      <c r="AR83" s="700"/>
      <c r="AS83" s="700"/>
      <c r="AT83" s="700"/>
      <c r="AU83" s="700"/>
      <c r="AV83" s="700"/>
      <c r="AW83" s="700"/>
      <c r="AX83" s="700"/>
      <c r="AY83" s="700"/>
      <c r="AZ83" s="700"/>
      <c r="BA83" s="700"/>
      <c r="BR83" s="1405"/>
      <c r="BS83" s="1405"/>
      <c r="BT83" s="1405"/>
    </row>
    <row r="84" spans="1:72" s="327" customFormat="1" ht="13.15" customHeight="1">
      <c r="A84" s="414" t="s">
        <v>47</v>
      </c>
      <c r="R84" s="696"/>
      <c r="S84" s="696"/>
      <c r="T84" s="696"/>
      <c r="U84" s="696"/>
      <c r="V84" s="696"/>
      <c r="W84" s="696"/>
      <c r="X84" s="905">
        <f>+'Cash Flow'!X68</f>
        <v>2354</v>
      </c>
      <c r="Y84" s="905">
        <f>+'Cash Flow'!Y68</f>
        <v>518</v>
      </c>
      <c r="Z84" s="905">
        <f>+'Cash Flow'!Z68</f>
        <v>103</v>
      </c>
      <c r="AA84" s="905">
        <f>+'Cash Flow'!AA68</f>
        <v>20</v>
      </c>
      <c r="AB84" s="905">
        <f>+'Cash Flow'!AB68</f>
        <v>3259</v>
      </c>
      <c r="AC84" s="905">
        <f>+'Cash Flow'!AC68</f>
        <v>278</v>
      </c>
      <c r="AD84" s="905">
        <f>+'Cash Flow'!AD68</f>
        <v>251</v>
      </c>
      <c r="AE84" s="905">
        <f>+'Cash Flow'!AE68</f>
        <v>229</v>
      </c>
      <c r="AF84" s="905">
        <f>+'Cash Flow'!AF68</f>
        <v>3504</v>
      </c>
      <c r="AG84" s="905">
        <f>+'Cash Flow'!AG68</f>
        <v>802</v>
      </c>
      <c r="AH84" s="905">
        <f>+'Cash Flow'!AH68</f>
        <v>-181</v>
      </c>
      <c r="AI84" s="905">
        <f>+'Cash Flow'!AI68</f>
        <v>550</v>
      </c>
      <c r="AJ84" s="905">
        <f>+'Cash Flow'!AJ68</f>
        <v>3890</v>
      </c>
      <c r="AK84" s="905">
        <f>+'Cash Flow'!AK68</f>
        <v>375</v>
      </c>
      <c r="AL84" s="905">
        <f>+'Cash Flow'!AL68</f>
        <v>329</v>
      </c>
      <c r="AM84" s="905">
        <f>+'Cash Flow'!AM68</f>
        <v>1038</v>
      </c>
      <c r="AN84" s="905">
        <f>+'Cash Flow'!AN68</f>
        <v>4360</v>
      </c>
      <c r="AO84" s="905">
        <f>+'Cash Flow'!AO68</f>
        <v>356</v>
      </c>
      <c r="AP84" s="905">
        <f>+'Cash Flow'!AP68</f>
        <v>599</v>
      </c>
      <c r="AQ84" s="905">
        <f>+'Cash Flow'!AQ68</f>
        <v>1524</v>
      </c>
      <c r="AR84" s="905">
        <f>+'Cash Flow'!AR68</f>
        <v>4543.7456437109295</v>
      </c>
      <c r="AS84" s="905">
        <f>+'Cash Flow'!AS68</f>
        <v>1260.457368232675</v>
      </c>
      <c r="AT84" s="905">
        <f>+'Cash Flow'!AT68</f>
        <v>1072.5063042454647</v>
      </c>
      <c r="AU84" s="905">
        <f>+'Cash Flow'!AU68</f>
        <v>864.13790027272546</v>
      </c>
      <c r="AV84" s="905">
        <f>+'Cash Flow'!AV68</f>
        <v>5000.7130426521999</v>
      </c>
      <c r="AW84" s="905">
        <f>+'Cash Flow'!AW68</f>
        <v>1006.5439275024501</v>
      </c>
      <c r="AX84" s="905">
        <f>+'Cash Flow'!AX68</f>
        <v>1454.8937728383194</v>
      </c>
      <c r="AY84" s="905">
        <f>+'Cash Flow'!AY68</f>
        <v>929.67988945448633</v>
      </c>
      <c r="AZ84" s="905">
        <f>+'Cash Flow'!AZ68</f>
        <v>5412.455755434743</v>
      </c>
      <c r="BA84" s="905">
        <f>+'Cash Flow'!BA68</f>
        <v>1181.3974749168181</v>
      </c>
      <c r="BR84" s="1405"/>
      <c r="BS84" s="1405"/>
      <c r="BT84" s="1405"/>
    </row>
    <row r="85" spans="1:72" s="327" customFormat="1" ht="13.15" customHeight="1">
      <c r="A85" s="701" t="s">
        <v>337</v>
      </c>
      <c r="B85" s="702"/>
      <c r="C85" s="702"/>
      <c r="D85" s="702"/>
      <c r="E85" s="702"/>
      <c r="F85" s="702"/>
      <c r="G85" s="702"/>
      <c r="H85" s="702"/>
      <c r="I85" s="702"/>
      <c r="J85" s="702"/>
      <c r="K85" s="702"/>
      <c r="L85" s="702"/>
      <c r="M85" s="702"/>
      <c r="N85" s="702"/>
      <c r="O85" s="702"/>
      <c r="P85" s="702"/>
      <c r="Q85" s="702"/>
      <c r="R85" s="703"/>
      <c r="S85" s="703"/>
      <c r="T85" s="703"/>
      <c r="U85" s="703"/>
      <c r="V85" s="703"/>
      <c r="W85" s="703"/>
      <c r="X85" s="1226">
        <f>+'Cash Flow'!X69</f>
        <v>2510.6</v>
      </c>
      <c r="Y85" s="1226">
        <f>+'Cash Flow'!Y69</f>
        <v>521.71669999999995</v>
      </c>
      <c r="Z85" s="1226">
        <f>+'Cash Flow'!Z69</f>
        <v>239.66667000000001</v>
      </c>
      <c r="AA85" s="1226">
        <f>+'Cash Flow'!AA69</f>
        <v>18.8</v>
      </c>
      <c r="AB85" s="1226">
        <f>+'Cash Flow'!AB69</f>
        <v>3253.5</v>
      </c>
      <c r="AC85" s="1226">
        <f>+'Cash Flow'!AC69</f>
        <v>272.75</v>
      </c>
      <c r="AD85" s="1226">
        <f>+'Cash Flow'!AD69</f>
        <v>210.6</v>
      </c>
      <c r="AE85" s="1226">
        <f>+'Cash Flow'!AE69</f>
        <v>224.4</v>
      </c>
      <c r="AF85" s="1226">
        <f>+'Cash Flow'!AF69</f>
        <v>3540.8332999999998</v>
      </c>
      <c r="AG85" s="1226">
        <f>+'Cash Flow'!AG69</f>
        <v>797.6</v>
      </c>
      <c r="AH85" s="1226">
        <f>+'Cash Flow'!AH69</f>
        <v>-140.85714999999999</v>
      </c>
      <c r="AI85" s="1226">
        <f>+'Cash Flow'!AI69</f>
        <v>562.42859999999996</v>
      </c>
      <c r="AJ85" s="1226">
        <f>+'Cash Flow'!AJ69</f>
        <v>3868</v>
      </c>
      <c r="AK85" s="1226">
        <f>+'Cash Flow'!AK69</f>
        <v>401.16665999999998</v>
      </c>
      <c r="AL85" s="1226">
        <f>+'Cash Flow'!AL69</f>
        <v>329</v>
      </c>
      <c r="AM85" s="1226">
        <f>+'Cash Flow'!AM69</f>
        <v>940.92993000000001</v>
      </c>
      <c r="AN85" s="1226">
        <f>+'Cash Flow'!AN69</f>
        <v>4281.2866000000004</v>
      </c>
      <c r="AO85" s="1226">
        <f>+'Cash Flow'!AO69</f>
        <v>651.53314</v>
      </c>
      <c r="AP85" s="1226">
        <f>+'Cash Flow'!AP69</f>
        <v>558.29999999999995</v>
      </c>
      <c r="AQ85" s="1226">
        <f>+'Cash Flow'!AQ69</f>
        <v>1162.4000000000001</v>
      </c>
      <c r="AR85" s="1226">
        <f>+'Cash Flow'!AR69</f>
        <v>4193.6499999999996</v>
      </c>
      <c r="AS85" s="1226">
        <f>+'Cash Flow'!AS69</f>
        <v>1202.825</v>
      </c>
      <c r="AT85" s="1226">
        <f>+'Cash Flow'!AT69</f>
        <v>688.25</v>
      </c>
      <c r="AU85" s="1226">
        <f>+'Cash Flow'!AU69</f>
        <v>1426.75</v>
      </c>
      <c r="AV85" s="1226">
        <f>+'Cash Flow'!AV69</f>
        <v>4806</v>
      </c>
      <c r="AW85" s="1226">
        <f>+'Cash Flow'!AW69</f>
        <v>1047</v>
      </c>
      <c r="AX85" s="1226" t="e">
        <f>+'Cash Flow'!AX69</f>
        <v>#N/A</v>
      </c>
      <c r="AY85" s="1226" t="e">
        <f>+'Cash Flow'!AY69</f>
        <v>#N/A</v>
      </c>
      <c r="AZ85" s="1226" t="e">
        <f>+'Cash Flow'!AZ69</f>
        <v>#N/A</v>
      </c>
      <c r="BA85" s="1226" t="e">
        <f>+'Cash Flow'!BA69</f>
        <v>#N/A</v>
      </c>
      <c r="BR85" s="1405"/>
      <c r="BS85" s="1405"/>
      <c r="BT85" s="1405"/>
    </row>
    <row r="86" spans="1:72" s="327" customFormat="1" ht="13.15" customHeight="1">
      <c r="A86" s="414"/>
      <c r="R86" s="696"/>
      <c r="S86" s="696"/>
      <c r="T86" s="696"/>
      <c r="U86" s="696"/>
      <c r="V86" s="696"/>
      <c r="W86" s="696"/>
      <c r="X86" s="696"/>
      <c r="Y86" s="696"/>
      <c r="Z86" s="696"/>
      <c r="AA86" s="696"/>
      <c r="AB86" s="696"/>
      <c r="AC86" s="696"/>
      <c r="AD86" s="696"/>
      <c r="AE86" s="696"/>
      <c r="AF86" s="696"/>
      <c r="AG86" s="696"/>
      <c r="AH86" s="696"/>
      <c r="AI86" s="696"/>
      <c r="AJ86" s="696"/>
      <c r="AK86" s="696"/>
      <c r="AL86" s="696"/>
      <c r="AM86" s="696"/>
      <c r="AN86" s="696"/>
      <c r="AO86" s="696"/>
      <c r="AP86" s="696"/>
      <c r="AQ86" s="696"/>
      <c r="AR86" s="696"/>
      <c r="AS86" s="696"/>
      <c r="AT86" s="696"/>
      <c r="AU86" s="696"/>
      <c r="AV86" s="696"/>
      <c r="AW86" s="696"/>
      <c r="AX86" s="696"/>
      <c r="AY86" s="696"/>
      <c r="AZ86" s="696"/>
      <c r="BA86" s="696"/>
      <c r="BR86" s="1405"/>
      <c r="BS86" s="1405"/>
      <c r="BT86" s="1405"/>
    </row>
    <row r="87" spans="1:72" s="327" customFormat="1" ht="13.15" customHeight="1">
      <c r="A87" s="288" t="s">
        <v>86</v>
      </c>
      <c r="X87" s="1204"/>
      <c r="Y87" s="1204"/>
      <c r="Z87" s="1204"/>
      <c r="AA87" s="1204"/>
      <c r="AB87" s="1204"/>
      <c r="AC87" s="1204"/>
      <c r="AD87" s="1204"/>
      <c r="AE87" s="1204"/>
      <c r="AF87" s="1204"/>
      <c r="AG87" s="1204"/>
      <c r="AH87" s="1204"/>
      <c r="AI87" s="1204"/>
      <c r="AJ87" s="1204"/>
      <c r="AK87" s="1204"/>
      <c r="AL87" s="1204"/>
      <c r="AM87" s="1204"/>
      <c r="AN87" s="1204"/>
      <c r="AO87" s="1204"/>
      <c r="AP87" s="1204"/>
      <c r="AQ87" s="1204"/>
      <c r="AR87" s="1204"/>
      <c r="AS87" s="1204"/>
      <c r="AT87" s="1204"/>
      <c r="AU87" s="1204"/>
      <c r="AV87" s="1204"/>
      <c r="AW87" s="1204"/>
      <c r="AX87" s="1204"/>
      <c r="AY87" s="1204"/>
      <c r="AZ87" s="1204"/>
      <c r="BA87" s="1204"/>
      <c r="BB87" s="110"/>
      <c r="BR87" s="1405"/>
      <c r="BS87" s="1405"/>
      <c r="BT87" s="1405"/>
    </row>
    <row r="97" spans="70:72" s="384" customFormat="1">
      <c r="BR97" s="1389"/>
      <c r="BS97" s="1389"/>
      <c r="BT97" s="1389"/>
    </row>
  </sheetData>
  <mergeCells count="14">
    <mergeCell ref="V3:Y3"/>
    <mergeCell ref="B3:E3"/>
    <mergeCell ref="F3:I3"/>
    <mergeCell ref="J3:M3"/>
    <mergeCell ref="N3:Q3"/>
    <mergeCell ref="R3:U3"/>
    <mergeCell ref="Z3:AC3"/>
    <mergeCell ref="AD3:AG3"/>
    <mergeCell ref="AH3:AK3"/>
    <mergeCell ref="AL3:AO3"/>
    <mergeCell ref="BC3:BM3"/>
    <mergeCell ref="AP3:AS3"/>
    <mergeCell ref="AT3:AW3"/>
    <mergeCell ref="AX3:BA3"/>
  </mergeCells>
  <pageMargins left="0.7" right="0.7" top="0.75" bottom="0.75" header="0.3" footer="0.3"/>
  <pageSetup scale="48" orientation="portrait" r:id="rId1"/>
  <colBreaks count="1" manualBreakCount="1">
    <brk id="68"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8000"/>
  </sheetPr>
  <dimension ref="A1:HL110"/>
  <sheetViews>
    <sheetView showGridLines="0" zoomScale="85" zoomScaleNormal="85" workbookViewId="0">
      <pane xSplit="1" ySplit="4" topLeftCell="AL5" activePane="bottomRight" state="frozen"/>
      <selection activeCell="I28" sqref="I28"/>
      <selection pane="topRight" activeCell="I28" sqref="I28"/>
      <selection pane="bottomLeft" activeCell="I28" sqref="I28"/>
      <selection pane="bottomRight" activeCell="AL5" sqref="AL5"/>
    </sheetView>
  </sheetViews>
  <sheetFormatPr defaultColWidth="9.140625" defaultRowHeight="11.25" outlineLevelRow="1" outlineLevelCol="1"/>
  <cols>
    <col min="1" max="1" width="42.5703125" style="281" customWidth="1"/>
    <col min="2" max="2" width="8.140625" style="281" hidden="1" customWidth="1" outlineLevel="1" collapsed="1"/>
    <col min="3" max="17" width="8.140625" style="281" hidden="1" customWidth="1" outlineLevel="1"/>
    <col min="18" max="18" width="8.140625" style="281" hidden="1" customWidth="1" outlineLevel="1" collapsed="1"/>
    <col min="19" max="21" width="8.140625" style="281" hidden="1" customWidth="1" outlineLevel="1"/>
    <col min="22" max="22" width="8.140625" style="281" hidden="1" customWidth="1" outlineLevel="1" collapsed="1"/>
    <col min="23" max="33" width="8.140625" style="281" hidden="1" customWidth="1" outlineLevel="1"/>
    <col min="34" max="34" width="8.140625" style="281" hidden="1" customWidth="1" outlineLevel="1" collapsed="1"/>
    <col min="35" max="37" width="8.140625" style="281" hidden="1" customWidth="1" outlineLevel="1"/>
    <col min="38" max="38" width="8.140625" style="281" customWidth="1" collapsed="1"/>
    <col min="39" max="49" width="8.140625" style="281" customWidth="1"/>
    <col min="50" max="53" width="8.140625" style="281" hidden="1" customWidth="1" outlineLevel="1"/>
    <col min="54" max="54" width="2.5703125" style="281" customWidth="1" collapsed="1"/>
    <col min="55" max="57" width="9.140625" style="281" hidden="1" customWidth="1" outlineLevel="1"/>
    <col min="58" max="60" width="9.140625" style="281" hidden="1" customWidth="1" outlineLevel="1" collapsed="1"/>
    <col min="61" max="62" width="9.140625" style="281" hidden="1" customWidth="1" outlineLevel="1"/>
    <col min="63" max="63" width="9.140625" style="281" customWidth="1" collapsed="1"/>
    <col min="64" max="68" width="9.140625" style="281" customWidth="1"/>
    <col min="69" max="69" width="10" style="281" customWidth="1"/>
    <col min="70" max="70" width="9.140625" style="284"/>
    <col min="71" max="72" width="9.140625" style="284" hidden="1" customWidth="1" outlineLevel="1"/>
    <col min="73" max="90" width="9.140625" style="281" hidden="1" customWidth="1" outlineLevel="1"/>
    <col min="91" max="91" width="9.140625" style="281" customWidth="1" collapsed="1"/>
    <col min="92" max="98" width="9.140625" style="281" customWidth="1"/>
    <col min="99" max="110" width="9.140625" style="281" customWidth="1" outlineLevel="1"/>
    <col min="111" max="114" width="9.140625" style="281" outlineLevel="1"/>
    <col min="115" max="16384" width="9.140625" style="281"/>
  </cols>
  <sheetData>
    <row r="1" spans="1:114" s="730" customFormat="1" ht="15.75">
      <c r="A1" s="275" t="str">
        <f>+'Income Statement'!A1</f>
        <v>Intuit, Inc.</v>
      </c>
      <c r="B1" s="728"/>
      <c r="C1" s="728"/>
      <c r="D1" s="728"/>
      <c r="E1" s="728"/>
      <c r="F1" s="728"/>
      <c r="G1" s="728"/>
      <c r="H1" s="728"/>
      <c r="I1" s="728"/>
      <c r="J1" s="728"/>
      <c r="K1" s="728"/>
      <c r="L1" s="728"/>
      <c r="M1" s="728"/>
      <c r="N1" s="728"/>
      <c r="O1" s="728"/>
      <c r="P1" s="728"/>
      <c r="Q1" s="728"/>
      <c r="R1" s="728"/>
      <c r="S1" s="728"/>
      <c r="T1" s="728"/>
      <c r="U1" s="728"/>
      <c r="V1" s="728"/>
      <c r="W1" s="728"/>
      <c r="X1" s="728"/>
      <c r="Y1" s="728"/>
      <c r="Z1" s="728"/>
      <c r="AA1" s="728"/>
      <c r="AB1" s="728"/>
      <c r="AC1" s="728"/>
      <c r="AD1" s="728"/>
      <c r="AE1" s="728"/>
      <c r="AF1" s="728"/>
      <c r="AG1" s="728"/>
      <c r="AH1" s="728"/>
      <c r="AI1" s="728"/>
      <c r="AJ1" s="728"/>
      <c r="AK1" s="728"/>
      <c r="AL1" s="728"/>
      <c r="AM1" s="728"/>
      <c r="AN1" s="728"/>
      <c r="AO1" s="728"/>
      <c r="AP1" s="728"/>
      <c r="AQ1" s="728"/>
      <c r="AR1" s="728"/>
      <c r="AS1" s="728"/>
      <c r="AT1" s="728"/>
      <c r="AU1" s="728"/>
      <c r="AV1" s="728"/>
      <c r="AW1" s="728"/>
      <c r="AX1" s="728"/>
      <c r="AY1" s="728"/>
      <c r="AZ1" s="728"/>
      <c r="BA1" s="728"/>
      <c r="BB1" s="728"/>
      <c r="BC1" s="729"/>
      <c r="BD1" s="729"/>
      <c r="BE1" s="729"/>
      <c r="BF1" s="729"/>
      <c r="BG1" s="729"/>
      <c r="BH1" s="729"/>
      <c r="BI1" s="729"/>
      <c r="BJ1" s="729"/>
      <c r="BK1" s="729"/>
      <c r="BL1" s="729"/>
      <c r="BM1" s="729"/>
      <c r="BN1" s="729"/>
      <c r="BO1" s="729"/>
      <c r="BP1" s="729"/>
      <c r="BQ1" s="281"/>
      <c r="BR1" s="284"/>
      <c r="BS1" s="284"/>
      <c r="BT1" s="284"/>
    </row>
    <row r="2" spans="1:114" s="730" customFormat="1" ht="15.75">
      <c r="A2" s="275" t="s">
        <v>338</v>
      </c>
      <c r="B2" s="728"/>
      <c r="C2" s="728"/>
      <c r="D2" s="728"/>
      <c r="E2" s="728"/>
      <c r="F2" s="728"/>
      <c r="G2" s="728"/>
      <c r="H2" s="728"/>
      <c r="I2" s="728"/>
      <c r="J2" s="728"/>
      <c r="K2" s="728"/>
      <c r="L2" s="728"/>
      <c r="M2" s="728"/>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282"/>
      <c r="BC2" s="284"/>
      <c r="BD2" s="284">
        <v>0</v>
      </c>
      <c r="BE2" s="284">
        <v>0</v>
      </c>
      <c r="BF2" s="284">
        <v>0</v>
      </c>
      <c r="BG2" s="284">
        <v>0</v>
      </c>
      <c r="BH2" s="284">
        <v>0</v>
      </c>
      <c r="BI2" s="284">
        <v>0</v>
      </c>
      <c r="BJ2" s="284">
        <v>0</v>
      </c>
      <c r="BK2" s="284">
        <v>0</v>
      </c>
      <c r="BL2" s="284">
        <v>0</v>
      </c>
      <c r="BM2" s="284">
        <v>0</v>
      </c>
      <c r="BN2" s="284">
        <v>0</v>
      </c>
      <c r="BO2" s="284">
        <v>0</v>
      </c>
      <c r="BP2" s="284">
        <v>0</v>
      </c>
      <c r="BQ2" s="281"/>
      <c r="BR2" s="284"/>
      <c r="BS2" s="1376" t="s">
        <v>339</v>
      </c>
      <c r="BT2" s="1377"/>
      <c r="BU2" s="732"/>
      <c r="BV2" s="732"/>
      <c r="BW2" s="731" t="s">
        <v>339</v>
      </c>
      <c r="BX2" s="732"/>
      <c r="BY2" s="732"/>
      <c r="BZ2" s="732"/>
      <c r="CA2" s="731" t="s">
        <v>339</v>
      </c>
      <c r="CB2" s="732"/>
      <c r="CC2" s="732"/>
      <c r="CD2" s="732"/>
      <c r="CE2" s="731" t="s">
        <v>339</v>
      </c>
      <c r="CF2" s="732"/>
      <c r="CG2" s="732"/>
      <c r="CH2" s="732"/>
      <c r="CI2" s="731" t="s">
        <v>339</v>
      </c>
      <c r="CJ2" s="732"/>
      <c r="CK2" s="732"/>
      <c r="CL2" s="732"/>
      <c r="CM2" s="731" t="s">
        <v>339</v>
      </c>
      <c r="CN2" s="732"/>
      <c r="CO2" s="732"/>
      <c r="CP2" s="732"/>
      <c r="CQ2" s="732"/>
      <c r="CR2" s="732"/>
      <c r="CS2" s="732"/>
      <c r="CT2" s="732"/>
      <c r="CU2" s="732"/>
      <c r="CV2" s="732"/>
      <c r="CW2" s="732"/>
      <c r="CX2" s="732"/>
      <c r="CY2" s="732"/>
      <c r="CZ2" s="732"/>
      <c r="DA2" s="732"/>
      <c r="DB2" s="732"/>
      <c r="DC2" s="732"/>
      <c r="DD2" s="732"/>
      <c r="DE2" s="732"/>
      <c r="DF2" s="732"/>
      <c r="DG2" s="732"/>
      <c r="DH2" s="732"/>
      <c r="DI2" s="732"/>
      <c r="DJ2" s="732"/>
    </row>
    <row r="3" spans="1:114" s="288" customFormat="1" ht="12.75" customHeight="1">
      <c r="A3" s="733"/>
      <c r="B3" s="2178" t="str">
        <f>+'Income Statement'!B3:E3</f>
        <v>Fiscal 2016</v>
      </c>
      <c r="C3" s="2177"/>
      <c r="D3" s="2177"/>
      <c r="E3" s="2177"/>
      <c r="F3" s="2178" t="str">
        <f>+'Income Statement'!F3:I3</f>
        <v>Fiscal 2017</v>
      </c>
      <c r="G3" s="2177"/>
      <c r="H3" s="2177"/>
      <c r="I3" s="2177"/>
      <c r="J3" s="2178" t="str">
        <f>+'Income Statement'!J3:M3</f>
        <v>Fiscal 2018</v>
      </c>
      <c r="K3" s="2177"/>
      <c r="L3" s="2177"/>
      <c r="M3" s="2177"/>
      <c r="N3" s="2178" t="str">
        <f>+'Income Statement'!N3:Q3</f>
        <v>Fiscal 2019</v>
      </c>
      <c r="O3" s="2177"/>
      <c r="P3" s="2177"/>
      <c r="Q3" s="2177"/>
      <c r="R3" s="2178" t="str">
        <f>+'Income Statement'!R3:U3</f>
        <v>Fiscal 2020</v>
      </c>
      <c r="S3" s="2177"/>
      <c r="T3" s="2177"/>
      <c r="U3" s="2177"/>
      <c r="V3" s="2178" t="str">
        <f>+'Income Statement'!V3:Y3</f>
        <v>Fiscal 2021</v>
      </c>
      <c r="W3" s="2177"/>
      <c r="X3" s="2177"/>
      <c r="Y3" s="2177"/>
      <c r="Z3" s="2178" t="str">
        <f>+'Income Statement'!Z3:AC3</f>
        <v>Fiscal 2022</v>
      </c>
      <c r="AA3" s="2177"/>
      <c r="AB3" s="2177"/>
      <c r="AC3" s="2177"/>
      <c r="AD3" s="2178" t="str">
        <f>+'Income Statement'!AD3:AG3</f>
        <v>Fiscal 2023</v>
      </c>
      <c r="AE3" s="2177"/>
      <c r="AF3" s="2177"/>
      <c r="AG3" s="2177"/>
      <c r="AH3" s="2178" t="str">
        <f>+'Income Statement'!AH3:AK3</f>
        <v>Fiscal 2024</v>
      </c>
      <c r="AI3" s="2177"/>
      <c r="AJ3" s="2177"/>
      <c r="AK3" s="2177"/>
      <c r="AL3" s="2178" t="str">
        <f>+'Income Statement'!AL3:AO3</f>
        <v>Fiscal 2025</v>
      </c>
      <c r="AM3" s="2177"/>
      <c r="AN3" s="2177"/>
      <c r="AO3" s="2177"/>
      <c r="AP3" s="2178" t="str">
        <f>+'Income Statement'!AP3:AS3</f>
        <v>Fiscal 2026</v>
      </c>
      <c r="AQ3" s="2177"/>
      <c r="AR3" s="2177"/>
      <c r="AS3" s="2177"/>
      <c r="AT3" s="2178" t="str">
        <f>+'Income Statement'!AT3:AW3</f>
        <v>Fiscal 2027</v>
      </c>
      <c r="AU3" s="2177"/>
      <c r="AV3" s="2177"/>
      <c r="AW3" s="2177"/>
      <c r="AX3" s="2178" t="str">
        <f>+'Income Statement'!AX3:BA3</f>
        <v>Fiscal 2028</v>
      </c>
      <c r="AY3" s="2177"/>
      <c r="AZ3" s="2177"/>
      <c r="BA3" s="2177"/>
      <c r="BB3" s="1255"/>
      <c r="BC3" s="2157"/>
      <c r="BD3" s="2158"/>
      <c r="BE3" s="2158"/>
      <c r="BF3" s="2158"/>
      <c r="BG3" s="2158"/>
      <c r="BH3" s="2158"/>
      <c r="BI3" s="2158"/>
      <c r="BJ3" s="2158"/>
      <c r="BK3" s="2158"/>
      <c r="BL3" s="2158"/>
      <c r="BM3" s="2158"/>
      <c r="BN3" s="1359"/>
      <c r="BO3" s="1359"/>
      <c r="BP3" s="1359"/>
      <c r="BQ3" s="414"/>
      <c r="BR3" s="1378"/>
      <c r="BS3" s="2177" t="str">
        <f>B3</f>
        <v>Fiscal 2016</v>
      </c>
      <c r="BT3" s="2177"/>
      <c r="BU3" s="2177"/>
      <c r="BV3" s="2177"/>
      <c r="BW3" s="2177" t="str">
        <f>F3</f>
        <v>Fiscal 2017</v>
      </c>
      <c r="BX3" s="2177"/>
      <c r="BY3" s="2177"/>
      <c r="BZ3" s="2177"/>
      <c r="CA3" s="2177" t="str">
        <f>J3</f>
        <v>Fiscal 2018</v>
      </c>
      <c r="CB3" s="2177"/>
      <c r="CC3" s="2177"/>
      <c r="CD3" s="2177"/>
      <c r="CE3" s="2177" t="str">
        <f>N3</f>
        <v>Fiscal 2019</v>
      </c>
      <c r="CF3" s="2177"/>
      <c r="CG3" s="2177"/>
      <c r="CH3" s="2177"/>
      <c r="CI3" s="2177" t="str">
        <f>R3</f>
        <v>Fiscal 2020</v>
      </c>
      <c r="CJ3" s="2177"/>
      <c r="CK3" s="2177"/>
      <c r="CL3" s="2177"/>
      <c r="CM3" s="2177" t="str">
        <f>V3</f>
        <v>Fiscal 2021</v>
      </c>
      <c r="CN3" s="2177"/>
      <c r="CO3" s="2177"/>
      <c r="CP3" s="2177"/>
      <c r="CQ3" s="2177" t="str">
        <f>Z3</f>
        <v>Fiscal 2022</v>
      </c>
      <c r="CR3" s="2177"/>
      <c r="CS3" s="2177"/>
      <c r="CT3" s="2177"/>
      <c r="CU3" s="2177" t="str">
        <f>AD3</f>
        <v>Fiscal 2023</v>
      </c>
      <c r="CV3" s="2177"/>
      <c r="CW3" s="2177"/>
      <c r="CX3" s="2177"/>
      <c r="CY3" s="2177" t="str">
        <f>AH3</f>
        <v>Fiscal 2024</v>
      </c>
      <c r="CZ3" s="2177"/>
      <c r="DA3" s="2177"/>
      <c r="DB3" s="2177"/>
      <c r="DC3" s="2177" t="str">
        <f>AL3</f>
        <v>Fiscal 2025</v>
      </c>
      <c r="DD3" s="2177"/>
      <c r="DE3" s="2177"/>
      <c r="DF3" s="2177"/>
      <c r="DG3" s="2177" t="str">
        <f>AP3</f>
        <v>Fiscal 2026</v>
      </c>
      <c r="DH3" s="2177"/>
      <c r="DI3" s="2177"/>
      <c r="DJ3" s="2177"/>
    </row>
    <row r="4" spans="1:114" s="305" customFormat="1" ht="12">
      <c r="A4" s="734" t="s">
        <v>233</v>
      </c>
      <c r="B4" s="398">
        <f>+'Income Statement'!B4</f>
        <v>42308</v>
      </c>
      <c r="C4" s="398">
        <f>+'Income Statement'!C4</f>
        <v>42400</v>
      </c>
      <c r="D4" s="398">
        <f>+'Income Statement'!D4</f>
        <v>42490</v>
      </c>
      <c r="E4" s="399">
        <f>+'Income Statement'!E4</f>
        <v>42582</v>
      </c>
      <c r="F4" s="400">
        <f>+'Income Statement'!F4</f>
        <v>42674</v>
      </c>
      <c r="G4" s="398">
        <f>+'Income Statement'!G4</f>
        <v>42766</v>
      </c>
      <c r="H4" s="398">
        <f>+'Income Statement'!H4</f>
        <v>42855</v>
      </c>
      <c r="I4" s="399">
        <f>+'Income Statement'!I4</f>
        <v>42947</v>
      </c>
      <c r="J4" s="400">
        <f>+'Income Statement'!J4</f>
        <v>43039</v>
      </c>
      <c r="K4" s="398">
        <f>+'Income Statement'!K4</f>
        <v>43131</v>
      </c>
      <c r="L4" s="398">
        <f>+'Income Statement'!L4</f>
        <v>43220</v>
      </c>
      <c r="M4" s="399">
        <f>+'Income Statement'!M4</f>
        <v>43312</v>
      </c>
      <c r="N4" s="400">
        <f>+'Income Statement'!N4</f>
        <v>43404</v>
      </c>
      <c r="O4" s="398">
        <f>+'Income Statement'!O4</f>
        <v>43496</v>
      </c>
      <c r="P4" s="398">
        <f>+'Income Statement'!P4</f>
        <v>43585</v>
      </c>
      <c r="Q4" s="399">
        <f>+'Income Statement'!Q4</f>
        <v>43677</v>
      </c>
      <c r="R4" s="400">
        <f>+'Income Statement'!R4</f>
        <v>43769</v>
      </c>
      <c r="S4" s="398">
        <f>+'Income Statement'!S4</f>
        <v>43861</v>
      </c>
      <c r="T4" s="398">
        <f>+'Income Statement'!T4</f>
        <v>43951</v>
      </c>
      <c r="U4" s="399">
        <f>+'Income Statement'!U4</f>
        <v>44043</v>
      </c>
      <c r="V4" s="400">
        <f>+'Income Statement'!V4</f>
        <v>44135</v>
      </c>
      <c r="W4" s="398" t="str">
        <f>+'Income Statement'!W4</f>
        <v>Jan-21</v>
      </c>
      <c r="X4" s="398" t="str">
        <f>+'Income Statement'!X4</f>
        <v>Apr-21</v>
      </c>
      <c r="Y4" s="399" t="str">
        <f>+'Income Statement'!Y4</f>
        <v>Jul-21</v>
      </c>
      <c r="Z4" s="400" t="str">
        <f>+'Income Statement'!Z4</f>
        <v>Oct-21</v>
      </c>
      <c r="AA4" s="398" t="str">
        <f>+'Income Statement'!AA4</f>
        <v>Jan-22</v>
      </c>
      <c r="AB4" s="398" t="str">
        <f>+'Income Statement'!AB4</f>
        <v>Apr-22</v>
      </c>
      <c r="AC4" s="399" t="str">
        <f>+'Income Statement'!AC4</f>
        <v>Jul-22</v>
      </c>
      <c r="AD4" s="400" t="str">
        <f>+'Income Statement'!AD4</f>
        <v>Oct-22</v>
      </c>
      <c r="AE4" s="398" t="str">
        <f>+'Income Statement'!AE4</f>
        <v>Jan-23</v>
      </c>
      <c r="AF4" s="398" t="str">
        <f>+'Income Statement'!AF4</f>
        <v>Apr-23</v>
      </c>
      <c r="AG4" s="399" t="str">
        <f>+'Income Statement'!AG4</f>
        <v>Jul-23</v>
      </c>
      <c r="AH4" s="400" t="str">
        <f>+'Income Statement'!AH4</f>
        <v>Oct-23</v>
      </c>
      <c r="AI4" s="398" t="str">
        <f>+'Income Statement'!AI4</f>
        <v>Jan-24</v>
      </c>
      <c r="AJ4" s="398" t="str">
        <f>+'Income Statement'!AJ4</f>
        <v>Apr-24</v>
      </c>
      <c r="AK4" s="399" t="str">
        <f>+'Income Statement'!AK4</f>
        <v>Jul-24</v>
      </c>
      <c r="AL4" s="400" t="str">
        <f>+'Income Statement'!AL4</f>
        <v>Oct-24</v>
      </c>
      <c r="AM4" s="398" t="str">
        <f>+'Income Statement'!AM4</f>
        <v>Jan-25</v>
      </c>
      <c r="AN4" s="398" t="str">
        <f>+'Income Statement'!AN4</f>
        <v>Apr-25</v>
      </c>
      <c r="AO4" s="399" t="str">
        <f>+'Income Statement'!AO4</f>
        <v>Jul-25</v>
      </c>
      <c r="AP4" s="400" t="str">
        <f>+'Income Statement'!AP4</f>
        <v>Oct-25</v>
      </c>
      <c r="AQ4" s="398" t="str">
        <f>+'Income Statement'!AQ4</f>
        <v>Jan-26</v>
      </c>
      <c r="AR4" s="398" t="str">
        <f>+'Income Statement'!AR4</f>
        <v>Apr-26E</v>
      </c>
      <c r="AS4" s="399" t="str">
        <f>+'Income Statement'!AS4</f>
        <v>Jul-26E</v>
      </c>
      <c r="AT4" s="400" t="str">
        <f>+'Income Statement'!AT4</f>
        <v>Oct-26E</v>
      </c>
      <c r="AU4" s="398" t="str">
        <f>+'Income Statement'!AU4</f>
        <v>Jan-27E</v>
      </c>
      <c r="AV4" s="398" t="str">
        <f>+'Income Statement'!AV4</f>
        <v>Apr-27E</v>
      </c>
      <c r="AW4" s="399" t="str">
        <f>+'Income Statement'!AW4</f>
        <v>Jul-27E</v>
      </c>
      <c r="AX4" s="400" t="str">
        <f>+'Income Statement'!AX4</f>
        <v>Oct-27E</v>
      </c>
      <c r="AY4" s="398" t="str">
        <f>+'Income Statement'!AY4</f>
        <v>Jan-28E</v>
      </c>
      <c r="AZ4" s="398" t="str">
        <f>+'Income Statement'!AZ4</f>
        <v>Apr-28E</v>
      </c>
      <c r="BA4" s="399" t="str">
        <f>+'Income Statement'!BA4</f>
        <v>Jul-28E</v>
      </c>
      <c r="BB4" s="400"/>
      <c r="BC4" s="735"/>
      <c r="BD4" s="735" t="str">
        <f>+'Income Statement'!BD4</f>
        <v>FY16</v>
      </c>
      <c r="BE4" s="735" t="str">
        <f>+'Income Statement'!BE4</f>
        <v>FY17</v>
      </c>
      <c r="BF4" s="736" t="str">
        <f>+'Income Statement'!BF4</f>
        <v>FY18</v>
      </c>
      <c r="BG4" s="737" t="str">
        <f>+'Income Statement'!BG4</f>
        <v>FY19</v>
      </c>
      <c r="BH4" s="737" t="str">
        <f>+'Income Statement'!BH4</f>
        <v>FY20</v>
      </c>
      <c r="BI4" s="737" t="str">
        <f>+'Income Statement'!BI4</f>
        <v>FY21</v>
      </c>
      <c r="BJ4" s="737" t="str">
        <f>+'Income Statement'!BJ4</f>
        <v>FY22</v>
      </c>
      <c r="BK4" s="738" t="str">
        <f>+'Income Statement'!BK4</f>
        <v>FY23</v>
      </c>
      <c r="BL4" s="738" t="str">
        <f>+'Income Statement'!BL4</f>
        <v>FY24</v>
      </c>
      <c r="BM4" s="738" t="str">
        <f>+'Income Statement'!BM4</f>
        <v>FY25</v>
      </c>
      <c r="BN4" s="738" t="str">
        <f>+'Income Statement'!BN4</f>
        <v>FY26E</v>
      </c>
      <c r="BO4" s="738" t="str">
        <f>+'Income Statement'!BO4</f>
        <v>FY27E</v>
      </c>
      <c r="BP4" s="738" t="str">
        <f>+'Income Statement'!BP4</f>
        <v>FY28E</v>
      </c>
      <c r="BQ4" s="739"/>
      <c r="BR4" s="1379"/>
      <c r="BS4" s="1380">
        <f>B4</f>
        <v>42308</v>
      </c>
      <c r="BT4" s="1381">
        <f>C4</f>
        <v>42400</v>
      </c>
      <c r="BU4" s="398">
        <f>D4</f>
        <v>42490</v>
      </c>
      <c r="BV4" s="399">
        <f>E4</f>
        <v>42582</v>
      </c>
      <c r="BW4" s="400">
        <f>F4</f>
        <v>42674</v>
      </c>
      <c r="BX4" s="398">
        <f>G4</f>
        <v>42766</v>
      </c>
      <c r="BY4" s="398">
        <f>H4</f>
        <v>42855</v>
      </c>
      <c r="BZ4" s="399">
        <f>I4</f>
        <v>42947</v>
      </c>
      <c r="CA4" s="400">
        <f>J4</f>
        <v>43039</v>
      </c>
      <c r="CB4" s="398">
        <f>K4</f>
        <v>43131</v>
      </c>
      <c r="CC4" s="398">
        <f>L4</f>
        <v>43220</v>
      </c>
      <c r="CD4" s="399">
        <f>M4</f>
        <v>43312</v>
      </c>
      <c r="CE4" s="400">
        <f>N4</f>
        <v>43404</v>
      </c>
      <c r="CF4" s="398">
        <f>O4</f>
        <v>43496</v>
      </c>
      <c r="CG4" s="398">
        <f>P4</f>
        <v>43585</v>
      </c>
      <c r="CH4" s="399">
        <f>Q4</f>
        <v>43677</v>
      </c>
      <c r="CI4" s="400">
        <f>R4</f>
        <v>43769</v>
      </c>
      <c r="CJ4" s="398">
        <f>S4</f>
        <v>43861</v>
      </c>
      <c r="CK4" s="398">
        <f>T4</f>
        <v>43951</v>
      </c>
      <c r="CL4" s="399">
        <f>U4</f>
        <v>44043</v>
      </c>
      <c r="CM4" s="400">
        <f>V4</f>
        <v>44135</v>
      </c>
      <c r="CN4" s="398" t="str">
        <f>W4</f>
        <v>Jan-21</v>
      </c>
      <c r="CO4" s="398" t="str">
        <f>X4</f>
        <v>Apr-21</v>
      </c>
      <c r="CP4" s="399" t="str">
        <f>Y4</f>
        <v>Jul-21</v>
      </c>
      <c r="CQ4" s="400" t="str">
        <f>Z4</f>
        <v>Oct-21</v>
      </c>
      <c r="CR4" s="398" t="str">
        <f>AA4</f>
        <v>Jan-22</v>
      </c>
      <c r="CS4" s="398" t="str">
        <f>AB4</f>
        <v>Apr-22</v>
      </c>
      <c r="CT4" s="399" t="str">
        <f>AC4</f>
        <v>Jul-22</v>
      </c>
      <c r="CU4" s="400" t="str">
        <f>AD4</f>
        <v>Oct-22</v>
      </c>
      <c r="CV4" s="398" t="str">
        <f>AE4</f>
        <v>Jan-23</v>
      </c>
      <c r="CW4" s="398" t="str">
        <f>AF4</f>
        <v>Apr-23</v>
      </c>
      <c r="CX4" s="399" t="str">
        <f>AG4</f>
        <v>Jul-23</v>
      </c>
      <c r="CY4" s="400" t="str">
        <f>AH4</f>
        <v>Oct-23</v>
      </c>
      <c r="CZ4" s="398" t="str">
        <f>AI4</f>
        <v>Jan-24</v>
      </c>
      <c r="DA4" s="398" t="str">
        <f>AJ4</f>
        <v>Apr-24</v>
      </c>
      <c r="DB4" s="399" t="str">
        <f>AK4</f>
        <v>Jul-24</v>
      </c>
      <c r="DC4" s="400" t="str">
        <f>AL4</f>
        <v>Oct-24</v>
      </c>
      <c r="DD4" s="398" t="str">
        <f>AM4</f>
        <v>Jan-25</v>
      </c>
      <c r="DE4" s="398" t="str">
        <f>AN4</f>
        <v>Apr-25</v>
      </c>
      <c r="DF4" s="399" t="str">
        <f>AO4</f>
        <v>Jul-25</v>
      </c>
      <c r="DG4" s="400" t="str">
        <f>AP4</f>
        <v>Oct-25</v>
      </c>
      <c r="DH4" s="398" t="str">
        <f>AQ4</f>
        <v>Jan-26</v>
      </c>
      <c r="DI4" s="398" t="str">
        <f>AR4</f>
        <v>Apr-26E</v>
      </c>
      <c r="DJ4" s="399" t="str">
        <f>AS4</f>
        <v>Jul-26E</v>
      </c>
    </row>
    <row r="5" spans="1:114" ht="12" customHeight="1">
      <c r="A5" s="740" t="s">
        <v>340</v>
      </c>
      <c r="B5" s="414"/>
      <c r="C5" s="414"/>
      <c r="D5" s="414"/>
      <c r="E5" s="744"/>
      <c r="F5" s="743"/>
      <c r="G5" s="414"/>
      <c r="H5" s="414"/>
      <c r="I5" s="744"/>
      <c r="J5" s="743"/>
      <c r="K5" s="414"/>
      <c r="L5" s="414"/>
      <c r="M5" s="744"/>
      <c r="N5" s="743"/>
      <c r="O5" s="414"/>
      <c r="P5" s="414"/>
      <c r="Q5" s="744"/>
      <c r="R5" s="743"/>
      <c r="S5" s="414"/>
      <c r="T5" s="414"/>
      <c r="U5" s="744"/>
      <c r="V5" s="743"/>
      <c r="W5" s="439"/>
      <c r="X5" s="167"/>
      <c r="Y5" s="440"/>
      <c r="Z5" s="438"/>
      <c r="AA5" s="439"/>
      <c r="AB5" s="439"/>
      <c r="AC5" s="440"/>
      <c r="AD5" s="438"/>
      <c r="AE5" s="439"/>
      <c r="AF5" s="439"/>
      <c r="AG5" s="440"/>
      <c r="AH5" s="438"/>
      <c r="AI5" s="439"/>
      <c r="AJ5" s="439"/>
      <c r="AK5" s="440"/>
      <c r="AL5" s="438"/>
      <c r="AM5" s="439"/>
      <c r="AN5" s="439"/>
      <c r="AO5" s="440"/>
      <c r="AP5" s="438"/>
      <c r="AQ5" s="439"/>
      <c r="AR5" s="439"/>
      <c r="AS5" s="440"/>
      <c r="AT5" s="438"/>
      <c r="AU5" s="439"/>
      <c r="AV5" s="439"/>
      <c r="AW5" s="440"/>
      <c r="AX5" s="438"/>
      <c r="AY5" s="439"/>
      <c r="AZ5" s="439"/>
      <c r="BA5" s="440"/>
      <c r="BB5" s="414"/>
      <c r="BC5" s="741"/>
      <c r="BD5" s="741"/>
      <c r="BE5" s="741"/>
      <c r="BF5" s="741"/>
      <c r="BG5" s="742"/>
      <c r="BH5" s="742"/>
      <c r="BI5" s="742"/>
      <c r="BJ5" s="742"/>
      <c r="BK5" s="742"/>
      <c r="BL5" s="742"/>
      <c r="BM5" s="742"/>
      <c r="BN5" s="742"/>
      <c r="BO5" s="742"/>
      <c r="BP5" s="742"/>
      <c r="BS5" s="1382"/>
      <c r="BT5" s="1383"/>
      <c r="BU5" s="439"/>
      <c r="BV5" s="440"/>
      <c r="BW5" s="438"/>
      <c r="BX5" s="439"/>
      <c r="BY5" s="439"/>
      <c r="BZ5" s="440"/>
      <c r="CA5" s="438"/>
      <c r="CB5" s="439"/>
      <c r="CC5" s="439"/>
      <c r="CD5" s="440"/>
      <c r="CE5" s="743"/>
      <c r="CF5" s="414"/>
      <c r="CG5" s="414"/>
      <c r="CH5" s="414"/>
      <c r="CI5" s="287"/>
      <c r="CJ5" s="414"/>
      <c r="CK5" s="414"/>
      <c r="CL5" s="744"/>
      <c r="CM5" s="743"/>
      <c r="CN5" s="414"/>
      <c r="CO5" s="414"/>
      <c r="CP5" s="744"/>
      <c r="CQ5" s="743"/>
      <c r="CR5" s="414"/>
      <c r="CS5" s="414"/>
      <c r="CT5" s="744"/>
      <c r="CU5" s="743"/>
      <c r="CV5" s="414"/>
      <c r="CW5" s="414"/>
      <c r="CX5" s="744"/>
      <c r="CY5" s="743"/>
      <c r="CZ5" s="414"/>
      <c r="DA5" s="414"/>
      <c r="DB5" s="744"/>
      <c r="DC5" s="743"/>
      <c r="DD5" s="414"/>
      <c r="DE5" s="414"/>
      <c r="DF5" s="744"/>
      <c r="DG5" s="743"/>
      <c r="DH5" s="414"/>
      <c r="DI5" s="414"/>
      <c r="DJ5" s="744"/>
    </row>
    <row r="6" spans="1:114" ht="12" customHeight="1">
      <c r="A6" s="774" t="s">
        <v>41</v>
      </c>
      <c r="B6" s="884">
        <v>-31</v>
      </c>
      <c r="C6" s="884">
        <v>24</v>
      </c>
      <c r="D6" s="884">
        <v>1026</v>
      </c>
      <c r="E6" s="884">
        <v>-40</v>
      </c>
      <c r="F6" s="885">
        <v>-30</v>
      </c>
      <c r="G6" s="884">
        <v>13</v>
      </c>
      <c r="H6" s="884">
        <v>964</v>
      </c>
      <c r="I6" s="884">
        <v>24</v>
      </c>
      <c r="J6" s="885">
        <v>-2</v>
      </c>
      <c r="K6" s="884">
        <v>183</v>
      </c>
      <c r="L6" s="884">
        <v>1186</v>
      </c>
      <c r="M6" s="884">
        <v>-38</v>
      </c>
      <c r="N6" s="885">
        <v>34</v>
      </c>
      <c r="O6" s="884">
        <v>189</v>
      </c>
      <c r="P6" s="884">
        <v>1378</v>
      </c>
      <c r="Q6" s="884">
        <v>-44</v>
      </c>
      <c r="R6" s="885">
        <v>57</v>
      </c>
      <c r="S6" s="884">
        <v>240</v>
      </c>
      <c r="T6" s="884">
        <v>1084</v>
      </c>
      <c r="U6" s="884">
        <v>445</v>
      </c>
      <c r="V6" s="885">
        <f>+CM6</f>
        <v>198</v>
      </c>
      <c r="W6" s="707">
        <f>+CN6-CM6</f>
        <v>20</v>
      </c>
      <c r="X6" s="707">
        <f>+CO6-CN6</f>
        <v>1464</v>
      </c>
      <c r="Y6" s="874">
        <f>+CP6-CO6</f>
        <v>380</v>
      </c>
      <c r="Z6" s="885">
        <f>+CQ6</f>
        <v>228</v>
      </c>
      <c r="AA6" s="707">
        <f>+CR6-CQ6</f>
        <v>100</v>
      </c>
      <c r="AB6" s="707">
        <f>+CS6-CR6</f>
        <v>1794</v>
      </c>
      <c r="AC6" s="874">
        <f>+CT6-CS6</f>
        <v>-56</v>
      </c>
      <c r="AD6" s="875">
        <f>+'Income Statement'!AD61</f>
        <v>40</v>
      </c>
      <c r="AE6" s="707">
        <f>+CV6-AD6</f>
        <v>168</v>
      </c>
      <c r="AF6" s="707">
        <f>+CW6-CV6</f>
        <v>2087</v>
      </c>
      <c r="AG6" s="874">
        <f>+CX6-CW6</f>
        <v>89</v>
      </c>
      <c r="AH6" s="885">
        <f>+'Income Statement'!AH61</f>
        <v>241</v>
      </c>
      <c r="AI6" s="707">
        <f>+CZ6-AH6</f>
        <v>353</v>
      </c>
      <c r="AJ6" s="707">
        <f>+DA6-CZ6</f>
        <v>2389</v>
      </c>
      <c r="AK6" s="874">
        <f>+DB6-DA6</f>
        <v>-20</v>
      </c>
      <c r="AL6" s="885">
        <f>+'Income Statement'!AL61</f>
        <v>197</v>
      </c>
      <c r="AM6" s="707">
        <f>+DD6-AL6</f>
        <v>471</v>
      </c>
      <c r="AN6" s="707">
        <f>+DE6-DD6</f>
        <v>2820</v>
      </c>
      <c r="AO6" s="874">
        <f>+DF6-DE6</f>
        <v>381</v>
      </c>
      <c r="AP6" s="885">
        <f>+'Income Statement'!AP61</f>
        <v>446</v>
      </c>
      <c r="AQ6" s="707">
        <f>+DH6-AP6</f>
        <v>693</v>
      </c>
      <c r="AR6" s="871">
        <f>+'Income Statement'!AR61</f>
        <v>2959.3279481473492</v>
      </c>
      <c r="AS6" s="872">
        <f>+'Income Statement'!AS61</f>
        <v>333.13968262575634</v>
      </c>
      <c r="AT6" s="873">
        <f>+'Income Statement'!AT61</f>
        <v>541.40524972684784</v>
      </c>
      <c r="AU6" s="871">
        <f>+'Income Statement'!AU61</f>
        <v>818.83373563082455</v>
      </c>
      <c r="AV6" s="871">
        <f>+'Income Statement'!AV61</f>
        <v>3360.1102174604548</v>
      </c>
      <c r="AW6" s="872">
        <f>+'Income Statement'!AW61</f>
        <v>437.643118758252</v>
      </c>
      <c r="AX6" s="873">
        <f>+'Income Statement'!AX61</f>
        <v>686.75666880289975</v>
      </c>
      <c r="AY6" s="871">
        <f>+'Income Statement'!AY61</f>
        <v>1006.2283727442971</v>
      </c>
      <c r="AZ6" s="871">
        <f>+'Income Statement'!AZ61</f>
        <v>3795.4220645430505</v>
      </c>
      <c r="BA6" s="872">
        <f>+'Income Statement'!BA61</f>
        <v>585.82282605154489</v>
      </c>
      <c r="BB6" s="414"/>
      <c r="BC6" s="656"/>
      <c r="BD6" s="656">
        <f t="shared" ref="BD6:BD28" si="0">+SUM(B6:E6)</f>
        <v>979</v>
      </c>
      <c r="BE6" s="656">
        <f t="shared" ref="BE6:BE28" si="1">+SUM(F6:I6)</f>
        <v>971</v>
      </c>
      <c r="BF6" s="656">
        <f t="shared" ref="BF6:BF28" si="2">+SUM(J6:M6)</f>
        <v>1329</v>
      </c>
      <c r="BG6" s="957">
        <f t="shared" ref="BG6:BG29" si="3">SUM(N6:Q6)</f>
        <v>1557</v>
      </c>
      <c r="BH6" s="957">
        <f t="shared" ref="BH6:BH29" si="4">SUM(R6:U6)</f>
        <v>1826</v>
      </c>
      <c r="BI6" s="957">
        <f>SUM(V6:Y6)</f>
        <v>2062</v>
      </c>
      <c r="BJ6" s="957">
        <f>SUM(Z6:AC6)</f>
        <v>2066</v>
      </c>
      <c r="BK6" s="957">
        <f>SUM(AD6:AG6)</f>
        <v>2384</v>
      </c>
      <c r="BL6" s="957">
        <f t="shared" ref="BL6:BL13" si="5">+SUM(AH6:AK6)</f>
        <v>2963</v>
      </c>
      <c r="BM6" s="957">
        <f t="shared" ref="BM6:BM29" si="6">+SUM(AL6:AO6)</f>
        <v>3869</v>
      </c>
      <c r="BN6" s="957">
        <f t="shared" ref="BN6:BN29" si="7">+SUM(AP6:AS6)</f>
        <v>4431.4676307731052</v>
      </c>
      <c r="BO6" s="957">
        <f t="shared" ref="BO6:BO29" si="8">+SUM(AT6:AW6)</f>
        <v>5157.9923215763793</v>
      </c>
      <c r="BP6" s="957">
        <f t="shared" ref="BP6:BP29" si="9">+SUM(AX6:BA6)</f>
        <v>6074.2299321417931</v>
      </c>
      <c r="BQ6" s="747"/>
      <c r="BS6" s="1384"/>
      <c r="BT6" s="1385"/>
      <c r="BU6" s="110"/>
      <c r="BV6" s="748"/>
      <c r="BW6" s="746"/>
      <c r="BX6" s="110"/>
      <c r="BY6" s="110"/>
      <c r="BZ6" s="748"/>
      <c r="CA6" s="746"/>
      <c r="CB6" s="110"/>
      <c r="CC6" s="110"/>
      <c r="CD6" s="748"/>
      <c r="CE6" s="749"/>
      <c r="CF6" s="327"/>
      <c r="CG6" s="327"/>
      <c r="CH6" s="327"/>
      <c r="CI6" s="750"/>
      <c r="CJ6" s="327"/>
      <c r="CK6" s="327"/>
      <c r="CL6" s="748"/>
      <c r="CM6" s="708">
        <v>198</v>
      </c>
      <c r="CN6" s="110">
        <v>218</v>
      </c>
      <c r="CO6" s="327">
        <v>1682</v>
      </c>
      <c r="CP6" s="327">
        <v>2062</v>
      </c>
      <c r="CQ6" s="749">
        <v>228</v>
      </c>
      <c r="CR6" s="327">
        <v>328</v>
      </c>
      <c r="CS6" s="327">
        <v>2122</v>
      </c>
      <c r="CT6" s="751">
        <v>2066</v>
      </c>
      <c r="CU6" s="749"/>
      <c r="CV6" s="327">
        <v>208</v>
      </c>
      <c r="CW6" s="327">
        <v>2295</v>
      </c>
      <c r="CX6" s="751">
        <v>2384</v>
      </c>
      <c r="CY6" s="749"/>
      <c r="CZ6" s="327">
        <v>594</v>
      </c>
      <c r="DA6" s="327">
        <v>2983</v>
      </c>
      <c r="DB6" s="751">
        <v>2963</v>
      </c>
      <c r="DC6" s="749"/>
      <c r="DD6" s="327">
        <v>668</v>
      </c>
      <c r="DE6" s="327">
        <v>3488</v>
      </c>
      <c r="DF6" s="751">
        <v>3869</v>
      </c>
      <c r="DG6" s="749"/>
      <c r="DH6" s="327">
        <v>1139</v>
      </c>
      <c r="DI6" s="327"/>
      <c r="DJ6" s="751"/>
    </row>
    <row r="7" spans="1:114" ht="12" customHeight="1">
      <c r="A7" s="774" t="s">
        <v>87</v>
      </c>
      <c r="B7" s="884">
        <v>45</v>
      </c>
      <c r="C7" s="884">
        <v>49</v>
      </c>
      <c r="D7" s="884">
        <v>51</v>
      </c>
      <c r="E7" s="884">
        <v>50</v>
      </c>
      <c r="F7" s="885">
        <v>49</v>
      </c>
      <c r="G7" s="884">
        <v>52</v>
      </c>
      <c r="H7" s="884">
        <v>55</v>
      </c>
      <c r="I7" s="884">
        <v>58</v>
      </c>
      <c r="J7" s="885">
        <v>60</v>
      </c>
      <c r="K7" s="884">
        <v>57</v>
      </c>
      <c r="L7" s="884">
        <v>56</v>
      </c>
      <c r="M7" s="884">
        <v>55</v>
      </c>
      <c r="N7" s="885">
        <v>51</v>
      </c>
      <c r="O7" s="884">
        <v>48</v>
      </c>
      <c r="P7" s="884">
        <v>48</v>
      </c>
      <c r="Q7" s="884">
        <v>52</v>
      </c>
      <c r="R7" s="885">
        <v>49</v>
      </c>
      <c r="S7" s="884">
        <v>49</v>
      </c>
      <c r="T7" s="884">
        <v>47</v>
      </c>
      <c r="U7" s="884">
        <v>44</v>
      </c>
      <c r="V7" s="885">
        <f t="shared" ref="V7:V18" si="10">+CM7</f>
        <v>37</v>
      </c>
      <c r="W7" s="707">
        <f t="shared" ref="W7:AC18" si="11">+CN7-CM7</f>
        <v>40</v>
      </c>
      <c r="X7" s="707">
        <f t="shared" si="11"/>
        <v>45</v>
      </c>
      <c r="Y7" s="874">
        <f t="shared" si="11"/>
        <v>44</v>
      </c>
      <c r="Z7" s="885">
        <f t="shared" ref="Z7:Z18" si="12">+CQ7</f>
        <v>45</v>
      </c>
      <c r="AA7" s="707">
        <f t="shared" si="11"/>
        <v>51</v>
      </c>
      <c r="AB7" s="707">
        <f t="shared" si="11"/>
        <v>46</v>
      </c>
      <c r="AC7" s="874">
        <f t="shared" si="11"/>
        <v>45</v>
      </c>
      <c r="AD7" s="875">
        <v>47</v>
      </c>
      <c r="AE7" s="707">
        <f t="shared" ref="AE7:AE28" si="13">+CV7-AD7</f>
        <v>47</v>
      </c>
      <c r="AF7" s="707">
        <f t="shared" ref="AF7:AG18" si="14">+CW7-CV7</f>
        <v>33</v>
      </c>
      <c r="AG7" s="874">
        <f t="shared" si="14"/>
        <v>33</v>
      </c>
      <c r="AH7" s="885">
        <v>33</v>
      </c>
      <c r="AI7" s="707">
        <f t="shared" ref="AI7:AI28" si="15">+CZ7-AH7</f>
        <v>36</v>
      </c>
      <c r="AJ7" s="707">
        <f t="shared" ref="AJ7:AK18" si="16">+DA7-CZ7</f>
        <v>44</v>
      </c>
      <c r="AK7" s="874">
        <f t="shared" si="16"/>
        <v>46</v>
      </c>
      <c r="AL7" s="885">
        <v>44</v>
      </c>
      <c r="AM7" s="707">
        <f t="shared" ref="AM7:AM28" si="17">+DD7-AL7</f>
        <v>42</v>
      </c>
      <c r="AN7" s="707">
        <f t="shared" ref="AN7:AO18" si="18">+DE7-DD7</f>
        <v>43</v>
      </c>
      <c r="AO7" s="874">
        <f t="shared" si="18"/>
        <v>43</v>
      </c>
      <c r="AP7" s="885">
        <v>44</v>
      </c>
      <c r="AQ7" s="707">
        <f t="shared" ref="AQ7:AQ28" si="19">+DH7-AP7</f>
        <v>44</v>
      </c>
      <c r="AR7" s="876">
        <f t="shared" ref="AR7:AS7" si="20">+AR80*AR90</f>
        <v>47.073576218725812</v>
      </c>
      <c r="AS7" s="877">
        <f t="shared" si="20"/>
        <v>47.732441268598272</v>
      </c>
      <c r="AT7" s="878">
        <f t="shared" ref="AT7:AW7" si="21">+AT80*AT90</f>
        <v>50.028622908622907</v>
      </c>
      <c r="AU7" s="876">
        <f t="shared" si="21"/>
        <v>50.152007065581934</v>
      </c>
      <c r="AV7" s="876">
        <f t="shared" si="21"/>
        <v>51.591502803954299</v>
      </c>
      <c r="AW7" s="877">
        <f t="shared" si="21"/>
        <v>53.264262943891119</v>
      </c>
      <c r="AX7" s="878">
        <f t="shared" ref="AX7:BA7" si="22">+AX80*AX90</f>
        <v>56.383778453115518</v>
      </c>
      <c r="AY7" s="876">
        <f t="shared" si="22"/>
        <v>56.979993446457705</v>
      </c>
      <c r="AZ7" s="876">
        <f t="shared" si="22"/>
        <v>56.771558687148101</v>
      </c>
      <c r="BA7" s="877">
        <f t="shared" si="22"/>
        <v>59.85735085731028</v>
      </c>
      <c r="BB7" s="414"/>
      <c r="BC7" s="656"/>
      <c r="BD7" s="656">
        <f t="shared" si="0"/>
        <v>195</v>
      </c>
      <c r="BE7" s="656">
        <f t="shared" si="1"/>
        <v>214</v>
      </c>
      <c r="BF7" s="656">
        <f t="shared" si="2"/>
        <v>228</v>
      </c>
      <c r="BG7" s="957">
        <f t="shared" si="3"/>
        <v>199</v>
      </c>
      <c r="BH7" s="957">
        <f t="shared" si="4"/>
        <v>189</v>
      </c>
      <c r="BI7" s="957">
        <f t="shared" ref="BI7" si="23">SUM(V7:Y7)</f>
        <v>166</v>
      </c>
      <c r="BJ7" s="957">
        <f t="shared" ref="BJ7" si="24">SUM(Z7:AC7)</f>
        <v>187</v>
      </c>
      <c r="BK7" s="957">
        <f t="shared" ref="BK7:BK28" si="25">SUM(AD7:AG7)</f>
        <v>160</v>
      </c>
      <c r="BL7" s="957">
        <f t="shared" si="5"/>
        <v>159</v>
      </c>
      <c r="BM7" s="957">
        <f t="shared" si="6"/>
        <v>172</v>
      </c>
      <c r="BN7" s="957">
        <f t="shared" si="7"/>
        <v>182.80601748732408</v>
      </c>
      <c r="BO7" s="957">
        <f t="shared" si="8"/>
        <v>205.03639572205023</v>
      </c>
      <c r="BP7" s="957">
        <f t="shared" si="9"/>
        <v>229.9926814440316</v>
      </c>
      <c r="BQ7" s="747"/>
      <c r="BS7" s="1384"/>
      <c r="BT7" s="1385"/>
      <c r="BU7" s="110"/>
      <c r="BV7" s="748"/>
      <c r="BW7" s="746"/>
      <c r="BX7" s="110"/>
      <c r="BY7" s="110"/>
      <c r="BZ7" s="748"/>
      <c r="CA7" s="746"/>
      <c r="CB7" s="110"/>
      <c r="CC7" s="110"/>
      <c r="CD7" s="748"/>
      <c r="CE7" s="749"/>
      <c r="CF7" s="327"/>
      <c r="CG7" s="327"/>
      <c r="CH7" s="327"/>
      <c r="CI7" s="750"/>
      <c r="CJ7" s="327"/>
      <c r="CK7" s="327"/>
      <c r="CL7" s="748"/>
      <c r="CM7" s="708">
        <v>37</v>
      </c>
      <c r="CN7" s="110">
        <v>77</v>
      </c>
      <c r="CO7" s="327">
        <v>122</v>
      </c>
      <c r="CP7" s="327">
        <v>166</v>
      </c>
      <c r="CQ7" s="749">
        <v>45</v>
      </c>
      <c r="CR7" s="327">
        <v>96</v>
      </c>
      <c r="CS7" s="327">
        <v>142</v>
      </c>
      <c r="CT7" s="751">
        <v>187</v>
      </c>
      <c r="CU7" s="749"/>
      <c r="CV7" s="327">
        <v>94</v>
      </c>
      <c r="CW7" s="327">
        <v>127</v>
      </c>
      <c r="CX7" s="751">
        <v>160</v>
      </c>
      <c r="CY7" s="749"/>
      <c r="CZ7" s="327">
        <v>69</v>
      </c>
      <c r="DA7" s="327">
        <f>111+2</f>
        <v>113</v>
      </c>
      <c r="DB7" s="751">
        <v>159</v>
      </c>
      <c r="DC7" s="749"/>
      <c r="DD7" s="327">
        <v>86</v>
      </c>
      <c r="DE7" s="327">
        <v>129</v>
      </c>
      <c r="DF7" s="751">
        <v>172</v>
      </c>
      <c r="DG7" s="749"/>
      <c r="DH7" s="327">
        <v>88</v>
      </c>
      <c r="DI7" s="327"/>
      <c r="DJ7" s="751"/>
    </row>
    <row r="8" spans="1:114" ht="12" customHeight="1">
      <c r="A8" s="774" t="s">
        <v>88</v>
      </c>
      <c r="B8" s="884">
        <v>10</v>
      </c>
      <c r="C8" s="884">
        <v>9</v>
      </c>
      <c r="D8" s="884">
        <v>11</v>
      </c>
      <c r="E8" s="884">
        <v>13</v>
      </c>
      <c r="F8" s="885">
        <v>6</v>
      </c>
      <c r="G8" s="884">
        <v>5</v>
      </c>
      <c r="H8" s="884">
        <v>7</v>
      </c>
      <c r="I8" s="884">
        <v>4</v>
      </c>
      <c r="J8" s="885">
        <v>5</v>
      </c>
      <c r="K8" s="884">
        <v>5</v>
      </c>
      <c r="L8" s="884">
        <v>8</v>
      </c>
      <c r="M8" s="884">
        <v>7</v>
      </c>
      <c r="N8" s="885">
        <v>6</v>
      </c>
      <c r="O8" s="884">
        <v>7</v>
      </c>
      <c r="P8" s="884">
        <v>6</v>
      </c>
      <c r="Q8" s="884">
        <v>7</v>
      </c>
      <c r="R8" s="885">
        <v>8</v>
      </c>
      <c r="S8" s="884">
        <v>8</v>
      </c>
      <c r="T8" s="884">
        <v>7</v>
      </c>
      <c r="U8" s="884">
        <v>6</v>
      </c>
      <c r="V8" s="885">
        <f t="shared" si="10"/>
        <v>9</v>
      </c>
      <c r="W8" s="707">
        <f t="shared" si="11"/>
        <v>51</v>
      </c>
      <c r="X8" s="707">
        <f t="shared" si="11"/>
        <v>68</v>
      </c>
      <c r="Y8" s="874">
        <f t="shared" si="11"/>
        <v>69</v>
      </c>
      <c r="Z8" s="885">
        <f t="shared" si="12"/>
        <v>69</v>
      </c>
      <c r="AA8" s="707">
        <f t="shared" si="11"/>
        <v>164</v>
      </c>
      <c r="AB8" s="707">
        <f t="shared" si="11"/>
        <v>163</v>
      </c>
      <c r="AC8" s="874">
        <f t="shared" si="11"/>
        <v>163</v>
      </c>
      <c r="AD8" s="875">
        <v>162</v>
      </c>
      <c r="AE8" s="707">
        <f t="shared" si="13"/>
        <v>162</v>
      </c>
      <c r="AF8" s="707">
        <f t="shared" si="14"/>
        <v>160</v>
      </c>
      <c r="AG8" s="874">
        <f t="shared" si="14"/>
        <v>162</v>
      </c>
      <c r="AH8" s="885">
        <f>+'Income Statement'!AH46</f>
        <v>158</v>
      </c>
      <c r="AI8" s="707">
        <f t="shared" si="15"/>
        <v>156</v>
      </c>
      <c r="AJ8" s="707">
        <f t="shared" si="16"/>
        <v>156</v>
      </c>
      <c r="AK8" s="874">
        <f t="shared" si="16"/>
        <v>160</v>
      </c>
      <c r="AL8" s="885">
        <v>157</v>
      </c>
      <c r="AM8" s="707">
        <f t="shared" si="17"/>
        <v>157</v>
      </c>
      <c r="AN8" s="707">
        <f t="shared" si="18"/>
        <v>158</v>
      </c>
      <c r="AO8" s="874">
        <f t="shared" si="18"/>
        <v>165</v>
      </c>
      <c r="AP8" s="885">
        <v>165</v>
      </c>
      <c r="AQ8" s="707">
        <f t="shared" si="19"/>
        <v>165</v>
      </c>
      <c r="AR8" s="871">
        <f>+'Income Statement'!AR46</f>
        <v>165</v>
      </c>
      <c r="AS8" s="872">
        <f>+'Income Statement'!AS46</f>
        <v>165</v>
      </c>
      <c r="AT8" s="873">
        <f>+'Income Statement'!AT46</f>
        <v>165</v>
      </c>
      <c r="AU8" s="871">
        <f>+'Income Statement'!AU46</f>
        <v>165</v>
      </c>
      <c r="AV8" s="871">
        <f>+'Income Statement'!AV46</f>
        <v>165</v>
      </c>
      <c r="AW8" s="872">
        <f>+'Income Statement'!AW46</f>
        <v>165</v>
      </c>
      <c r="AX8" s="873">
        <f>+'Income Statement'!AX46</f>
        <v>165</v>
      </c>
      <c r="AY8" s="871">
        <f>+'Income Statement'!AY46</f>
        <v>165</v>
      </c>
      <c r="AZ8" s="871">
        <f>+'Income Statement'!AZ46</f>
        <v>165</v>
      </c>
      <c r="BA8" s="872">
        <f>+'Income Statement'!BA46</f>
        <v>165</v>
      </c>
      <c r="BB8" s="414"/>
      <c r="BC8" s="656"/>
      <c r="BD8" s="656">
        <f t="shared" si="0"/>
        <v>43</v>
      </c>
      <c r="BE8" s="656">
        <f t="shared" si="1"/>
        <v>22</v>
      </c>
      <c r="BF8" s="656">
        <f t="shared" si="2"/>
        <v>25</v>
      </c>
      <c r="BG8" s="957">
        <f t="shared" si="3"/>
        <v>26</v>
      </c>
      <c r="BH8" s="957">
        <f t="shared" si="4"/>
        <v>29</v>
      </c>
      <c r="BI8" s="957">
        <f>SUM(V8:Y8)</f>
        <v>197</v>
      </c>
      <c r="BJ8" s="957">
        <f>SUM(Z8:AC8)</f>
        <v>559</v>
      </c>
      <c r="BK8" s="957">
        <f>SUM(AD8:AG8)</f>
        <v>646</v>
      </c>
      <c r="BL8" s="957">
        <f t="shared" si="5"/>
        <v>630</v>
      </c>
      <c r="BM8" s="957">
        <f t="shared" si="6"/>
        <v>637</v>
      </c>
      <c r="BN8" s="957">
        <f t="shared" si="7"/>
        <v>660</v>
      </c>
      <c r="BO8" s="957">
        <f t="shared" si="8"/>
        <v>660</v>
      </c>
      <c r="BP8" s="957">
        <f t="shared" si="9"/>
        <v>660</v>
      </c>
      <c r="BQ8" s="747"/>
      <c r="BS8" s="1384"/>
      <c r="BT8" s="1385"/>
      <c r="BU8" s="110"/>
      <c r="BV8" s="748"/>
      <c r="BW8" s="746"/>
      <c r="BX8" s="110"/>
      <c r="BY8" s="110"/>
      <c r="BZ8" s="748"/>
      <c r="CA8" s="746"/>
      <c r="CB8" s="110"/>
      <c r="CC8" s="110"/>
      <c r="CD8" s="748"/>
      <c r="CE8" s="749"/>
      <c r="CF8" s="327"/>
      <c r="CG8" s="327"/>
      <c r="CH8" s="327"/>
      <c r="CI8" s="750"/>
      <c r="CJ8" s="327"/>
      <c r="CK8" s="327"/>
      <c r="CL8" s="748"/>
      <c r="CM8" s="708">
        <v>9</v>
      </c>
      <c r="CN8" s="110">
        <v>60</v>
      </c>
      <c r="CO8" s="327">
        <v>128</v>
      </c>
      <c r="CP8" s="327">
        <v>197</v>
      </c>
      <c r="CQ8" s="749">
        <v>69</v>
      </c>
      <c r="CR8" s="327">
        <v>233</v>
      </c>
      <c r="CS8" s="327">
        <v>396</v>
      </c>
      <c r="CT8" s="751">
        <v>559</v>
      </c>
      <c r="CU8" s="749"/>
      <c r="CV8" s="327">
        <v>324</v>
      </c>
      <c r="CW8" s="327">
        <v>484</v>
      </c>
      <c r="CX8" s="751">
        <v>646</v>
      </c>
      <c r="CY8" s="749"/>
      <c r="CZ8" s="327">
        <v>314</v>
      </c>
      <c r="DA8" s="327">
        <v>470</v>
      </c>
      <c r="DB8" s="751">
        <v>630</v>
      </c>
      <c r="DC8" s="749"/>
      <c r="DD8" s="327">
        <v>314</v>
      </c>
      <c r="DE8" s="327">
        <v>472</v>
      </c>
      <c r="DF8" s="751">
        <v>637</v>
      </c>
      <c r="DG8" s="749"/>
      <c r="DH8" s="327">
        <v>330</v>
      </c>
      <c r="DI8" s="327"/>
      <c r="DJ8" s="751"/>
    </row>
    <row r="9" spans="1:114" ht="12" hidden="1" customHeight="1" outlineLevel="1">
      <c r="A9" s="774" t="s">
        <v>151</v>
      </c>
      <c r="B9" s="884">
        <v>0</v>
      </c>
      <c r="C9" s="884">
        <v>45761</v>
      </c>
      <c r="D9" s="884">
        <v>0</v>
      </c>
      <c r="E9" s="884"/>
      <c r="F9" s="885">
        <v>0</v>
      </c>
      <c r="G9" s="884">
        <v>0</v>
      </c>
      <c r="H9" s="884"/>
      <c r="I9" s="884"/>
      <c r="J9" s="885">
        <v>0</v>
      </c>
      <c r="K9" s="884">
        <v>0</v>
      </c>
      <c r="L9" s="884">
        <v>0</v>
      </c>
      <c r="M9" s="884"/>
      <c r="N9" s="885">
        <v>0</v>
      </c>
      <c r="O9" s="884">
        <v>0</v>
      </c>
      <c r="P9" s="884">
        <v>0</v>
      </c>
      <c r="Q9" s="884"/>
      <c r="R9" s="885">
        <v>0</v>
      </c>
      <c r="S9" s="884">
        <v>0</v>
      </c>
      <c r="T9" s="884">
        <v>0</v>
      </c>
      <c r="U9" s="884">
        <v>0</v>
      </c>
      <c r="V9" s="885">
        <f t="shared" si="10"/>
        <v>0</v>
      </c>
      <c r="W9" s="707">
        <f t="shared" si="11"/>
        <v>0</v>
      </c>
      <c r="X9" s="707">
        <f t="shared" si="11"/>
        <v>0</v>
      </c>
      <c r="Y9" s="874">
        <f t="shared" si="11"/>
        <v>0</v>
      </c>
      <c r="Z9" s="885">
        <f t="shared" si="12"/>
        <v>0</v>
      </c>
      <c r="AA9" s="707">
        <f t="shared" si="11"/>
        <v>0</v>
      </c>
      <c r="AB9" s="707">
        <f t="shared" si="11"/>
        <v>0</v>
      </c>
      <c r="AC9" s="874">
        <f t="shared" si="11"/>
        <v>0</v>
      </c>
      <c r="AD9" s="875">
        <v>0</v>
      </c>
      <c r="AE9" s="707">
        <f t="shared" si="13"/>
        <v>0</v>
      </c>
      <c r="AF9" s="707">
        <f t="shared" si="14"/>
        <v>0</v>
      </c>
      <c r="AG9" s="874">
        <f t="shared" si="14"/>
        <v>0</v>
      </c>
      <c r="AH9" s="885">
        <v>0</v>
      </c>
      <c r="AI9" s="707">
        <f t="shared" si="15"/>
        <v>0</v>
      </c>
      <c r="AJ9" s="707">
        <f t="shared" si="16"/>
        <v>0</v>
      </c>
      <c r="AK9" s="874">
        <f t="shared" si="16"/>
        <v>0</v>
      </c>
      <c r="AL9" s="885">
        <v>0</v>
      </c>
      <c r="AM9" s="707">
        <f t="shared" si="17"/>
        <v>0</v>
      </c>
      <c r="AN9" s="707">
        <f t="shared" si="18"/>
        <v>0</v>
      </c>
      <c r="AO9" s="874">
        <f t="shared" si="18"/>
        <v>0</v>
      </c>
      <c r="AP9" s="885">
        <v>0</v>
      </c>
      <c r="AQ9" s="707">
        <f t="shared" si="19"/>
        <v>0</v>
      </c>
      <c r="AR9" s="871">
        <v>0</v>
      </c>
      <c r="AS9" s="912">
        <v>0</v>
      </c>
      <c r="AT9" s="871">
        <v>0</v>
      </c>
      <c r="AU9" s="871">
        <v>0</v>
      </c>
      <c r="AV9" s="871">
        <v>0</v>
      </c>
      <c r="AW9" s="912">
        <v>0</v>
      </c>
      <c r="AX9" s="871">
        <v>0</v>
      </c>
      <c r="AY9" s="871">
        <v>0</v>
      </c>
      <c r="AZ9" s="871">
        <v>0</v>
      </c>
      <c r="BA9" s="912">
        <v>0</v>
      </c>
      <c r="BB9" s="414"/>
      <c r="BC9" s="656"/>
      <c r="BD9" s="656">
        <f t="shared" ref="BD9:BD10" si="26">+SUM(B9:E9)</f>
        <v>45761</v>
      </c>
      <c r="BE9" s="656">
        <f t="shared" ref="BE9:BE10" si="27">+SUM(F9:I9)</f>
        <v>0</v>
      </c>
      <c r="BF9" s="656">
        <f t="shared" si="2"/>
        <v>0</v>
      </c>
      <c r="BG9" s="957">
        <f t="shared" si="3"/>
        <v>0</v>
      </c>
      <c r="BH9" s="957">
        <f t="shared" si="4"/>
        <v>0</v>
      </c>
      <c r="BI9" s="957">
        <f t="shared" ref="BI9:BI29" si="28">SUM(V9:Y9)</f>
        <v>0</v>
      </c>
      <c r="BJ9" s="957">
        <f t="shared" ref="BJ9:BJ29" si="29">SUM(Z9:AC9)</f>
        <v>0</v>
      </c>
      <c r="BK9" s="957">
        <f t="shared" ref="BK9:BK27" si="30">SUM(AD9:AG9)</f>
        <v>0</v>
      </c>
      <c r="BL9" s="957">
        <f t="shared" si="5"/>
        <v>0</v>
      </c>
      <c r="BM9" s="957">
        <f t="shared" si="6"/>
        <v>0</v>
      </c>
      <c r="BN9" s="957">
        <f t="shared" si="7"/>
        <v>0</v>
      </c>
      <c r="BO9" s="957">
        <f t="shared" si="8"/>
        <v>0</v>
      </c>
      <c r="BP9" s="957">
        <f t="shared" si="9"/>
        <v>0</v>
      </c>
      <c r="BQ9" s="747"/>
      <c r="BS9" s="1384"/>
      <c r="BT9" s="1385"/>
      <c r="BU9" s="110"/>
      <c r="BV9" s="748"/>
      <c r="BW9" s="746"/>
      <c r="BX9" s="110"/>
      <c r="BY9" s="110"/>
      <c r="BZ9" s="748"/>
      <c r="CA9" s="746"/>
      <c r="CB9" s="110"/>
      <c r="CC9" s="110"/>
      <c r="CD9" s="748"/>
      <c r="CE9" s="749"/>
      <c r="CF9" s="327"/>
      <c r="CG9" s="327"/>
      <c r="CH9" s="327"/>
      <c r="CI9" s="750"/>
      <c r="CJ9" s="327"/>
      <c r="CK9" s="327"/>
      <c r="CL9" s="748"/>
      <c r="CM9" s="708">
        <v>0</v>
      </c>
      <c r="CN9" s="110">
        <v>0</v>
      </c>
      <c r="CO9" s="327"/>
      <c r="CP9" s="327"/>
      <c r="CQ9" s="749"/>
      <c r="CR9" s="327"/>
      <c r="CS9" s="327"/>
      <c r="CT9" s="751"/>
      <c r="CU9" s="749"/>
      <c r="CV9" s="327"/>
      <c r="CW9" s="327"/>
      <c r="CX9" s="751"/>
      <c r="CY9" s="749"/>
      <c r="CZ9" s="327"/>
      <c r="DA9" s="327"/>
      <c r="DB9" s="751"/>
      <c r="DC9" s="749"/>
      <c r="DD9" s="327"/>
      <c r="DE9" s="327"/>
      <c r="DF9" s="751"/>
      <c r="DG9" s="749"/>
      <c r="DH9" s="327"/>
      <c r="DI9" s="327"/>
      <c r="DJ9" s="751"/>
    </row>
    <row r="10" spans="1:114" ht="12" customHeight="1" collapsed="1">
      <c r="A10" s="774" t="s">
        <v>89</v>
      </c>
      <c r="B10" s="884">
        <v>0</v>
      </c>
      <c r="C10" s="884">
        <v>0</v>
      </c>
      <c r="D10" s="884">
        <v>0</v>
      </c>
      <c r="E10" s="884">
        <v>0</v>
      </c>
      <c r="F10" s="885">
        <v>0</v>
      </c>
      <c r="G10" s="884">
        <v>0</v>
      </c>
      <c r="H10" s="884">
        <v>0</v>
      </c>
      <c r="I10" s="884">
        <v>0</v>
      </c>
      <c r="J10" s="885">
        <v>0</v>
      </c>
      <c r="K10" s="884">
        <v>0</v>
      </c>
      <c r="L10" s="884">
        <v>0</v>
      </c>
      <c r="M10" s="884">
        <v>0</v>
      </c>
      <c r="N10" s="885">
        <v>0</v>
      </c>
      <c r="O10" s="884">
        <v>0</v>
      </c>
      <c r="P10" s="884">
        <v>0</v>
      </c>
      <c r="Q10" s="884">
        <v>0</v>
      </c>
      <c r="R10" s="885">
        <v>16</v>
      </c>
      <c r="S10" s="884">
        <v>16</v>
      </c>
      <c r="T10" s="884">
        <v>14</v>
      </c>
      <c r="U10" s="884">
        <v>14</v>
      </c>
      <c r="V10" s="885">
        <f t="shared" si="10"/>
        <v>13</v>
      </c>
      <c r="W10" s="707">
        <f t="shared" si="11"/>
        <v>15</v>
      </c>
      <c r="X10" s="707">
        <f t="shared" si="11"/>
        <v>17</v>
      </c>
      <c r="Y10" s="874">
        <f t="shared" si="11"/>
        <v>17</v>
      </c>
      <c r="Z10" s="885">
        <f t="shared" si="12"/>
        <v>18</v>
      </c>
      <c r="AA10" s="707">
        <f t="shared" si="11"/>
        <v>22</v>
      </c>
      <c r="AB10" s="707">
        <f t="shared" si="11"/>
        <v>22</v>
      </c>
      <c r="AC10" s="874">
        <f t="shared" si="11"/>
        <v>21</v>
      </c>
      <c r="AD10" s="875">
        <v>23</v>
      </c>
      <c r="AE10" s="707">
        <f t="shared" si="13"/>
        <v>23</v>
      </c>
      <c r="AF10" s="707">
        <f t="shared" si="14"/>
        <v>22</v>
      </c>
      <c r="AG10" s="874">
        <f t="shared" si="14"/>
        <v>22</v>
      </c>
      <c r="AH10" s="885">
        <v>22</v>
      </c>
      <c r="AI10" s="707">
        <f t="shared" si="15"/>
        <v>21</v>
      </c>
      <c r="AJ10" s="707">
        <f t="shared" si="16"/>
        <v>20</v>
      </c>
      <c r="AK10" s="718">
        <f t="shared" si="16"/>
        <v>18</v>
      </c>
      <c r="AL10" s="884">
        <v>19</v>
      </c>
      <c r="AM10" s="707">
        <f t="shared" si="17"/>
        <v>18</v>
      </c>
      <c r="AN10" s="707">
        <f t="shared" si="18"/>
        <v>19</v>
      </c>
      <c r="AO10" s="718">
        <f t="shared" si="18"/>
        <v>19</v>
      </c>
      <c r="AP10" s="884">
        <v>23</v>
      </c>
      <c r="AQ10" s="707">
        <f t="shared" si="19"/>
        <v>26</v>
      </c>
      <c r="AR10" s="871">
        <v>0</v>
      </c>
      <c r="AS10" s="912">
        <v>0</v>
      </c>
      <c r="AT10" s="871">
        <v>0</v>
      </c>
      <c r="AU10" s="871">
        <v>0</v>
      </c>
      <c r="AV10" s="871">
        <v>0</v>
      </c>
      <c r="AW10" s="912">
        <v>0</v>
      </c>
      <c r="AX10" s="871">
        <v>0</v>
      </c>
      <c r="AY10" s="871">
        <v>0</v>
      </c>
      <c r="AZ10" s="871">
        <v>0</v>
      </c>
      <c r="BA10" s="912">
        <v>0</v>
      </c>
      <c r="BB10" s="414"/>
      <c r="BC10" s="656"/>
      <c r="BD10" s="656">
        <f t="shared" si="26"/>
        <v>0</v>
      </c>
      <c r="BE10" s="656">
        <f t="shared" si="27"/>
        <v>0</v>
      </c>
      <c r="BF10" s="656">
        <f t="shared" si="2"/>
        <v>0</v>
      </c>
      <c r="BG10" s="957">
        <f t="shared" si="3"/>
        <v>0</v>
      </c>
      <c r="BH10" s="957">
        <f t="shared" si="4"/>
        <v>60</v>
      </c>
      <c r="BI10" s="957">
        <f t="shared" si="28"/>
        <v>62</v>
      </c>
      <c r="BJ10" s="957">
        <f t="shared" si="29"/>
        <v>83</v>
      </c>
      <c r="BK10" s="957">
        <f t="shared" si="30"/>
        <v>90</v>
      </c>
      <c r="BL10" s="957">
        <f t="shared" si="5"/>
        <v>81</v>
      </c>
      <c r="BM10" s="957">
        <f t="shared" si="6"/>
        <v>75</v>
      </c>
      <c r="BN10" s="957">
        <f t="shared" si="7"/>
        <v>49</v>
      </c>
      <c r="BO10" s="957">
        <f t="shared" si="8"/>
        <v>0</v>
      </c>
      <c r="BP10" s="957">
        <f t="shared" si="9"/>
        <v>0</v>
      </c>
      <c r="BQ10" s="747"/>
      <c r="BS10" s="1384"/>
      <c r="BT10" s="1385"/>
      <c r="BU10" s="110"/>
      <c r="BV10" s="748"/>
      <c r="BW10" s="746"/>
      <c r="BX10" s="110"/>
      <c r="BY10" s="110"/>
      <c r="BZ10" s="748"/>
      <c r="CA10" s="746"/>
      <c r="CB10" s="110"/>
      <c r="CC10" s="110"/>
      <c r="CD10" s="748"/>
      <c r="CE10" s="749"/>
      <c r="CF10" s="327"/>
      <c r="CG10" s="327"/>
      <c r="CH10" s="327"/>
      <c r="CI10" s="750"/>
      <c r="CJ10" s="327"/>
      <c r="CK10" s="327"/>
      <c r="CL10" s="748"/>
      <c r="CM10" s="708">
        <v>13</v>
      </c>
      <c r="CN10" s="110">
        <v>28</v>
      </c>
      <c r="CO10" s="327">
        <v>45</v>
      </c>
      <c r="CP10" s="327">
        <v>62</v>
      </c>
      <c r="CQ10" s="749">
        <v>18</v>
      </c>
      <c r="CR10" s="327">
        <v>40</v>
      </c>
      <c r="CS10" s="327">
        <v>62</v>
      </c>
      <c r="CT10" s="751">
        <v>83</v>
      </c>
      <c r="CU10" s="749"/>
      <c r="CV10" s="327">
        <v>46</v>
      </c>
      <c r="CW10" s="327">
        <v>68</v>
      </c>
      <c r="CX10" s="751">
        <v>90</v>
      </c>
      <c r="CY10" s="749"/>
      <c r="CZ10" s="327">
        <v>43</v>
      </c>
      <c r="DA10" s="327">
        <v>63</v>
      </c>
      <c r="DB10" s="751">
        <v>81</v>
      </c>
      <c r="DC10" s="749"/>
      <c r="DD10" s="327">
        <v>37</v>
      </c>
      <c r="DE10" s="327">
        <v>56</v>
      </c>
      <c r="DF10" s="751">
        <v>75</v>
      </c>
      <c r="DG10" s="749"/>
      <c r="DH10" s="327">
        <v>49</v>
      </c>
      <c r="DI10" s="327"/>
      <c r="DJ10" s="751"/>
    </row>
    <row r="11" spans="1:114" ht="12" customHeight="1">
      <c r="A11" s="774" t="s">
        <v>90</v>
      </c>
      <c r="B11" s="884">
        <v>69</v>
      </c>
      <c r="C11" s="884">
        <v>68</v>
      </c>
      <c r="D11" s="884">
        <v>63</v>
      </c>
      <c r="E11" s="884">
        <v>81</v>
      </c>
      <c r="F11" s="885">
        <v>89</v>
      </c>
      <c r="G11" s="884">
        <v>81</v>
      </c>
      <c r="H11" s="884">
        <v>71</v>
      </c>
      <c r="I11" s="884">
        <v>85</v>
      </c>
      <c r="J11" s="885">
        <v>97</v>
      </c>
      <c r="K11" s="884">
        <v>94</v>
      </c>
      <c r="L11" s="884">
        <v>92</v>
      </c>
      <c r="M11" s="884">
        <v>99</v>
      </c>
      <c r="N11" s="885">
        <v>105</v>
      </c>
      <c r="O11" s="884">
        <v>100</v>
      </c>
      <c r="P11" s="884">
        <v>98</v>
      </c>
      <c r="Q11" s="884">
        <v>98</v>
      </c>
      <c r="R11" s="885">
        <v>111</v>
      </c>
      <c r="S11" s="884">
        <v>107</v>
      </c>
      <c r="T11" s="884">
        <v>103</v>
      </c>
      <c r="U11" s="884">
        <v>114</v>
      </c>
      <c r="V11" s="885">
        <f t="shared" si="10"/>
        <v>111</v>
      </c>
      <c r="W11" s="707">
        <f t="shared" si="11"/>
        <v>180</v>
      </c>
      <c r="X11" s="707">
        <f t="shared" si="11"/>
        <v>218</v>
      </c>
      <c r="Y11" s="874">
        <f t="shared" si="11"/>
        <v>244</v>
      </c>
      <c r="Z11" s="885">
        <f t="shared" si="12"/>
        <v>280</v>
      </c>
      <c r="AA11" s="707">
        <f t="shared" si="11"/>
        <v>336</v>
      </c>
      <c r="AB11" s="707">
        <f t="shared" si="11"/>
        <v>346</v>
      </c>
      <c r="AC11" s="874">
        <f t="shared" si="11"/>
        <v>346</v>
      </c>
      <c r="AD11" s="875">
        <v>422</v>
      </c>
      <c r="AE11" s="707">
        <f t="shared" si="13"/>
        <v>423</v>
      </c>
      <c r="AF11" s="707">
        <f t="shared" si="14"/>
        <v>419</v>
      </c>
      <c r="AG11" s="874">
        <f t="shared" si="14"/>
        <v>448</v>
      </c>
      <c r="AH11" s="885">
        <v>495</v>
      </c>
      <c r="AI11" s="707">
        <f t="shared" si="15"/>
        <v>475</v>
      </c>
      <c r="AJ11" s="707">
        <f t="shared" si="16"/>
        <v>451</v>
      </c>
      <c r="AK11" s="718">
        <f t="shared" si="16"/>
        <v>519</v>
      </c>
      <c r="AL11" s="884">
        <v>511</v>
      </c>
      <c r="AM11" s="707">
        <f t="shared" si="17"/>
        <v>498</v>
      </c>
      <c r="AN11" s="707">
        <f t="shared" si="18"/>
        <v>469</v>
      </c>
      <c r="AO11" s="718">
        <f t="shared" si="18"/>
        <v>490</v>
      </c>
      <c r="AP11" s="884">
        <v>543</v>
      </c>
      <c r="AQ11" s="707">
        <f t="shared" si="19"/>
        <v>521</v>
      </c>
      <c r="AR11" s="871">
        <f>+'Income Statement'!AR43</f>
        <v>542.65980771214856</v>
      </c>
      <c r="AS11" s="912">
        <f>+'Income Statement'!AS43</f>
        <v>575.89745418950656</v>
      </c>
      <c r="AT11" s="871">
        <f>+'Income Statement'!AT43</f>
        <v>566.6878558558559</v>
      </c>
      <c r="AU11" s="871">
        <f>+'Income Statement'!AU43</f>
        <v>545.17511316972366</v>
      </c>
      <c r="AV11" s="871">
        <f>+'Income Statement'!AV43</f>
        <v>546.17404433525758</v>
      </c>
      <c r="AW11" s="912">
        <f>+'Income Statement'!AW43</f>
        <v>589.6353907888747</v>
      </c>
      <c r="AX11" s="871">
        <f>+'Income Statement'!AX43</f>
        <v>587.23705258919824</v>
      </c>
      <c r="AY11" s="871">
        <f>+'Income Statement'!AY43</f>
        <v>569.63158448393972</v>
      </c>
      <c r="AZ11" s="871">
        <f>+'Income Statement'!AZ43</f>
        <v>552.91273301100887</v>
      </c>
      <c r="BA11" s="912">
        <f>+'Income Statement'!BA43</f>
        <v>609.0123521563346</v>
      </c>
      <c r="BB11" s="1406"/>
      <c r="BC11" s="1463"/>
      <c r="BD11" s="1463">
        <f t="shared" si="0"/>
        <v>281</v>
      </c>
      <c r="BE11" s="1463">
        <f t="shared" si="1"/>
        <v>326</v>
      </c>
      <c r="BF11" s="1463">
        <f t="shared" si="2"/>
        <v>382</v>
      </c>
      <c r="BG11" s="1464">
        <f t="shared" si="3"/>
        <v>401</v>
      </c>
      <c r="BH11" s="1464">
        <f t="shared" si="4"/>
        <v>435</v>
      </c>
      <c r="BI11" s="1464">
        <f t="shared" si="28"/>
        <v>753</v>
      </c>
      <c r="BJ11" s="1464">
        <f t="shared" si="29"/>
        <v>1308</v>
      </c>
      <c r="BK11" s="1464">
        <f t="shared" si="30"/>
        <v>1712</v>
      </c>
      <c r="BL11" s="957">
        <f t="shared" si="5"/>
        <v>1940</v>
      </c>
      <c r="BM11" s="957">
        <f t="shared" si="6"/>
        <v>1968</v>
      </c>
      <c r="BN11" s="957">
        <f t="shared" si="7"/>
        <v>2182.5572619016548</v>
      </c>
      <c r="BO11" s="957">
        <f t="shared" si="8"/>
        <v>2247.6724041497118</v>
      </c>
      <c r="BP11" s="957">
        <f t="shared" si="9"/>
        <v>2318.7937222404817</v>
      </c>
      <c r="BQ11" s="747"/>
      <c r="BR11" s="1386"/>
      <c r="BS11" s="1385"/>
      <c r="BT11" s="1385"/>
      <c r="BU11" s="110"/>
      <c r="BV11" s="748"/>
      <c r="BW11" s="746"/>
      <c r="BX11" s="110"/>
      <c r="BY11" s="110"/>
      <c r="BZ11" s="748"/>
      <c r="CA11" s="746"/>
      <c r="CB11" s="110"/>
      <c r="CC11" s="110"/>
      <c r="CD11" s="748"/>
      <c r="CE11" s="749"/>
      <c r="CF11" s="327"/>
      <c r="CG11" s="327"/>
      <c r="CH11" s="327"/>
      <c r="CI11" s="750"/>
      <c r="CJ11" s="327"/>
      <c r="CK11" s="327"/>
      <c r="CL11" s="748"/>
      <c r="CM11" s="708">
        <v>111</v>
      </c>
      <c r="CN11" s="110">
        <v>291</v>
      </c>
      <c r="CO11" s="327">
        <v>509</v>
      </c>
      <c r="CP11" s="327">
        <v>753</v>
      </c>
      <c r="CQ11" s="749">
        <v>280</v>
      </c>
      <c r="CR11" s="327">
        <v>616</v>
      </c>
      <c r="CS11" s="327">
        <v>962</v>
      </c>
      <c r="CT11" s="751">
        <v>1308</v>
      </c>
      <c r="CU11" s="749"/>
      <c r="CV11" s="327">
        <v>845</v>
      </c>
      <c r="CW11" s="327">
        <v>1264</v>
      </c>
      <c r="CX11" s="751">
        <v>1712</v>
      </c>
      <c r="CY11" s="749"/>
      <c r="CZ11" s="327">
        <v>970</v>
      </c>
      <c r="DA11" s="327">
        <v>1421</v>
      </c>
      <c r="DB11" s="751">
        <v>1940</v>
      </c>
      <c r="DC11" s="749"/>
      <c r="DD11" s="327">
        <v>1009</v>
      </c>
      <c r="DE11" s="327">
        <v>1478</v>
      </c>
      <c r="DF11" s="751">
        <v>1968</v>
      </c>
      <c r="DG11" s="749"/>
      <c r="DH11" s="327">
        <v>1064</v>
      </c>
      <c r="DI11" s="327"/>
      <c r="DJ11" s="751"/>
    </row>
    <row r="12" spans="1:114" ht="12" hidden="1" customHeight="1" outlineLevel="1">
      <c r="A12" s="774" t="s">
        <v>60</v>
      </c>
      <c r="B12" s="884">
        <v>0</v>
      </c>
      <c r="C12" s="884">
        <v>0</v>
      </c>
      <c r="D12" s="884">
        <v>0</v>
      </c>
      <c r="E12" s="884">
        <v>0</v>
      </c>
      <c r="F12" s="885">
        <v>0</v>
      </c>
      <c r="G12" s="884">
        <v>0</v>
      </c>
      <c r="H12" s="884">
        <v>0</v>
      </c>
      <c r="I12" s="884">
        <v>0</v>
      </c>
      <c r="J12" s="885">
        <v>0</v>
      </c>
      <c r="K12" s="884">
        <v>0</v>
      </c>
      <c r="L12" s="884">
        <v>0</v>
      </c>
      <c r="M12" s="884">
        <v>79</v>
      </c>
      <c r="N12" s="885">
        <v>0</v>
      </c>
      <c r="O12" s="884"/>
      <c r="P12" s="884"/>
      <c r="Q12" s="884"/>
      <c r="R12" s="885">
        <v>0</v>
      </c>
      <c r="S12" s="884">
        <v>0</v>
      </c>
      <c r="T12" s="884">
        <v>0</v>
      </c>
      <c r="U12" s="884">
        <v>0</v>
      </c>
      <c r="V12" s="885">
        <f t="shared" si="10"/>
        <v>0</v>
      </c>
      <c r="W12" s="707">
        <f t="shared" si="11"/>
        <v>0</v>
      </c>
      <c r="X12" s="707">
        <f t="shared" si="11"/>
        <v>0</v>
      </c>
      <c r="Y12" s="874">
        <f t="shared" si="11"/>
        <v>0</v>
      </c>
      <c r="Z12" s="885">
        <f t="shared" si="12"/>
        <v>0</v>
      </c>
      <c r="AA12" s="707">
        <f t="shared" si="11"/>
        <v>0</v>
      </c>
      <c r="AB12" s="707">
        <f t="shared" si="11"/>
        <v>0</v>
      </c>
      <c r="AC12" s="874">
        <f t="shared" si="11"/>
        <v>0</v>
      </c>
      <c r="AD12" s="875">
        <v>0</v>
      </c>
      <c r="AE12" s="707">
        <f t="shared" si="13"/>
        <v>0</v>
      </c>
      <c r="AF12" s="707">
        <f t="shared" si="14"/>
        <v>0</v>
      </c>
      <c r="AG12" s="874">
        <f t="shared" si="14"/>
        <v>0</v>
      </c>
      <c r="AH12" s="885">
        <v>0</v>
      </c>
      <c r="AI12" s="707">
        <f t="shared" si="15"/>
        <v>0</v>
      </c>
      <c r="AJ12" s="707">
        <f t="shared" si="16"/>
        <v>0</v>
      </c>
      <c r="AK12" s="718">
        <f t="shared" si="16"/>
        <v>0</v>
      </c>
      <c r="AL12" s="884">
        <v>0</v>
      </c>
      <c r="AM12" s="707">
        <f t="shared" si="17"/>
        <v>0</v>
      </c>
      <c r="AN12" s="707">
        <f t="shared" si="18"/>
        <v>0</v>
      </c>
      <c r="AO12" s="718">
        <f t="shared" si="18"/>
        <v>0</v>
      </c>
      <c r="AP12" s="884">
        <v>0</v>
      </c>
      <c r="AQ12" s="707">
        <f t="shared" si="19"/>
        <v>0</v>
      </c>
      <c r="AR12" s="1462">
        <v>0</v>
      </c>
      <c r="AS12" s="1494">
        <v>0</v>
      </c>
      <c r="AT12" s="1462">
        <v>0</v>
      </c>
      <c r="AU12" s="1462">
        <v>0</v>
      </c>
      <c r="AV12" s="1462">
        <v>0</v>
      </c>
      <c r="AW12" s="1494">
        <v>0</v>
      </c>
      <c r="AX12" s="1462">
        <v>0</v>
      </c>
      <c r="AY12" s="1462">
        <v>0</v>
      </c>
      <c r="AZ12" s="1462">
        <v>0</v>
      </c>
      <c r="BA12" s="1494">
        <v>0</v>
      </c>
      <c r="BB12" s="1406"/>
      <c r="BC12" s="1463"/>
      <c r="BD12" s="1463">
        <f t="shared" si="0"/>
        <v>0</v>
      </c>
      <c r="BE12" s="1463">
        <f t="shared" si="1"/>
        <v>0</v>
      </c>
      <c r="BF12" s="1463">
        <f t="shared" si="2"/>
        <v>79</v>
      </c>
      <c r="BG12" s="1464">
        <f t="shared" si="3"/>
        <v>0</v>
      </c>
      <c r="BH12" s="1464">
        <f t="shared" si="4"/>
        <v>0</v>
      </c>
      <c r="BI12" s="1464">
        <f t="shared" si="28"/>
        <v>0</v>
      </c>
      <c r="BJ12" s="1464">
        <f t="shared" si="29"/>
        <v>0</v>
      </c>
      <c r="BK12" s="1464">
        <f t="shared" si="30"/>
        <v>0</v>
      </c>
      <c r="BL12" s="957">
        <f t="shared" si="5"/>
        <v>0</v>
      </c>
      <c r="BM12" s="957">
        <f t="shared" si="6"/>
        <v>0</v>
      </c>
      <c r="BN12" s="957">
        <f t="shared" si="7"/>
        <v>0</v>
      </c>
      <c r="BO12" s="957">
        <f t="shared" si="8"/>
        <v>0</v>
      </c>
      <c r="BP12" s="957">
        <f t="shared" si="9"/>
        <v>0</v>
      </c>
      <c r="BQ12" s="747"/>
      <c r="BR12" s="1386"/>
      <c r="BS12" s="1385"/>
      <c r="BT12" s="1385"/>
      <c r="BU12" s="110"/>
      <c r="BV12" s="748"/>
      <c r="BW12" s="746"/>
      <c r="BX12" s="110"/>
      <c r="BY12" s="110"/>
      <c r="BZ12" s="748"/>
      <c r="CA12" s="746"/>
      <c r="CB12" s="110"/>
      <c r="CC12" s="110"/>
      <c r="CD12" s="748"/>
      <c r="CE12" s="749"/>
      <c r="CF12" s="327"/>
      <c r="CG12" s="327"/>
      <c r="CH12" s="327"/>
      <c r="CI12" s="750"/>
      <c r="CJ12" s="327"/>
      <c r="CK12" s="327"/>
      <c r="CL12" s="748"/>
      <c r="CM12" s="708">
        <v>0</v>
      </c>
      <c r="CN12" s="110"/>
      <c r="CO12" s="327"/>
      <c r="CP12" s="327"/>
      <c r="CQ12" s="749"/>
      <c r="CR12" s="327"/>
      <c r="CS12" s="327"/>
      <c r="CT12" s="751"/>
      <c r="CU12" s="749"/>
      <c r="CV12" s="327"/>
      <c r="CW12" s="327"/>
      <c r="CX12" s="751"/>
      <c r="CY12" s="749"/>
      <c r="CZ12" s="327"/>
      <c r="DA12" s="327"/>
      <c r="DB12" s="751"/>
      <c r="DC12" s="749"/>
      <c r="DD12" s="327"/>
      <c r="DE12" s="327"/>
      <c r="DF12" s="751"/>
      <c r="DG12" s="749"/>
      <c r="DH12" s="327"/>
      <c r="DI12" s="327"/>
      <c r="DJ12" s="751"/>
    </row>
    <row r="13" spans="1:114" ht="12" customHeight="1" collapsed="1">
      <c r="A13" s="774" t="s">
        <v>91</v>
      </c>
      <c r="B13" s="884">
        <v>-2</v>
      </c>
      <c r="C13" s="884">
        <v>-9</v>
      </c>
      <c r="D13" s="884">
        <v>51</v>
      </c>
      <c r="E13" s="884">
        <v>30</v>
      </c>
      <c r="F13" s="885">
        <v>-9</v>
      </c>
      <c r="G13" s="884">
        <v>-22</v>
      </c>
      <c r="H13" s="884">
        <v>-5</v>
      </c>
      <c r="I13" s="884">
        <v>44</v>
      </c>
      <c r="J13" s="885">
        <v>-4</v>
      </c>
      <c r="K13" s="884">
        <v>-21</v>
      </c>
      <c r="L13" s="884">
        <v>26</v>
      </c>
      <c r="M13" s="884">
        <v>-6</v>
      </c>
      <c r="N13" s="885">
        <v>-9</v>
      </c>
      <c r="O13" s="884">
        <v>-12</v>
      </c>
      <c r="P13" s="884">
        <v>-23</v>
      </c>
      <c r="Q13" s="884">
        <v>37</v>
      </c>
      <c r="R13" s="885">
        <v>-18</v>
      </c>
      <c r="S13" s="884">
        <v>-12</v>
      </c>
      <c r="T13" s="884">
        <v>-72</v>
      </c>
      <c r="U13" s="884">
        <v>-77</v>
      </c>
      <c r="V13" s="885">
        <f t="shared" si="10"/>
        <v>17</v>
      </c>
      <c r="W13" s="707">
        <f t="shared" si="11"/>
        <v>-6</v>
      </c>
      <c r="X13" s="707">
        <f t="shared" si="11"/>
        <v>58</v>
      </c>
      <c r="Y13" s="874">
        <f t="shared" si="11"/>
        <v>-111</v>
      </c>
      <c r="Z13" s="885">
        <f t="shared" si="12"/>
        <v>-16</v>
      </c>
      <c r="AA13" s="707">
        <f t="shared" si="11"/>
        <v>4</v>
      </c>
      <c r="AB13" s="707">
        <f t="shared" si="11"/>
        <v>118</v>
      </c>
      <c r="AC13" s="874">
        <f t="shared" si="11"/>
        <v>14</v>
      </c>
      <c r="AD13" s="875">
        <v>-28</v>
      </c>
      <c r="AE13" s="707">
        <f t="shared" si="13"/>
        <v>-262</v>
      </c>
      <c r="AF13" s="707">
        <f t="shared" si="14"/>
        <v>-99</v>
      </c>
      <c r="AG13" s="874">
        <f t="shared" si="14"/>
        <v>-239</v>
      </c>
      <c r="AH13" s="885">
        <v>-126</v>
      </c>
      <c r="AI13" s="707">
        <f t="shared" si="15"/>
        <v>-184</v>
      </c>
      <c r="AJ13" s="707">
        <f t="shared" si="16"/>
        <v>-51</v>
      </c>
      <c r="AK13" s="718">
        <f t="shared" si="16"/>
        <v>-193</v>
      </c>
      <c r="AL13" s="884">
        <v>-91</v>
      </c>
      <c r="AM13" s="707">
        <f t="shared" si="17"/>
        <v>-136</v>
      </c>
      <c r="AN13" s="707">
        <f t="shared" si="18"/>
        <v>-51</v>
      </c>
      <c r="AO13" s="718">
        <f t="shared" si="18"/>
        <v>-157</v>
      </c>
      <c r="AP13" s="884">
        <v>58</v>
      </c>
      <c r="AQ13" s="707">
        <f t="shared" si="19"/>
        <v>79</v>
      </c>
      <c r="AR13" s="871">
        <v>0</v>
      </c>
      <c r="AS13" s="912">
        <v>0</v>
      </c>
      <c r="AT13" s="871">
        <v>0</v>
      </c>
      <c r="AU13" s="871">
        <v>0</v>
      </c>
      <c r="AV13" s="871">
        <v>0</v>
      </c>
      <c r="AW13" s="912">
        <v>0</v>
      </c>
      <c r="AX13" s="871">
        <v>0</v>
      </c>
      <c r="AY13" s="871">
        <v>0</v>
      </c>
      <c r="AZ13" s="871">
        <v>0</v>
      </c>
      <c r="BA13" s="912">
        <v>0</v>
      </c>
      <c r="BB13" s="414"/>
      <c r="BC13" s="656"/>
      <c r="BD13" s="656">
        <f t="shared" si="0"/>
        <v>70</v>
      </c>
      <c r="BE13" s="656">
        <f t="shared" si="1"/>
        <v>8</v>
      </c>
      <c r="BF13" s="656">
        <f t="shared" si="2"/>
        <v>-5</v>
      </c>
      <c r="BG13" s="957">
        <f t="shared" si="3"/>
        <v>-7</v>
      </c>
      <c r="BH13" s="957">
        <f t="shared" si="4"/>
        <v>-179</v>
      </c>
      <c r="BI13" s="957">
        <f t="shared" si="28"/>
        <v>-42</v>
      </c>
      <c r="BJ13" s="957">
        <f t="shared" si="29"/>
        <v>120</v>
      </c>
      <c r="BK13" s="957">
        <f t="shared" si="30"/>
        <v>-628</v>
      </c>
      <c r="BL13" s="957">
        <f t="shared" si="5"/>
        <v>-554</v>
      </c>
      <c r="BM13" s="957">
        <f t="shared" si="6"/>
        <v>-435</v>
      </c>
      <c r="BN13" s="957">
        <f t="shared" si="7"/>
        <v>137</v>
      </c>
      <c r="BO13" s="957">
        <f t="shared" si="8"/>
        <v>0</v>
      </c>
      <c r="BP13" s="957">
        <f t="shared" si="9"/>
        <v>0</v>
      </c>
      <c r="BQ13" s="747"/>
      <c r="BR13" s="1386"/>
      <c r="BS13" s="1385"/>
      <c r="BT13" s="1385"/>
      <c r="BU13" s="110"/>
      <c r="BV13" s="748"/>
      <c r="BW13" s="746"/>
      <c r="BX13" s="110"/>
      <c r="BY13" s="110"/>
      <c r="BZ13" s="748"/>
      <c r="CA13" s="746"/>
      <c r="CB13" s="110"/>
      <c r="CC13" s="110"/>
      <c r="CD13" s="748"/>
      <c r="CE13" s="749"/>
      <c r="CF13" s="327"/>
      <c r="CG13" s="327"/>
      <c r="CH13" s="327"/>
      <c r="CI13" s="750"/>
      <c r="CJ13" s="327"/>
      <c r="CK13" s="327"/>
      <c r="CL13" s="748"/>
      <c r="CM13" s="708">
        <v>17</v>
      </c>
      <c r="CN13" s="110">
        <v>11</v>
      </c>
      <c r="CO13" s="327">
        <v>69</v>
      </c>
      <c r="CP13" s="327">
        <v>-42</v>
      </c>
      <c r="CQ13" s="749">
        <v>-16</v>
      </c>
      <c r="CR13" s="327">
        <v>-12</v>
      </c>
      <c r="CS13" s="327">
        <v>106</v>
      </c>
      <c r="CT13" s="751">
        <v>120</v>
      </c>
      <c r="CU13" s="749"/>
      <c r="CV13" s="327">
        <v>-290</v>
      </c>
      <c r="CW13" s="327">
        <v>-389</v>
      </c>
      <c r="CX13" s="751">
        <v>-628</v>
      </c>
      <c r="CY13" s="749"/>
      <c r="CZ13" s="327">
        <v>-310</v>
      </c>
      <c r="DA13" s="327">
        <v>-361</v>
      </c>
      <c r="DB13" s="751">
        <v>-554</v>
      </c>
      <c r="DC13" s="749"/>
      <c r="DD13" s="327">
        <v>-227</v>
      </c>
      <c r="DE13" s="327">
        <v>-278</v>
      </c>
      <c r="DF13" s="751">
        <v>-435</v>
      </c>
      <c r="DG13" s="749"/>
      <c r="DH13" s="327">
        <v>137</v>
      </c>
      <c r="DI13" s="327"/>
      <c r="DJ13" s="751"/>
    </row>
    <row r="14" spans="1:114" ht="12" customHeight="1">
      <c r="A14" s="774" t="s">
        <v>92</v>
      </c>
      <c r="B14" s="884">
        <v>10</v>
      </c>
      <c r="C14" s="884">
        <v>0</v>
      </c>
      <c r="D14" s="884">
        <v>1</v>
      </c>
      <c r="E14" s="884">
        <v>6</v>
      </c>
      <c r="F14" s="885">
        <v>1</v>
      </c>
      <c r="G14" s="884">
        <v>6</v>
      </c>
      <c r="H14" s="884">
        <v>2</v>
      </c>
      <c r="I14" s="884">
        <v>4</v>
      </c>
      <c r="J14" s="885">
        <v>2</v>
      </c>
      <c r="K14" s="884">
        <v>5</v>
      </c>
      <c r="L14" s="884">
        <v>-8</v>
      </c>
      <c r="M14" s="884">
        <v>7</v>
      </c>
      <c r="N14" s="885">
        <v>2</v>
      </c>
      <c r="O14" s="884">
        <v>4</v>
      </c>
      <c r="P14" s="884">
        <v>6</v>
      </c>
      <c r="Q14" s="884">
        <v>3</v>
      </c>
      <c r="R14" s="885">
        <v>4</v>
      </c>
      <c r="S14" s="884">
        <v>0</v>
      </c>
      <c r="T14" s="884">
        <v>18</v>
      </c>
      <c r="U14" s="884">
        <v>-16</v>
      </c>
      <c r="V14" s="885">
        <f t="shared" si="10"/>
        <v>-16</v>
      </c>
      <c r="W14" s="707">
        <f t="shared" si="11"/>
        <v>-32</v>
      </c>
      <c r="X14" s="707">
        <f t="shared" si="11"/>
        <v>-1</v>
      </c>
      <c r="Y14" s="874">
        <f t="shared" si="11"/>
        <v>10</v>
      </c>
      <c r="Z14" s="885">
        <f t="shared" si="12"/>
        <v>-35</v>
      </c>
      <c r="AA14" s="707">
        <f t="shared" si="11"/>
        <v>6</v>
      </c>
      <c r="AB14" s="707">
        <f t="shared" si="11"/>
        <v>8</v>
      </c>
      <c r="AC14" s="874">
        <f t="shared" si="11"/>
        <v>23</v>
      </c>
      <c r="AD14" s="875">
        <v>11</v>
      </c>
      <c r="AE14" s="707">
        <f t="shared" si="13"/>
        <v>31</v>
      </c>
      <c r="AF14" s="707">
        <f t="shared" si="14"/>
        <v>6</v>
      </c>
      <c r="AG14" s="874">
        <f t="shared" si="14"/>
        <v>33</v>
      </c>
      <c r="AH14" s="885">
        <v>28</v>
      </c>
      <c r="AI14" s="707">
        <f t="shared" si="15"/>
        <v>27</v>
      </c>
      <c r="AJ14" s="707">
        <f t="shared" si="16"/>
        <v>14</v>
      </c>
      <c r="AK14" s="718">
        <f t="shared" si="16"/>
        <v>23</v>
      </c>
      <c r="AL14" s="885">
        <v>63</v>
      </c>
      <c r="AM14" s="707">
        <f t="shared" si="17"/>
        <v>36</v>
      </c>
      <c r="AN14" s="707">
        <f t="shared" si="18"/>
        <v>15</v>
      </c>
      <c r="AO14" s="718">
        <f t="shared" si="18"/>
        <v>13</v>
      </c>
      <c r="AP14" s="885">
        <v>-6</v>
      </c>
      <c r="AQ14" s="707">
        <f t="shared" si="19"/>
        <v>29</v>
      </c>
      <c r="AR14" s="871">
        <v>0</v>
      </c>
      <c r="AS14" s="872">
        <v>0</v>
      </c>
      <c r="AT14" s="873">
        <v>0</v>
      </c>
      <c r="AU14" s="871">
        <v>0</v>
      </c>
      <c r="AV14" s="871">
        <v>0</v>
      </c>
      <c r="AW14" s="872">
        <v>0</v>
      </c>
      <c r="AX14" s="873">
        <v>0</v>
      </c>
      <c r="AY14" s="871">
        <v>0</v>
      </c>
      <c r="AZ14" s="871">
        <v>0</v>
      </c>
      <c r="BA14" s="872">
        <v>0</v>
      </c>
      <c r="BB14" s="414"/>
      <c r="BC14" s="656"/>
      <c r="BD14" s="656">
        <f t="shared" si="0"/>
        <v>17</v>
      </c>
      <c r="BE14" s="656">
        <f t="shared" si="1"/>
        <v>13</v>
      </c>
      <c r="BF14" s="656">
        <f t="shared" si="2"/>
        <v>6</v>
      </c>
      <c r="BG14" s="957">
        <f t="shared" si="3"/>
        <v>15</v>
      </c>
      <c r="BH14" s="957">
        <f t="shared" si="4"/>
        <v>6</v>
      </c>
      <c r="BI14" s="957">
        <f t="shared" si="28"/>
        <v>-39</v>
      </c>
      <c r="BJ14" s="957">
        <f t="shared" si="29"/>
        <v>2</v>
      </c>
      <c r="BK14" s="957">
        <f t="shared" si="30"/>
        <v>81</v>
      </c>
      <c r="BL14" s="957">
        <f>+SUM(AH14:AK14)</f>
        <v>92</v>
      </c>
      <c r="BM14" s="957">
        <f t="shared" si="6"/>
        <v>127</v>
      </c>
      <c r="BN14" s="957">
        <f t="shared" si="7"/>
        <v>23</v>
      </c>
      <c r="BO14" s="957">
        <f t="shared" si="8"/>
        <v>0</v>
      </c>
      <c r="BP14" s="957">
        <f t="shared" si="9"/>
        <v>0</v>
      </c>
      <c r="BQ14" s="747"/>
      <c r="BR14" s="1386"/>
      <c r="BS14" s="1385"/>
      <c r="BT14" s="1385"/>
      <c r="BU14" s="110"/>
      <c r="BV14" s="748"/>
      <c r="BW14" s="746"/>
      <c r="BX14" s="110"/>
      <c r="BY14" s="110"/>
      <c r="BZ14" s="748"/>
      <c r="CA14" s="746"/>
      <c r="CB14" s="110"/>
      <c r="CC14" s="110"/>
      <c r="CD14" s="748"/>
      <c r="CE14" s="749"/>
      <c r="CF14" s="327"/>
      <c r="CG14" s="327"/>
      <c r="CH14" s="327"/>
      <c r="CI14" s="750"/>
      <c r="CJ14" s="327"/>
      <c r="CK14" s="327"/>
      <c r="CL14" s="748"/>
      <c r="CM14" s="708">
        <v>-16</v>
      </c>
      <c r="CN14" s="110">
        <v>-48</v>
      </c>
      <c r="CO14" s="327">
        <v>-49</v>
      </c>
      <c r="CP14" s="327">
        <v>-39</v>
      </c>
      <c r="CQ14" s="749">
        <v>-35</v>
      </c>
      <c r="CR14" s="327">
        <v>-29</v>
      </c>
      <c r="CS14" s="327">
        <v>-21</v>
      </c>
      <c r="CT14" s="751">
        <v>2</v>
      </c>
      <c r="CU14" s="749"/>
      <c r="CV14" s="327">
        <v>42</v>
      </c>
      <c r="CW14" s="327">
        <v>48</v>
      </c>
      <c r="CX14" s="751">
        <v>81</v>
      </c>
      <c r="CY14" s="749"/>
      <c r="CZ14" s="327">
        <v>55</v>
      </c>
      <c r="DA14" s="327">
        <v>69</v>
      </c>
      <c r="DB14" s="751">
        <v>92</v>
      </c>
      <c r="DC14" s="749"/>
      <c r="DD14" s="327">
        <v>99</v>
      </c>
      <c r="DE14" s="327">
        <v>114</v>
      </c>
      <c r="DF14" s="751">
        <v>127</v>
      </c>
      <c r="DG14" s="749"/>
      <c r="DH14" s="327">
        <f>105-82</f>
        <v>23</v>
      </c>
      <c r="DI14" s="327"/>
      <c r="DJ14" s="751"/>
    </row>
    <row r="15" spans="1:114" ht="12" customHeight="1">
      <c r="A15" s="774" t="s">
        <v>219</v>
      </c>
      <c r="B15" s="884">
        <v>0</v>
      </c>
      <c r="C15" s="884">
        <v>0</v>
      </c>
      <c r="D15" s="884">
        <v>0</v>
      </c>
      <c r="E15" s="884">
        <v>0</v>
      </c>
      <c r="F15" s="885">
        <v>0</v>
      </c>
      <c r="G15" s="884">
        <v>0</v>
      </c>
      <c r="H15" s="884">
        <v>0</v>
      </c>
      <c r="I15" s="884">
        <v>0</v>
      </c>
      <c r="J15" s="885">
        <v>0</v>
      </c>
      <c r="K15" s="884">
        <v>0</v>
      </c>
      <c r="L15" s="884">
        <v>0</v>
      </c>
      <c r="M15" s="884">
        <v>0</v>
      </c>
      <c r="N15" s="885">
        <v>0</v>
      </c>
      <c r="O15" s="884">
        <v>0</v>
      </c>
      <c r="P15" s="884">
        <v>0</v>
      </c>
      <c r="Q15" s="884">
        <v>0</v>
      </c>
      <c r="R15" s="885">
        <v>0</v>
      </c>
      <c r="S15" s="884">
        <v>0</v>
      </c>
      <c r="T15" s="884">
        <v>0</v>
      </c>
      <c r="U15" s="884">
        <v>-566</v>
      </c>
      <c r="V15" s="885">
        <f t="shared" si="10"/>
        <v>-43</v>
      </c>
      <c r="W15" s="707">
        <f t="shared" si="11"/>
        <v>2</v>
      </c>
      <c r="X15" s="707">
        <f t="shared" si="11"/>
        <v>0</v>
      </c>
      <c r="Y15" s="874">
        <f t="shared" si="11"/>
        <v>0</v>
      </c>
      <c r="Z15" s="885">
        <f t="shared" si="12"/>
        <v>0</v>
      </c>
      <c r="AA15" s="707">
        <f t="shared" si="11"/>
        <v>0</v>
      </c>
      <c r="AB15" s="707">
        <f t="shared" si="11"/>
        <v>0</v>
      </c>
      <c r="AC15" s="874">
        <f t="shared" si="11"/>
        <v>0</v>
      </c>
      <c r="AD15" s="875">
        <v>0</v>
      </c>
      <c r="AE15" s="707">
        <f t="shared" si="13"/>
        <v>0</v>
      </c>
      <c r="AF15" s="707">
        <f t="shared" si="14"/>
        <v>0</v>
      </c>
      <c r="AG15" s="874">
        <f t="shared" si="14"/>
        <v>0</v>
      </c>
      <c r="AH15" s="885">
        <v>-44</v>
      </c>
      <c r="AI15" s="707">
        <f t="shared" si="15"/>
        <v>44</v>
      </c>
      <c r="AJ15" s="707">
        <f t="shared" si="16"/>
        <v>0</v>
      </c>
      <c r="AK15" s="874">
        <f t="shared" si="16"/>
        <v>0</v>
      </c>
      <c r="AL15" s="885">
        <v>0</v>
      </c>
      <c r="AM15" s="707">
        <f t="shared" si="17"/>
        <v>0</v>
      </c>
      <c r="AN15" s="707">
        <f t="shared" si="18"/>
        <v>0</v>
      </c>
      <c r="AO15" s="874">
        <f t="shared" si="18"/>
        <v>0</v>
      </c>
      <c r="AP15" s="885">
        <v>0</v>
      </c>
      <c r="AQ15" s="707">
        <f t="shared" si="19"/>
        <v>0</v>
      </c>
      <c r="AR15" s="707">
        <v>0</v>
      </c>
      <c r="AS15" s="718">
        <v>0</v>
      </c>
      <c r="AT15" s="875">
        <v>0</v>
      </c>
      <c r="AU15" s="707">
        <v>0</v>
      </c>
      <c r="AV15" s="707">
        <v>0</v>
      </c>
      <c r="AW15" s="718">
        <v>0</v>
      </c>
      <c r="AX15" s="875">
        <v>0</v>
      </c>
      <c r="AY15" s="707">
        <v>0</v>
      </c>
      <c r="AZ15" s="707">
        <v>0</v>
      </c>
      <c r="BA15" s="718">
        <v>0</v>
      </c>
      <c r="BB15" s="414"/>
      <c r="BC15" s="656"/>
      <c r="BD15" s="656">
        <f t="shared" si="0"/>
        <v>0</v>
      </c>
      <c r="BE15" s="656">
        <f t="shared" si="1"/>
        <v>0</v>
      </c>
      <c r="BF15" s="656">
        <f t="shared" si="2"/>
        <v>0</v>
      </c>
      <c r="BG15" s="957">
        <f t="shared" si="3"/>
        <v>0</v>
      </c>
      <c r="BH15" s="957">
        <f t="shared" si="4"/>
        <v>-566</v>
      </c>
      <c r="BI15" s="957">
        <f t="shared" si="28"/>
        <v>-41</v>
      </c>
      <c r="BJ15" s="957">
        <f t="shared" si="29"/>
        <v>0</v>
      </c>
      <c r="BK15" s="957">
        <f t="shared" si="30"/>
        <v>0</v>
      </c>
      <c r="BL15" s="957">
        <f t="shared" ref="BL15:BL28" si="31">+SUM(AH15:AK15)</f>
        <v>0</v>
      </c>
      <c r="BM15" s="957">
        <f t="shared" si="6"/>
        <v>0</v>
      </c>
      <c r="BN15" s="957">
        <f t="shared" si="7"/>
        <v>0</v>
      </c>
      <c r="BO15" s="957">
        <f t="shared" si="8"/>
        <v>0</v>
      </c>
      <c r="BP15" s="957">
        <f t="shared" si="9"/>
        <v>0</v>
      </c>
      <c r="BQ15" s="747"/>
      <c r="BR15" s="1386"/>
      <c r="BS15" s="1385"/>
      <c r="BT15" s="1385"/>
      <c r="BU15" s="110"/>
      <c r="BV15" s="748"/>
      <c r="BW15" s="746"/>
      <c r="BX15" s="110"/>
      <c r="BY15" s="110"/>
      <c r="BZ15" s="748"/>
      <c r="CA15" s="746"/>
      <c r="CB15" s="110"/>
      <c r="CC15" s="110"/>
      <c r="CD15" s="748"/>
      <c r="CE15" s="749"/>
      <c r="CF15" s="327"/>
      <c r="CG15" s="327"/>
      <c r="CH15" s="327"/>
      <c r="CI15" s="750"/>
      <c r="CJ15" s="327"/>
      <c r="CK15" s="327"/>
      <c r="CL15" s="748"/>
      <c r="CM15" s="708">
        <v>-43</v>
      </c>
      <c r="CN15" s="110">
        <v>-41</v>
      </c>
      <c r="CO15" s="327">
        <v>-41</v>
      </c>
      <c r="CP15" s="327">
        <v>-41</v>
      </c>
      <c r="CQ15" s="749">
        <v>0</v>
      </c>
      <c r="CR15" s="327">
        <v>0</v>
      </c>
      <c r="CS15" s="327"/>
      <c r="CT15" s="751"/>
      <c r="CU15" s="749"/>
      <c r="CV15" s="327"/>
      <c r="CW15" s="327"/>
      <c r="CX15" s="751"/>
      <c r="CY15" s="749"/>
      <c r="CZ15" s="327"/>
      <c r="DA15" s="327"/>
      <c r="DB15" s="751"/>
      <c r="DC15" s="749"/>
      <c r="DD15" s="327"/>
      <c r="DE15" s="327"/>
      <c r="DF15" s="751"/>
      <c r="DG15" s="749"/>
      <c r="DH15" s="327"/>
      <c r="DI15" s="327"/>
      <c r="DJ15" s="751"/>
    </row>
    <row r="16" spans="1:114" ht="12" customHeight="1">
      <c r="A16" s="774" t="s">
        <v>220</v>
      </c>
      <c r="B16" s="884">
        <v>0</v>
      </c>
      <c r="C16" s="884">
        <v>0</v>
      </c>
      <c r="D16" s="884">
        <v>0</v>
      </c>
      <c r="E16" s="884">
        <v>0</v>
      </c>
      <c r="F16" s="885">
        <v>0</v>
      </c>
      <c r="G16" s="884">
        <v>0</v>
      </c>
      <c r="H16" s="884">
        <v>0</v>
      </c>
      <c r="I16" s="884">
        <v>0</v>
      </c>
      <c r="J16" s="885">
        <v>0</v>
      </c>
      <c r="K16" s="884">
        <v>0</v>
      </c>
      <c r="L16" s="884">
        <v>0</v>
      </c>
      <c r="M16" s="884">
        <v>0</v>
      </c>
      <c r="N16" s="885">
        <v>0</v>
      </c>
      <c r="O16" s="884">
        <v>0</v>
      </c>
      <c r="P16" s="884">
        <v>0</v>
      </c>
      <c r="Q16" s="884">
        <v>0</v>
      </c>
      <c r="R16" s="885">
        <v>0</v>
      </c>
      <c r="S16" s="884">
        <v>0</v>
      </c>
      <c r="T16" s="884">
        <v>0</v>
      </c>
      <c r="U16" s="884">
        <v>482</v>
      </c>
      <c r="V16" s="885">
        <f t="shared" si="10"/>
        <v>147</v>
      </c>
      <c r="W16" s="707">
        <f t="shared" si="11"/>
        <v>-4</v>
      </c>
      <c r="X16" s="707">
        <f t="shared" si="11"/>
        <v>1</v>
      </c>
      <c r="Y16" s="874">
        <f t="shared" si="11"/>
        <v>-1</v>
      </c>
      <c r="Z16" s="885">
        <f t="shared" si="12"/>
        <v>0</v>
      </c>
      <c r="AA16" s="707">
        <f t="shared" si="11"/>
        <v>0</v>
      </c>
      <c r="AB16" s="707">
        <f t="shared" si="11"/>
        <v>0</v>
      </c>
      <c r="AC16" s="874">
        <f t="shared" si="11"/>
        <v>0</v>
      </c>
      <c r="AD16" s="875">
        <v>0</v>
      </c>
      <c r="AE16" s="707">
        <f t="shared" si="13"/>
        <v>0</v>
      </c>
      <c r="AF16" s="707">
        <f t="shared" si="14"/>
        <v>0</v>
      </c>
      <c r="AG16" s="874">
        <f t="shared" si="14"/>
        <v>0</v>
      </c>
      <c r="AH16" s="885">
        <v>35</v>
      </c>
      <c r="AI16" s="707">
        <f t="shared" si="15"/>
        <v>-35</v>
      </c>
      <c r="AJ16" s="707">
        <f t="shared" si="16"/>
        <v>0</v>
      </c>
      <c r="AK16" s="874">
        <f t="shared" si="16"/>
        <v>0</v>
      </c>
      <c r="AL16" s="885">
        <v>0</v>
      </c>
      <c r="AM16" s="707">
        <f t="shared" si="17"/>
        <v>0</v>
      </c>
      <c r="AN16" s="707">
        <f t="shared" si="18"/>
        <v>0</v>
      </c>
      <c r="AO16" s="874">
        <f t="shared" si="18"/>
        <v>0</v>
      </c>
      <c r="AP16" s="885">
        <v>0</v>
      </c>
      <c r="AQ16" s="707">
        <f t="shared" si="19"/>
        <v>0</v>
      </c>
      <c r="AR16" s="707">
        <v>0</v>
      </c>
      <c r="AS16" s="874">
        <v>0</v>
      </c>
      <c r="AT16" s="875">
        <v>0</v>
      </c>
      <c r="AU16" s="707">
        <v>0</v>
      </c>
      <c r="AV16" s="707">
        <v>0</v>
      </c>
      <c r="AW16" s="874">
        <v>0</v>
      </c>
      <c r="AX16" s="875">
        <v>0</v>
      </c>
      <c r="AY16" s="707">
        <v>0</v>
      </c>
      <c r="AZ16" s="707">
        <v>0</v>
      </c>
      <c r="BA16" s="874">
        <v>0</v>
      </c>
      <c r="BB16" s="414"/>
      <c r="BC16" s="656"/>
      <c r="BD16" s="656">
        <f t="shared" ref="BD16:BD18" si="32">+SUM(B16:E16)</f>
        <v>0</v>
      </c>
      <c r="BE16" s="656">
        <f t="shared" ref="BE16:BE18" si="33">+SUM(F16:I16)</f>
        <v>0</v>
      </c>
      <c r="BF16" s="656">
        <f t="shared" ref="BF16:BF18" si="34">+SUM(J16:M16)</f>
        <v>0</v>
      </c>
      <c r="BG16" s="957">
        <f t="shared" ref="BG16:BG18" si="35">SUM(N16:Q16)</f>
        <v>0</v>
      </c>
      <c r="BH16" s="957">
        <f t="shared" ref="BH16:BH18" si="36">SUM(R16:U16)</f>
        <v>482</v>
      </c>
      <c r="BI16" s="957">
        <f t="shared" ref="BI16:BI18" si="37">SUM(V16:Y16)</f>
        <v>143</v>
      </c>
      <c r="BJ16" s="957">
        <f t="shared" ref="BJ16:BJ18" si="38">SUM(Z16:AC16)</f>
        <v>0</v>
      </c>
      <c r="BK16" s="957">
        <f t="shared" ref="BK16:BK18" si="39">SUM(AD16:AG16)</f>
        <v>0</v>
      </c>
      <c r="BL16" s="957">
        <f t="shared" si="31"/>
        <v>0</v>
      </c>
      <c r="BM16" s="957">
        <f t="shared" si="6"/>
        <v>0</v>
      </c>
      <c r="BN16" s="957">
        <f t="shared" si="7"/>
        <v>0</v>
      </c>
      <c r="BO16" s="957">
        <f t="shared" si="8"/>
        <v>0</v>
      </c>
      <c r="BP16" s="957">
        <f t="shared" si="9"/>
        <v>0</v>
      </c>
      <c r="BQ16" s="747"/>
      <c r="BR16" s="1386"/>
      <c r="BS16" s="1385"/>
      <c r="BT16" s="1385"/>
      <c r="BU16" s="110"/>
      <c r="BV16" s="748"/>
      <c r="BW16" s="746"/>
      <c r="BX16" s="110"/>
      <c r="BY16" s="110"/>
      <c r="BZ16" s="748"/>
      <c r="CA16" s="746"/>
      <c r="CB16" s="110"/>
      <c r="CC16" s="110"/>
      <c r="CD16" s="748"/>
      <c r="CE16" s="749"/>
      <c r="CF16" s="327"/>
      <c r="CG16" s="327"/>
      <c r="CH16" s="327"/>
      <c r="CI16" s="750"/>
      <c r="CJ16" s="327"/>
      <c r="CK16" s="327"/>
      <c r="CL16" s="748"/>
      <c r="CM16" s="707">
        <v>147</v>
      </c>
      <c r="CN16" s="110">
        <v>143</v>
      </c>
      <c r="CO16" s="327">
        <v>144</v>
      </c>
      <c r="CP16" s="327">
        <v>143</v>
      </c>
      <c r="CQ16" s="749">
        <v>0</v>
      </c>
      <c r="CR16" s="327">
        <v>0</v>
      </c>
      <c r="CS16" s="327"/>
      <c r="CT16" s="751"/>
      <c r="CU16" s="749"/>
      <c r="CV16" s="327"/>
      <c r="CW16" s="327"/>
      <c r="CX16" s="751"/>
      <c r="CY16" s="749"/>
      <c r="CZ16" s="327"/>
      <c r="DA16" s="327"/>
      <c r="DB16" s="751"/>
      <c r="DC16" s="749"/>
      <c r="DD16" s="327"/>
      <c r="DE16" s="327"/>
      <c r="DF16" s="751"/>
      <c r="DG16" s="749"/>
      <c r="DH16" s="327"/>
      <c r="DI16" s="327"/>
      <c r="DJ16" s="751"/>
    </row>
    <row r="17" spans="1:114" ht="12" hidden="1" customHeight="1" outlineLevel="1">
      <c r="A17" s="774" t="s">
        <v>149</v>
      </c>
      <c r="B17" s="884">
        <v>9</v>
      </c>
      <c r="C17" s="884">
        <v>11</v>
      </c>
      <c r="D17" s="884">
        <v>10</v>
      </c>
      <c r="E17" s="884">
        <v>29</v>
      </c>
      <c r="F17" s="885">
        <v>0</v>
      </c>
      <c r="G17" s="884">
        <v>0</v>
      </c>
      <c r="H17" s="884">
        <v>0</v>
      </c>
      <c r="I17" s="884">
        <v>0</v>
      </c>
      <c r="J17" s="885">
        <v>0</v>
      </c>
      <c r="K17" s="884">
        <v>0</v>
      </c>
      <c r="L17" s="884">
        <v>0</v>
      </c>
      <c r="M17" s="884">
        <v>0</v>
      </c>
      <c r="N17" s="885">
        <v>0</v>
      </c>
      <c r="O17" s="884">
        <v>0</v>
      </c>
      <c r="P17" s="884">
        <v>0</v>
      </c>
      <c r="Q17" s="884">
        <v>0</v>
      </c>
      <c r="R17" s="885">
        <v>0</v>
      </c>
      <c r="S17" s="884">
        <v>0</v>
      </c>
      <c r="T17" s="884">
        <v>0</v>
      </c>
      <c r="U17" s="884">
        <v>0</v>
      </c>
      <c r="V17" s="885">
        <f t="shared" si="10"/>
        <v>0</v>
      </c>
      <c r="W17" s="707">
        <f t="shared" si="11"/>
        <v>0</v>
      </c>
      <c r="X17" s="707">
        <f t="shared" si="11"/>
        <v>0</v>
      </c>
      <c r="Y17" s="874">
        <f t="shared" si="11"/>
        <v>0</v>
      </c>
      <c r="Z17" s="885">
        <f t="shared" si="12"/>
        <v>0</v>
      </c>
      <c r="AA17" s="707">
        <f t="shared" si="11"/>
        <v>0</v>
      </c>
      <c r="AB17" s="707">
        <f t="shared" si="11"/>
        <v>0</v>
      </c>
      <c r="AC17" s="874">
        <f t="shared" si="11"/>
        <v>0</v>
      </c>
      <c r="AD17" s="875">
        <v>0</v>
      </c>
      <c r="AE17" s="707">
        <f t="shared" si="13"/>
        <v>0</v>
      </c>
      <c r="AF17" s="707">
        <f t="shared" si="14"/>
        <v>0</v>
      </c>
      <c r="AG17" s="874">
        <f t="shared" si="14"/>
        <v>0</v>
      </c>
      <c r="AH17" s="885">
        <v>0</v>
      </c>
      <c r="AI17" s="707">
        <f t="shared" si="15"/>
        <v>0</v>
      </c>
      <c r="AJ17" s="707">
        <f t="shared" si="16"/>
        <v>0</v>
      </c>
      <c r="AK17" s="874">
        <f t="shared" si="16"/>
        <v>0</v>
      </c>
      <c r="AL17" s="885">
        <v>0</v>
      </c>
      <c r="AM17" s="707">
        <f t="shared" si="17"/>
        <v>0</v>
      </c>
      <c r="AN17" s="707">
        <f t="shared" si="18"/>
        <v>0</v>
      </c>
      <c r="AO17" s="874">
        <f t="shared" si="18"/>
        <v>0</v>
      </c>
      <c r="AP17" s="885">
        <v>0</v>
      </c>
      <c r="AQ17" s="707">
        <f t="shared" si="19"/>
        <v>0</v>
      </c>
      <c r="AR17" s="707">
        <v>0</v>
      </c>
      <c r="AS17" s="874">
        <v>0</v>
      </c>
      <c r="AT17" s="875">
        <v>0</v>
      </c>
      <c r="AU17" s="707">
        <v>0</v>
      </c>
      <c r="AV17" s="707">
        <v>0</v>
      </c>
      <c r="AW17" s="874">
        <v>0</v>
      </c>
      <c r="AX17" s="875">
        <v>0</v>
      </c>
      <c r="AY17" s="707">
        <v>0</v>
      </c>
      <c r="AZ17" s="707">
        <v>0</v>
      </c>
      <c r="BA17" s="874">
        <v>0</v>
      </c>
      <c r="BB17" s="414"/>
      <c r="BC17" s="656"/>
      <c r="BD17" s="656">
        <f t="shared" si="32"/>
        <v>59</v>
      </c>
      <c r="BE17" s="656">
        <f t="shared" si="33"/>
        <v>0</v>
      </c>
      <c r="BF17" s="656">
        <f t="shared" si="34"/>
        <v>0</v>
      </c>
      <c r="BG17" s="957">
        <f t="shared" si="35"/>
        <v>0</v>
      </c>
      <c r="BH17" s="957">
        <f t="shared" si="36"/>
        <v>0</v>
      </c>
      <c r="BI17" s="957">
        <f t="shared" si="37"/>
        <v>0</v>
      </c>
      <c r="BJ17" s="957">
        <f t="shared" si="38"/>
        <v>0</v>
      </c>
      <c r="BK17" s="957">
        <f t="shared" si="39"/>
        <v>0</v>
      </c>
      <c r="BL17" s="957">
        <f t="shared" si="31"/>
        <v>0</v>
      </c>
      <c r="BM17" s="957">
        <f t="shared" si="6"/>
        <v>0</v>
      </c>
      <c r="BN17" s="957">
        <f t="shared" si="7"/>
        <v>0</v>
      </c>
      <c r="BO17" s="957">
        <f t="shared" si="8"/>
        <v>0</v>
      </c>
      <c r="BP17" s="957">
        <f t="shared" si="9"/>
        <v>0</v>
      </c>
      <c r="BQ17" s="747"/>
      <c r="BR17" s="1386"/>
      <c r="BS17" s="1385"/>
      <c r="BT17" s="1385"/>
      <c r="BU17" s="110"/>
      <c r="BV17" s="748"/>
      <c r="BW17" s="746"/>
      <c r="BX17" s="110"/>
      <c r="BY17" s="110"/>
      <c r="BZ17" s="748"/>
      <c r="CA17" s="746"/>
      <c r="CB17" s="110"/>
      <c r="CC17" s="110"/>
      <c r="CD17" s="748"/>
      <c r="CE17" s="749"/>
      <c r="CF17" s="327"/>
      <c r="CG17" s="327"/>
      <c r="CH17" s="327"/>
      <c r="CI17" s="750"/>
      <c r="CJ17" s="327"/>
      <c r="CK17" s="327"/>
      <c r="CL17" s="748"/>
      <c r="CM17" s="707">
        <v>0</v>
      </c>
      <c r="CN17" s="110">
        <v>0</v>
      </c>
      <c r="CO17" s="327"/>
      <c r="CP17" s="327"/>
      <c r="CQ17" s="749"/>
      <c r="CR17" s="327"/>
      <c r="CS17" s="327"/>
      <c r="CT17" s="751"/>
      <c r="CU17" s="749"/>
      <c r="CV17" s="327"/>
      <c r="CW17" s="327"/>
      <c r="CX17" s="751"/>
      <c r="CY17" s="749"/>
      <c r="CZ17" s="327"/>
      <c r="DA17" s="327"/>
      <c r="DB17" s="751"/>
      <c r="DC17" s="749"/>
      <c r="DD17" s="327"/>
      <c r="DE17" s="327"/>
      <c r="DF17" s="751"/>
      <c r="DG17" s="749"/>
      <c r="DH17" s="327"/>
      <c r="DI17" s="327"/>
      <c r="DJ17" s="751"/>
    </row>
    <row r="18" spans="1:114" ht="12" hidden="1" customHeight="1" outlineLevel="1">
      <c r="A18" s="774" t="s">
        <v>150</v>
      </c>
      <c r="B18" s="884">
        <v>0</v>
      </c>
      <c r="C18" s="884">
        <v>0</v>
      </c>
      <c r="D18" s="884">
        <v>-354</v>
      </c>
      <c r="E18" s="884">
        <v>0</v>
      </c>
      <c r="F18" s="885">
        <v>0</v>
      </c>
      <c r="G18" s="884">
        <v>0</v>
      </c>
      <c r="H18" s="884">
        <v>0</v>
      </c>
      <c r="I18" s="884">
        <v>0</v>
      </c>
      <c r="J18" s="885">
        <v>0</v>
      </c>
      <c r="K18" s="884">
        <v>0</v>
      </c>
      <c r="L18" s="884">
        <v>0</v>
      </c>
      <c r="M18" s="884">
        <v>0</v>
      </c>
      <c r="N18" s="885">
        <v>0</v>
      </c>
      <c r="O18" s="884">
        <v>0</v>
      </c>
      <c r="P18" s="884">
        <v>0</v>
      </c>
      <c r="Q18" s="884">
        <v>0</v>
      </c>
      <c r="R18" s="885">
        <v>0</v>
      </c>
      <c r="S18" s="884">
        <v>0</v>
      </c>
      <c r="T18" s="884">
        <v>0</v>
      </c>
      <c r="U18" s="884">
        <v>0</v>
      </c>
      <c r="V18" s="885">
        <f t="shared" si="10"/>
        <v>0</v>
      </c>
      <c r="W18" s="707">
        <f t="shared" si="11"/>
        <v>0</v>
      </c>
      <c r="X18" s="707">
        <f t="shared" si="11"/>
        <v>0</v>
      </c>
      <c r="Y18" s="874">
        <f t="shared" si="11"/>
        <v>0</v>
      </c>
      <c r="Z18" s="885">
        <f t="shared" si="12"/>
        <v>0</v>
      </c>
      <c r="AA18" s="707">
        <f t="shared" si="11"/>
        <v>0</v>
      </c>
      <c r="AB18" s="707">
        <f t="shared" si="11"/>
        <v>0</v>
      </c>
      <c r="AC18" s="874">
        <f t="shared" si="11"/>
        <v>0</v>
      </c>
      <c r="AD18" s="875">
        <v>0</v>
      </c>
      <c r="AE18" s="707">
        <f t="shared" si="13"/>
        <v>0</v>
      </c>
      <c r="AF18" s="707">
        <f t="shared" si="14"/>
        <v>0</v>
      </c>
      <c r="AG18" s="874">
        <f t="shared" si="14"/>
        <v>0</v>
      </c>
      <c r="AH18" s="885">
        <v>0</v>
      </c>
      <c r="AI18" s="707">
        <f t="shared" si="15"/>
        <v>0</v>
      </c>
      <c r="AJ18" s="707">
        <f t="shared" si="16"/>
        <v>0</v>
      </c>
      <c r="AK18" s="874">
        <f t="shared" si="16"/>
        <v>0</v>
      </c>
      <c r="AL18" s="885">
        <v>0</v>
      </c>
      <c r="AM18" s="707">
        <f t="shared" si="17"/>
        <v>0</v>
      </c>
      <c r="AN18" s="707">
        <f t="shared" si="18"/>
        <v>0</v>
      </c>
      <c r="AO18" s="874">
        <f t="shared" si="18"/>
        <v>0</v>
      </c>
      <c r="AP18" s="885">
        <v>0</v>
      </c>
      <c r="AQ18" s="707">
        <f t="shared" si="19"/>
        <v>0</v>
      </c>
      <c r="AR18" s="707">
        <v>0</v>
      </c>
      <c r="AS18" s="874">
        <v>0</v>
      </c>
      <c r="AT18" s="875">
        <v>0</v>
      </c>
      <c r="AU18" s="707">
        <v>0</v>
      </c>
      <c r="AV18" s="707">
        <v>0</v>
      </c>
      <c r="AW18" s="874">
        <v>0</v>
      </c>
      <c r="AX18" s="875">
        <v>0</v>
      </c>
      <c r="AY18" s="707">
        <v>0</v>
      </c>
      <c r="AZ18" s="707">
        <v>0</v>
      </c>
      <c r="BA18" s="874">
        <v>0</v>
      </c>
      <c r="BB18" s="414"/>
      <c r="BC18" s="656"/>
      <c r="BD18" s="656">
        <f t="shared" si="32"/>
        <v>-354</v>
      </c>
      <c r="BE18" s="656">
        <f t="shared" si="33"/>
        <v>0</v>
      </c>
      <c r="BF18" s="656">
        <f t="shared" si="34"/>
        <v>0</v>
      </c>
      <c r="BG18" s="957">
        <f t="shared" si="35"/>
        <v>0</v>
      </c>
      <c r="BH18" s="957">
        <f t="shared" si="36"/>
        <v>0</v>
      </c>
      <c r="BI18" s="957">
        <f t="shared" si="37"/>
        <v>0</v>
      </c>
      <c r="BJ18" s="957">
        <f t="shared" si="38"/>
        <v>0</v>
      </c>
      <c r="BK18" s="957">
        <f t="shared" si="39"/>
        <v>0</v>
      </c>
      <c r="BL18" s="957">
        <f t="shared" si="31"/>
        <v>0</v>
      </c>
      <c r="BM18" s="957">
        <f t="shared" si="6"/>
        <v>0</v>
      </c>
      <c r="BN18" s="957">
        <f t="shared" si="7"/>
        <v>0</v>
      </c>
      <c r="BO18" s="957">
        <f t="shared" si="8"/>
        <v>0</v>
      </c>
      <c r="BP18" s="957">
        <f t="shared" si="9"/>
        <v>0</v>
      </c>
      <c r="BQ18" s="747"/>
      <c r="BR18" s="1386"/>
      <c r="BS18" s="1385"/>
      <c r="BT18" s="1385"/>
      <c r="BU18" s="110"/>
      <c r="BV18" s="748"/>
      <c r="BW18" s="746"/>
      <c r="BX18" s="110"/>
      <c r="BY18" s="110"/>
      <c r="BZ18" s="748"/>
      <c r="CA18" s="746"/>
      <c r="CB18" s="110"/>
      <c r="CC18" s="110"/>
      <c r="CD18" s="748"/>
      <c r="CE18" s="749"/>
      <c r="CF18" s="327"/>
      <c r="CG18" s="327"/>
      <c r="CH18" s="327"/>
      <c r="CI18" s="750"/>
      <c r="CJ18" s="327"/>
      <c r="CK18" s="327"/>
      <c r="CL18" s="748"/>
      <c r="CM18" s="707">
        <v>0</v>
      </c>
      <c r="CN18" s="110">
        <v>0</v>
      </c>
      <c r="CO18" s="327"/>
      <c r="CP18" s="327"/>
      <c r="CQ18" s="749"/>
      <c r="CR18" s="327"/>
      <c r="CS18" s="327"/>
      <c r="CT18" s="751"/>
      <c r="CU18" s="749"/>
      <c r="CV18" s="327"/>
      <c r="CW18" s="327"/>
      <c r="CX18" s="751"/>
      <c r="CY18" s="749"/>
      <c r="CZ18" s="327"/>
      <c r="DA18" s="327"/>
      <c r="DB18" s="751"/>
      <c r="DC18" s="749"/>
      <c r="DD18" s="327"/>
      <c r="DE18" s="327"/>
      <c r="DF18" s="751"/>
      <c r="DG18" s="749"/>
      <c r="DH18" s="327"/>
      <c r="DI18" s="327"/>
      <c r="DJ18" s="751"/>
    </row>
    <row r="19" spans="1:114" s="288" customFormat="1" ht="12" customHeight="1" collapsed="1">
      <c r="A19" s="886" t="s">
        <v>341</v>
      </c>
      <c r="B19" s="887">
        <f>SUM(B20:B28)</f>
        <v>-298</v>
      </c>
      <c r="C19" s="887">
        <f t="shared" ref="C19:V19" si="40">SUM(C20:C28)</f>
        <v>165</v>
      </c>
      <c r="D19" s="887">
        <f t="shared" si="40"/>
        <v>753</v>
      </c>
      <c r="E19" s="887">
        <f t="shared" si="40"/>
        <v>-450</v>
      </c>
      <c r="F19" s="888">
        <f t="shared" si="40"/>
        <v>-311</v>
      </c>
      <c r="G19" s="887">
        <f t="shared" si="40"/>
        <v>157</v>
      </c>
      <c r="H19" s="887">
        <f t="shared" si="40"/>
        <v>708</v>
      </c>
      <c r="I19" s="887">
        <f t="shared" si="40"/>
        <v>-509</v>
      </c>
      <c r="J19" s="888">
        <f t="shared" si="40"/>
        <v>-236</v>
      </c>
      <c r="K19" s="887">
        <f t="shared" si="40"/>
        <v>-71</v>
      </c>
      <c r="L19" s="887">
        <f t="shared" si="40"/>
        <v>615</v>
      </c>
      <c r="M19" s="887">
        <f t="shared" si="40"/>
        <v>-240</v>
      </c>
      <c r="N19" s="888">
        <f t="shared" si="40"/>
        <v>-332</v>
      </c>
      <c r="O19" s="887">
        <f t="shared" si="40"/>
        <v>5</v>
      </c>
      <c r="P19" s="887">
        <f t="shared" si="40"/>
        <v>735</v>
      </c>
      <c r="Q19" s="887">
        <f t="shared" si="40"/>
        <v>-275</v>
      </c>
      <c r="R19" s="888">
        <f t="shared" si="40"/>
        <v>-354</v>
      </c>
      <c r="S19" s="887">
        <f t="shared" si="40"/>
        <v>-91</v>
      </c>
      <c r="T19" s="887">
        <f t="shared" si="40"/>
        <v>736</v>
      </c>
      <c r="U19" s="887">
        <f t="shared" si="40"/>
        <v>-159</v>
      </c>
      <c r="V19" s="888">
        <f t="shared" si="40"/>
        <v>-428</v>
      </c>
      <c r="W19" s="719">
        <f t="shared" ref="W19" si="41">+SUM(W20:W28)</f>
        <v>13</v>
      </c>
      <c r="X19" s="719">
        <f t="shared" ref="X19:Y19" si="42">+SUM(X20:X28)</f>
        <v>514</v>
      </c>
      <c r="Y19" s="879">
        <f t="shared" si="42"/>
        <v>-110</v>
      </c>
      <c r="Z19" s="888">
        <f t="shared" ref="Z19" si="43">SUM(Z20:Z28)</f>
        <v>-444</v>
      </c>
      <c r="AA19" s="719">
        <f t="shared" ref="AA19:AC19" si="44">+SUM(AA20:AA28)</f>
        <v>-598</v>
      </c>
      <c r="AB19" s="719">
        <f t="shared" si="44"/>
        <v>823</v>
      </c>
      <c r="AC19" s="879">
        <f t="shared" si="44"/>
        <v>-217</v>
      </c>
      <c r="AD19" s="880">
        <f t="shared" ref="AD19:AO19" si="45">+SUM(AD20:AD28)</f>
        <v>-349</v>
      </c>
      <c r="AE19" s="719">
        <f t="shared" si="45"/>
        <v>-308</v>
      </c>
      <c r="AF19" s="719">
        <f t="shared" si="45"/>
        <v>964</v>
      </c>
      <c r="AG19" s="879">
        <f t="shared" si="45"/>
        <v>294</v>
      </c>
      <c r="AH19" s="888">
        <f t="shared" si="45"/>
        <v>-939</v>
      </c>
      <c r="AI19" s="719">
        <f t="shared" ref="AI19:AK19" si="46">+SUM(AI20:AI28)</f>
        <v>-280</v>
      </c>
      <c r="AJ19" s="719">
        <f t="shared" si="46"/>
        <v>928</v>
      </c>
      <c r="AK19" s="879">
        <f t="shared" si="46"/>
        <v>-136</v>
      </c>
      <c r="AL19" s="888">
        <f t="shared" si="45"/>
        <v>-538</v>
      </c>
      <c r="AM19" s="719">
        <f t="shared" si="45"/>
        <v>-17</v>
      </c>
      <c r="AN19" s="719">
        <f t="shared" si="45"/>
        <v>922</v>
      </c>
      <c r="AO19" s="879">
        <f t="shared" si="45"/>
        <v>-573</v>
      </c>
      <c r="AP19" s="888">
        <f t="shared" ref="AP19:AQ19" si="47">+SUM(AP20:AP28)</f>
        <v>-636</v>
      </c>
      <c r="AQ19" s="719">
        <f t="shared" si="47"/>
        <v>13</v>
      </c>
      <c r="AR19" s="719">
        <f t="shared" ref="AR19:AS19" si="48">+SUM(AR20:AR28)</f>
        <v>865.68431163270554</v>
      </c>
      <c r="AS19" s="879">
        <f t="shared" si="48"/>
        <v>174.93779014881375</v>
      </c>
      <c r="AT19" s="880">
        <f t="shared" ref="AT19:AW19" si="49">+SUM(AT20:AT28)</f>
        <v>-211.55292424586196</v>
      </c>
      <c r="AU19" s="719">
        <f t="shared" si="49"/>
        <v>-675.69483059340462</v>
      </c>
      <c r="AV19" s="719">
        <f t="shared" si="49"/>
        <v>915.49743430253341</v>
      </c>
      <c r="AW19" s="879">
        <f t="shared" si="49"/>
        <v>-200.92364967606761</v>
      </c>
      <c r="AX19" s="880">
        <f t="shared" ref="AX19:BA19" si="50">+SUM(AX20:AX28)</f>
        <v>59.516272993105872</v>
      </c>
      <c r="AY19" s="719">
        <f t="shared" si="50"/>
        <v>-768.16006122020815</v>
      </c>
      <c r="AZ19" s="719">
        <f t="shared" si="50"/>
        <v>942.34939919353599</v>
      </c>
      <c r="BA19" s="879">
        <f t="shared" si="50"/>
        <v>-138.29505414837172</v>
      </c>
      <c r="BB19" s="492"/>
      <c r="BC19" s="662"/>
      <c r="BD19" s="662">
        <f t="shared" si="0"/>
        <v>170</v>
      </c>
      <c r="BE19" s="656">
        <f t="shared" si="1"/>
        <v>45</v>
      </c>
      <c r="BF19" s="656">
        <f t="shared" si="2"/>
        <v>68</v>
      </c>
      <c r="BG19" s="957">
        <f t="shared" si="3"/>
        <v>133</v>
      </c>
      <c r="BH19" s="957">
        <f t="shared" si="4"/>
        <v>132</v>
      </c>
      <c r="BI19" s="957">
        <f t="shared" si="28"/>
        <v>-11</v>
      </c>
      <c r="BJ19" s="957">
        <f t="shared" si="29"/>
        <v>-436</v>
      </c>
      <c r="BK19" s="957">
        <f t="shared" si="30"/>
        <v>601</v>
      </c>
      <c r="BL19" s="957">
        <f t="shared" si="31"/>
        <v>-427</v>
      </c>
      <c r="BM19" s="957">
        <f t="shared" si="6"/>
        <v>-206</v>
      </c>
      <c r="BN19" s="957">
        <f t="shared" si="7"/>
        <v>417.62210178151929</v>
      </c>
      <c r="BO19" s="957">
        <f t="shared" si="8"/>
        <v>-172.67397021280078</v>
      </c>
      <c r="BP19" s="957">
        <f t="shared" si="9"/>
        <v>95.410556818061991</v>
      </c>
      <c r="BQ19" s="754"/>
      <c r="BR19" s="1387"/>
      <c r="BS19" s="193">
        <f t="shared" ref="BS19:DF19" si="51">+SUM(BS20:BS28)</f>
        <v>0</v>
      </c>
      <c r="BT19" s="193">
        <f t="shared" si="51"/>
        <v>0</v>
      </c>
      <c r="BU19" s="211">
        <f t="shared" si="51"/>
        <v>0</v>
      </c>
      <c r="BV19" s="753">
        <f t="shared" si="51"/>
        <v>0</v>
      </c>
      <c r="BW19" s="752">
        <f t="shared" si="51"/>
        <v>0</v>
      </c>
      <c r="BX19" s="211">
        <f t="shared" si="51"/>
        <v>0</v>
      </c>
      <c r="BY19" s="211">
        <f t="shared" si="51"/>
        <v>0</v>
      </c>
      <c r="BZ19" s="753">
        <f t="shared" si="51"/>
        <v>0</v>
      </c>
      <c r="CA19" s="752">
        <f t="shared" si="51"/>
        <v>0</v>
      </c>
      <c r="CB19" s="211">
        <f t="shared" si="51"/>
        <v>0</v>
      </c>
      <c r="CC19" s="211">
        <f t="shared" si="51"/>
        <v>0</v>
      </c>
      <c r="CD19" s="753">
        <f t="shared" si="51"/>
        <v>0</v>
      </c>
      <c r="CE19" s="755">
        <f t="shared" si="51"/>
        <v>0</v>
      </c>
      <c r="CF19" s="324">
        <f t="shared" si="51"/>
        <v>0</v>
      </c>
      <c r="CG19" s="324">
        <f t="shared" si="51"/>
        <v>0</v>
      </c>
      <c r="CH19" s="324">
        <f t="shared" si="51"/>
        <v>0</v>
      </c>
      <c r="CI19" s="756">
        <f t="shared" si="51"/>
        <v>0</v>
      </c>
      <c r="CJ19" s="324">
        <f t="shared" si="51"/>
        <v>0</v>
      </c>
      <c r="CK19" s="324">
        <f t="shared" si="51"/>
        <v>0</v>
      </c>
      <c r="CL19" s="753">
        <f t="shared" si="51"/>
        <v>0</v>
      </c>
      <c r="CM19" s="880">
        <f t="shared" si="51"/>
        <v>-428</v>
      </c>
      <c r="CN19" s="211">
        <f t="shared" si="51"/>
        <v>-415</v>
      </c>
      <c r="CO19" s="324">
        <f t="shared" si="51"/>
        <v>99</v>
      </c>
      <c r="CP19" s="324">
        <f t="shared" ref="CP19" si="52">+SUM(CP20:CP28)</f>
        <v>-11</v>
      </c>
      <c r="CQ19" s="755">
        <f t="shared" si="51"/>
        <v>-444</v>
      </c>
      <c r="CR19" s="324">
        <f t="shared" si="51"/>
        <v>-1042</v>
      </c>
      <c r="CS19" s="324">
        <f t="shared" si="51"/>
        <v>-219</v>
      </c>
      <c r="CT19" s="757">
        <f t="shared" si="51"/>
        <v>-436</v>
      </c>
      <c r="CU19" s="755">
        <f t="shared" si="51"/>
        <v>0</v>
      </c>
      <c r="CV19" s="324">
        <f t="shared" ref="CV19" si="53">+SUM(CV20:CV28)</f>
        <v>-657</v>
      </c>
      <c r="CW19" s="324">
        <f t="shared" si="51"/>
        <v>307</v>
      </c>
      <c r="CX19" s="757">
        <f t="shared" si="51"/>
        <v>601</v>
      </c>
      <c r="CY19" s="755">
        <f t="shared" si="51"/>
        <v>0</v>
      </c>
      <c r="CZ19" s="324">
        <f t="shared" si="51"/>
        <v>-1219</v>
      </c>
      <c r="DA19" s="324">
        <f t="shared" si="51"/>
        <v>-291</v>
      </c>
      <c r="DB19" s="757">
        <f t="shared" ref="DB19" si="54">+SUM(DB20:DB28)</f>
        <v>-427</v>
      </c>
      <c r="DC19" s="755">
        <f t="shared" si="51"/>
        <v>0</v>
      </c>
      <c r="DD19" s="324">
        <f t="shared" ref="DD19" si="55">+SUM(DD20:DD28)</f>
        <v>-555</v>
      </c>
      <c r="DE19" s="324">
        <f t="shared" si="51"/>
        <v>367</v>
      </c>
      <c r="DF19" s="757">
        <f t="shared" si="51"/>
        <v>-206</v>
      </c>
      <c r="DG19" s="755">
        <f t="shared" ref="DG19:DH19" si="56">+SUM(DG20:DG28)</f>
        <v>0</v>
      </c>
      <c r="DH19" s="324">
        <f t="shared" si="56"/>
        <v>-623</v>
      </c>
      <c r="DI19" s="324"/>
      <c r="DJ19" s="757"/>
    </row>
    <row r="20" spans="1:114" ht="12" customHeight="1">
      <c r="A20" s="889" t="s">
        <v>34</v>
      </c>
      <c r="B20" s="884">
        <v>-28</v>
      </c>
      <c r="C20" s="884">
        <v>-403</v>
      </c>
      <c r="D20" s="884">
        <v>306</v>
      </c>
      <c r="E20" s="884">
        <v>105</v>
      </c>
      <c r="F20" s="885">
        <v>-14</v>
      </c>
      <c r="G20" s="884">
        <v>-399</v>
      </c>
      <c r="H20" s="884">
        <v>275</v>
      </c>
      <c r="I20" s="884">
        <v>143</v>
      </c>
      <c r="J20" s="885">
        <v>-14</v>
      </c>
      <c r="K20" s="884">
        <v>-414</v>
      </c>
      <c r="L20" s="884">
        <v>221</v>
      </c>
      <c r="M20" s="884">
        <v>212</v>
      </c>
      <c r="N20" s="885">
        <v>21</v>
      </c>
      <c r="O20" s="884">
        <v>-477</v>
      </c>
      <c r="P20" s="884">
        <v>291</v>
      </c>
      <c r="Q20" s="884">
        <v>176</v>
      </c>
      <c r="R20" s="885">
        <v>-16</v>
      </c>
      <c r="S20" s="884">
        <v>-500</v>
      </c>
      <c r="T20" s="884">
        <v>384</v>
      </c>
      <c r="U20" s="884">
        <v>73</v>
      </c>
      <c r="V20" s="885">
        <f t="shared" ref="V20:V28" si="57">+CM20</f>
        <v>47</v>
      </c>
      <c r="W20" s="707">
        <f t="shared" ref="W20:AC28" si="58">+CN20-CM20</f>
        <v>-225</v>
      </c>
      <c r="X20" s="707">
        <f t="shared" si="58"/>
        <v>-89</v>
      </c>
      <c r="Y20" s="874">
        <f t="shared" si="58"/>
        <v>163</v>
      </c>
      <c r="Z20" s="885">
        <f t="shared" ref="Z20:Z28" si="59">+CQ20</f>
        <v>-21</v>
      </c>
      <c r="AA20" s="707">
        <f t="shared" si="58"/>
        <v>-451</v>
      </c>
      <c r="AB20" s="707">
        <f t="shared" si="58"/>
        <v>149</v>
      </c>
      <c r="AC20" s="874">
        <f t="shared" si="58"/>
        <v>292</v>
      </c>
      <c r="AD20" s="875">
        <f>+'Balance Sheet'!AC8-'Balance Sheet'!AD8</f>
        <v>62</v>
      </c>
      <c r="AE20" s="707">
        <f t="shared" si="13"/>
        <v>-518</v>
      </c>
      <c r="AF20" s="707">
        <f t="shared" ref="AF20:AG28" si="60">+CW20-CV20</f>
        <v>187</v>
      </c>
      <c r="AG20" s="964">
        <f t="shared" si="60"/>
        <v>311</v>
      </c>
      <c r="AH20" s="885">
        <v>33</v>
      </c>
      <c r="AI20" s="707">
        <f t="shared" si="15"/>
        <v>-555</v>
      </c>
      <c r="AJ20" s="707">
        <f t="shared" ref="AJ20:AK28" si="61">+DA20-CZ20</f>
        <v>138</v>
      </c>
      <c r="AK20" s="964">
        <f t="shared" si="61"/>
        <v>334</v>
      </c>
      <c r="AL20" s="885">
        <v>31</v>
      </c>
      <c r="AM20" s="707">
        <f t="shared" si="17"/>
        <v>-591</v>
      </c>
      <c r="AN20" s="707">
        <f t="shared" ref="AN20:AO28" si="62">+DE20-DD20</f>
        <v>293</v>
      </c>
      <c r="AO20" s="964">
        <f t="shared" si="62"/>
        <v>196</v>
      </c>
      <c r="AP20" s="885">
        <v>-49</v>
      </c>
      <c r="AQ20" s="707">
        <f t="shared" si="19"/>
        <v>-596</v>
      </c>
      <c r="AR20" s="905">
        <f>+'Balance Sheet'!AQ8-'Balance Sheet'!AR8</f>
        <v>382.41234459633733</v>
      </c>
      <c r="AS20" s="1247">
        <f>+'Balance Sheet'!AR8-'Balance Sheet'!AS8</f>
        <v>204.25756534884681</v>
      </c>
      <c r="AT20" s="1340">
        <f>+'Balance Sheet'!AS8-'Balance Sheet'!AT8</f>
        <v>-118.40987397966876</v>
      </c>
      <c r="AU20" s="905">
        <f>+'Balance Sheet'!AT8-'Balance Sheet'!AU8</f>
        <v>-690.64297305764092</v>
      </c>
      <c r="AV20" s="905">
        <f>+'Balance Sheet'!AU8-'Balance Sheet'!AV8</f>
        <v>426.77238711185089</v>
      </c>
      <c r="AW20" s="1247">
        <f>+'Balance Sheet'!AV8-'Balance Sheet'!AW8</f>
        <v>262.09234470165563</v>
      </c>
      <c r="AX20" s="1340">
        <f>+'Balance Sheet'!AW8-'Balance Sheet'!AX8</f>
        <v>-142.55736469099475</v>
      </c>
      <c r="AY20" s="905">
        <f>+'Balance Sheet'!AX8-'Balance Sheet'!AY8</f>
        <v>-802.56118504317215</v>
      </c>
      <c r="AZ20" s="905">
        <f>+'Balance Sheet'!AY8-'Balance Sheet'!AZ8</f>
        <v>473.38155098940706</v>
      </c>
      <c r="BA20" s="1247">
        <f>+'Balance Sheet'!AZ8-'Balance Sheet'!BA8</f>
        <v>325.59368045399242</v>
      </c>
      <c r="BB20" s="414"/>
      <c r="BC20" s="656"/>
      <c r="BD20" s="656">
        <f t="shared" si="0"/>
        <v>-20</v>
      </c>
      <c r="BE20" s="656">
        <f t="shared" si="1"/>
        <v>5</v>
      </c>
      <c r="BF20" s="656">
        <f t="shared" si="2"/>
        <v>5</v>
      </c>
      <c r="BG20" s="957">
        <f t="shared" si="3"/>
        <v>11</v>
      </c>
      <c r="BH20" s="957">
        <f t="shared" si="4"/>
        <v>-59</v>
      </c>
      <c r="BI20" s="957">
        <f t="shared" si="28"/>
        <v>-104</v>
      </c>
      <c r="BJ20" s="957">
        <f t="shared" si="29"/>
        <v>-31</v>
      </c>
      <c r="BK20" s="957">
        <f t="shared" si="30"/>
        <v>42</v>
      </c>
      <c r="BL20" s="957">
        <f t="shared" si="31"/>
        <v>-50</v>
      </c>
      <c r="BM20" s="957">
        <f t="shared" si="6"/>
        <v>-71</v>
      </c>
      <c r="BN20" s="957">
        <f t="shared" si="7"/>
        <v>-58.330090054815855</v>
      </c>
      <c r="BO20" s="957">
        <f t="shared" si="8"/>
        <v>-120.18811522380315</v>
      </c>
      <c r="BP20" s="957">
        <f t="shared" si="9"/>
        <v>-146.14331829076741</v>
      </c>
      <c r="BQ20" s="747"/>
      <c r="BR20" s="1386"/>
      <c r="BS20" s="1385"/>
      <c r="BT20" s="1385"/>
      <c r="BU20" s="110"/>
      <c r="BV20" s="748"/>
      <c r="BW20" s="746"/>
      <c r="BX20" s="110"/>
      <c r="BY20" s="110"/>
      <c r="BZ20" s="748"/>
      <c r="CA20" s="746"/>
      <c r="CB20" s="110"/>
      <c r="CC20" s="110"/>
      <c r="CD20" s="748"/>
      <c r="CE20" s="749"/>
      <c r="CF20" s="327"/>
      <c r="CG20" s="327"/>
      <c r="CH20" s="327"/>
      <c r="CI20" s="750"/>
      <c r="CJ20" s="327"/>
      <c r="CK20" s="327"/>
      <c r="CL20" s="748"/>
      <c r="CM20" s="875">
        <v>47</v>
      </c>
      <c r="CN20" s="110">
        <v>-178</v>
      </c>
      <c r="CO20" s="327">
        <v>-267</v>
      </c>
      <c r="CP20" s="327">
        <v>-104</v>
      </c>
      <c r="CQ20" s="749">
        <v>-21</v>
      </c>
      <c r="CR20" s="327">
        <v>-472</v>
      </c>
      <c r="CS20" s="327">
        <v>-323</v>
      </c>
      <c r="CT20" s="751">
        <v>-31</v>
      </c>
      <c r="CU20" s="749"/>
      <c r="CV20" s="327">
        <v>-456</v>
      </c>
      <c r="CW20" s="327">
        <v>-269</v>
      </c>
      <c r="CX20" s="751">
        <v>42</v>
      </c>
      <c r="CY20" s="749"/>
      <c r="CZ20" s="327">
        <v>-522</v>
      </c>
      <c r="DA20" s="327">
        <v>-384</v>
      </c>
      <c r="DB20" s="751">
        <f>-96+98-52</f>
        <v>-50</v>
      </c>
      <c r="DC20" s="749"/>
      <c r="DD20" s="327">
        <v>-560</v>
      </c>
      <c r="DE20" s="327">
        <v>-267</v>
      </c>
      <c r="DF20" s="751">
        <v>-71</v>
      </c>
      <c r="DG20" s="749"/>
      <c r="DH20" s="327">
        <v>-645</v>
      </c>
      <c r="DI20" s="327"/>
      <c r="DJ20" s="751"/>
    </row>
    <row r="21" spans="1:114" ht="12" customHeight="1">
      <c r="A21" s="889" t="s">
        <v>110</v>
      </c>
      <c r="B21" s="884">
        <v>-17</v>
      </c>
      <c r="C21" s="884">
        <v>-9</v>
      </c>
      <c r="D21" s="884">
        <v>105</v>
      </c>
      <c r="E21" s="884">
        <v>-15</v>
      </c>
      <c r="F21" s="885">
        <v>-38</v>
      </c>
      <c r="G21" s="884">
        <v>17</v>
      </c>
      <c r="H21" s="884">
        <v>40</v>
      </c>
      <c r="I21" s="884">
        <v>-63</v>
      </c>
      <c r="J21" s="885">
        <v>2</v>
      </c>
      <c r="K21" s="884">
        <v>29</v>
      </c>
      <c r="L21" s="884">
        <v>31</v>
      </c>
      <c r="M21" s="884">
        <v>-63</v>
      </c>
      <c r="N21" s="885">
        <v>-47</v>
      </c>
      <c r="O21" s="884">
        <v>46</v>
      </c>
      <c r="P21" s="884">
        <v>68</v>
      </c>
      <c r="Q21" s="884">
        <v>-62</v>
      </c>
      <c r="R21" s="885">
        <v>-22</v>
      </c>
      <c r="S21" s="884">
        <v>35</v>
      </c>
      <c r="T21" s="884">
        <v>45</v>
      </c>
      <c r="U21" s="884">
        <v>-5</v>
      </c>
      <c r="V21" s="885">
        <f t="shared" si="57"/>
        <v>-17</v>
      </c>
      <c r="W21" s="707">
        <f t="shared" si="58"/>
        <v>-65</v>
      </c>
      <c r="X21" s="707">
        <f t="shared" si="58"/>
        <v>150</v>
      </c>
      <c r="Y21" s="874">
        <f t="shared" si="58"/>
        <v>-119</v>
      </c>
      <c r="Z21" s="885">
        <f t="shared" si="59"/>
        <v>11</v>
      </c>
      <c r="AA21" s="707">
        <f t="shared" si="58"/>
        <v>-128</v>
      </c>
      <c r="AB21" s="707">
        <f t="shared" si="58"/>
        <v>234</v>
      </c>
      <c r="AC21" s="874">
        <f t="shared" si="58"/>
        <v>-88</v>
      </c>
      <c r="AD21" s="875">
        <v>6</v>
      </c>
      <c r="AE21" s="707">
        <f t="shared" si="13"/>
        <v>21</v>
      </c>
      <c r="AF21" s="707">
        <f t="shared" si="60"/>
        <v>64</v>
      </c>
      <c r="AG21" s="964">
        <f t="shared" si="60"/>
        <v>-27</v>
      </c>
      <c r="AH21" s="885">
        <v>12</v>
      </c>
      <c r="AI21" s="707">
        <f t="shared" si="15"/>
        <v>-109</v>
      </c>
      <c r="AJ21" s="707">
        <f t="shared" si="61"/>
        <v>122</v>
      </c>
      <c r="AK21" s="964">
        <f t="shared" si="61"/>
        <v>-73</v>
      </c>
      <c r="AL21" s="885">
        <v>51</v>
      </c>
      <c r="AM21" s="707">
        <f t="shared" si="17"/>
        <v>-64</v>
      </c>
      <c r="AN21" s="707">
        <f t="shared" si="62"/>
        <v>82</v>
      </c>
      <c r="AO21" s="964">
        <f t="shared" si="62"/>
        <v>-42</v>
      </c>
      <c r="AP21" s="885">
        <v>19</v>
      </c>
      <c r="AQ21" s="707">
        <f t="shared" si="19"/>
        <v>-52</v>
      </c>
      <c r="AR21" s="905">
        <f>+'Balance Sheet'!AQ9-'Balance Sheet'!AR9</f>
        <v>0</v>
      </c>
      <c r="AS21" s="1247">
        <f>+'Balance Sheet'!AR9-'Balance Sheet'!AS9</f>
        <v>0</v>
      </c>
      <c r="AT21" s="1340">
        <f>+'Balance Sheet'!AS9-'Balance Sheet'!AT9</f>
        <v>0</v>
      </c>
      <c r="AU21" s="905">
        <f>+'Balance Sheet'!AT9-'Balance Sheet'!AU9</f>
        <v>0</v>
      </c>
      <c r="AV21" s="905">
        <f>+'Balance Sheet'!AU9-'Balance Sheet'!AV9</f>
        <v>0</v>
      </c>
      <c r="AW21" s="1247">
        <f>+'Balance Sheet'!AV9-'Balance Sheet'!AW9</f>
        <v>0</v>
      </c>
      <c r="AX21" s="1340">
        <f>+'Balance Sheet'!AW9-'Balance Sheet'!AX9</f>
        <v>0</v>
      </c>
      <c r="AY21" s="905">
        <f>+'Balance Sheet'!AX9-'Balance Sheet'!AY9</f>
        <v>0</v>
      </c>
      <c r="AZ21" s="905">
        <f>+'Balance Sheet'!AY9-'Balance Sheet'!AZ9</f>
        <v>0</v>
      </c>
      <c r="BA21" s="1247">
        <f>+'Balance Sheet'!AZ9-'Balance Sheet'!BA9</f>
        <v>0</v>
      </c>
      <c r="BB21" s="414"/>
      <c r="BC21" s="656"/>
      <c r="BD21" s="656">
        <f t="shared" si="0"/>
        <v>64</v>
      </c>
      <c r="BE21" s="656">
        <f t="shared" si="1"/>
        <v>-44</v>
      </c>
      <c r="BF21" s="656">
        <f t="shared" si="2"/>
        <v>-1</v>
      </c>
      <c r="BG21" s="957">
        <f t="shared" si="3"/>
        <v>5</v>
      </c>
      <c r="BH21" s="957">
        <f t="shared" si="4"/>
        <v>53</v>
      </c>
      <c r="BI21" s="957">
        <f t="shared" si="28"/>
        <v>-51</v>
      </c>
      <c r="BJ21" s="957">
        <f t="shared" si="29"/>
        <v>29</v>
      </c>
      <c r="BK21" s="957">
        <f t="shared" si="30"/>
        <v>64</v>
      </c>
      <c r="BL21" s="957">
        <f t="shared" si="31"/>
        <v>-48</v>
      </c>
      <c r="BM21" s="957">
        <f t="shared" si="6"/>
        <v>27</v>
      </c>
      <c r="BN21" s="957">
        <f t="shared" si="7"/>
        <v>-33</v>
      </c>
      <c r="BO21" s="957">
        <f t="shared" si="8"/>
        <v>0</v>
      </c>
      <c r="BP21" s="957">
        <f t="shared" si="9"/>
        <v>0</v>
      </c>
      <c r="BQ21" s="747"/>
      <c r="BR21" s="1386"/>
      <c r="BS21" s="1385"/>
      <c r="BT21" s="1385"/>
      <c r="BU21" s="110"/>
      <c r="BV21" s="748"/>
      <c r="BW21" s="746"/>
      <c r="BX21" s="110"/>
      <c r="BY21" s="110"/>
      <c r="BZ21" s="748"/>
      <c r="CA21" s="746"/>
      <c r="CB21" s="110"/>
      <c r="CC21" s="110"/>
      <c r="CD21" s="748"/>
      <c r="CE21" s="749"/>
      <c r="CF21" s="327"/>
      <c r="CG21" s="327"/>
      <c r="CH21" s="327"/>
      <c r="CI21" s="750"/>
      <c r="CJ21" s="327"/>
      <c r="CK21" s="327"/>
      <c r="CL21" s="748"/>
      <c r="CM21" s="875">
        <v>-17</v>
      </c>
      <c r="CN21" s="110">
        <v>-82</v>
      </c>
      <c r="CO21" s="327">
        <v>68</v>
      </c>
      <c r="CP21" s="327">
        <v>-51</v>
      </c>
      <c r="CQ21" s="749">
        <v>11</v>
      </c>
      <c r="CR21" s="327">
        <v>-117</v>
      </c>
      <c r="CS21" s="327">
        <v>117</v>
      </c>
      <c r="CT21" s="751">
        <v>29</v>
      </c>
      <c r="CU21" s="749"/>
      <c r="CV21" s="327">
        <v>27</v>
      </c>
      <c r="CW21" s="327">
        <v>91</v>
      </c>
      <c r="CX21" s="751">
        <v>64</v>
      </c>
      <c r="CY21" s="749"/>
      <c r="CZ21" s="327">
        <v>-97</v>
      </c>
      <c r="DA21" s="327">
        <v>25</v>
      </c>
      <c r="DB21" s="751">
        <v>-48</v>
      </c>
      <c r="DC21" s="749"/>
      <c r="DD21" s="327">
        <v>-13</v>
      </c>
      <c r="DE21" s="327">
        <v>69</v>
      </c>
      <c r="DF21" s="751">
        <v>27</v>
      </c>
      <c r="DG21" s="749"/>
      <c r="DH21" s="327">
        <v>-33</v>
      </c>
      <c r="DI21" s="327"/>
      <c r="DJ21" s="751"/>
    </row>
    <row r="22" spans="1:114" ht="12" customHeight="1">
      <c r="A22" s="889" t="s">
        <v>93</v>
      </c>
      <c r="B22" s="884">
        <v>-29</v>
      </c>
      <c r="C22" s="884">
        <v>11</v>
      </c>
      <c r="D22" s="884">
        <v>3</v>
      </c>
      <c r="E22" s="884">
        <v>5</v>
      </c>
      <c r="F22" s="885">
        <v>-50</v>
      </c>
      <c r="G22" s="884">
        <v>-8</v>
      </c>
      <c r="H22" s="884">
        <v>63</v>
      </c>
      <c r="I22" s="884">
        <v>-14</v>
      </c>
      <c r="J22" s="885">
        <v>-25</v>
      </c>
      <c r="K22" s="884">
        <v>-40</v>
      </c>
      <c r="L22" s="884">
        <v>28</v>
      </c>
      <c r="M22" s="884">
        <v>4</v>
      </c>
      <c r="N22" s="885">
        <v>-72</v>
      </c>
      <c r="O22" s="884">
        <v>18</v>
      </c>
      <c r="P22" s="884">
        <v>24</v>
      </c>
      <c r="Q22" s="884">
        <v>-7</v>
      </c>
      <c r="R22" s="885">
        <v>-63</v>
      </c>
      <c r="S22" s="884">
        <v>-19</v>
      </c>
      <c r="T22" s="884">
        <v>27</v>
      </c>
      <c r="U22" s="884">
        <v>24</v>
      </c>
      <c r="V22" s="885">
        <f t="shared" si="57"/>
        <v>-38</v>
      </c>
      <c r="W22" s="707">
        <f t="shared" si="58"/>
        <v>-25</v>
      </c>
      <c r="X22" s="707">
        <f t="shared" si="58"/>
        <v>56</v>
      </c>
      <c r="Y22" s="874">
        <f t="shared" si="58"/>
        <v>37</v>
      </c>
      <c r="Z22" s="885">
        <f t="shared" si="59"/>
        <v>-31</v>
      </c>
      <c r="AA22" s="707">
        <f t="shared" si="58"/>
        <v>-102</v>
      </c>
      <c r="AB22" s="707">
        <f t="shared" si="58"/>
        <v>45</v>
      </c>
      <c r="AC22" s="874">
        <f t="shared" si="58"/>
        <v>-33</v>
      </c>
      <c r="AD22" s="875">
        <v>-35</v>
      </c>
      <c r="AE22" s="707">
        <f t="shared" si="13"/>
        <v>-73</v>
      </c>
      <c r="AF22" s="707">
        <f t="shared" si="60"/>
        <v>-178</v>
      </c>
      <c r="AG22" s="964">
        <f t="shared" si="60"/>
        <v>211</v>
      </c>
      <c r="AH22" s="885">
        <v>-33</v>
      </c>
      <c r="AI22" s="707">
        <f t="shared" si="15"/>
        <v>29</v>
      </c>
      <c r="AJ22" s="707">
        <f t="shared" si="61"/>
        <v>22</v>
      </c>
      <c r="AK22" s="964">
        <f t="shared" si="61"/>
        <v>-48</v>
      </c>
      <c r="AL22" s="885">
        <v>-27</v>
      </c>
      <c r="AM22" s="707">
        <f t="shared" si="17"/>
        <v>-181</v>
      </c>
      <c r="AN22" s="707">
        <f t="shared" si="62"/>
        <v>-19</v>
      </c>
      <c r="AO22" s="964">
        <f t="shared" si="62"/>
        <v>-56</v>
      </c>
      <c r="AP22" s="885">
        <v>-119</v>
      </c>
      <c r="AQ22" s="707">
        <f t="shared" si="19"/>
        <v>-85</v>
      </c>
      <c r="AR22" s="905">
        <f>+('Balance Sheet'!AQ10+'Balance Sheet'!AQ22)-('Balance Sheet'!AR10+'Balance Sheet'!AR22)</f>
        <v>678.49602269796242</v>
      </c>
      <c r="AS22" s="1247">
        <f>+('Balance Sheet'!AR10+'Balance Sheet'!AR22)-('Balance Sheet'!AS10+'Balance Sheet'!AS22)</f>
        <v>9.9158175526249579</v>
      </c>
      <c r="AT22" s="1340">
        <f>+('Balance Sheet'!AS10+'Balance Sheet'!AS22)-('Balance Sheet'!AT10+'Balance Sheet'!AT22)</f>
        <v>-165.7307591695062</v>
      </c>
      <c r="AU22" s="905">
        <f>+('Balance Sheet'!AT10+'Balance Sheet'!AT22)-('Balance Sheet'!AU10+'Balance Sheet'!AU22)</f>
        <v>-695.91600731417248</v>
      </c>
      <c r="AV22" s="905">
        <f>+('Balance Sheet'!AU10+'Balance Sheet'!AU22)-('Balance Sheet'!AV10+'Balance Sheet'!AV22)</f>
        <v>797.936102148798</v>
      </c>
      <c r="AW22" s="1247">
        <f>+('Balance Sheet'!AV10+'Balance Sheet'!AV22)-('Balance Sheet'!AW10+'Balance Sheet'!AW22)</f>
        <v>-9.8255454543505039E-2</v>
      </c>
      <c r="AX22" s="1340">
        <f>+('Balance Sheet'!AW10+'Balance Sheet'!AW22)-('Balance Sheet'!AX10+'Balance Sheet'!AX22)</f>
        <v>-192.91611194895358</v>
      </c>
      <c r="AY22" s="905">
        <f>+('Balance Sheet'!AX10+'Balance Sheet'!AX22)-('Balance Sheet'!AY10+'Balance Sheet'!AY22)</f>
        <v>-797.191623970416</v>
      </c>
      <c r="AZ22" s="905">
        <f>+('Balance Sheet'!AY10+'Balance Sheet'!AY22)-('Balance Sheet'!AZ10+'Balance Sheet'!AZ22)</f>
        <v>928.52718643914068</v>
      </c>
      <c r="BA22" s="1247">
        <f>+('Balance Sheet'!AZ10+'Balance Sheet'!AZ22)-('Balance Sheet'!BA10+'Balance Sheet'!BA22)</f>
        <v>-14.469952962931984</v>
      </c>
      <c r="BB22" s="414"/>
      <c r="BC22" s="656"/>
      <c r="BD22" s="656">
        <f t="shared" si="0"/>
        <v>-10</v>
      </c>
      <c r="BE22" s="656">
        <f t="shared" si="1"/>
        <v>-9</v>
      </c>
      <c r="BF22" s="656">
        <f t="shared" si="2"/>
        <v>-33</v>
      </c>
      <c r="BG22" s="957">
        <f t="shared" si="3"/>
        <v>-37</v>
      </c>
      <c r="BH22" s="957">
        <f t="shared" si="4"/>
        <v>-31</v>
      </c>
      <c r="BI22" s="957">
        <f t="shared" si="28"/>
        <v>30</v>
      </c>
      <c r="BJ22" s="957">
        <f t="shared" si="29"/>
        <v>-121</v>
      </c>
      <c r="BK22" s="957">
        <f t="shared" si="30"/>
        <v>-75</v>
      </c>
      <c r="BL22" s="957">
        <f t="shared" si="31"/>
        <v>-30</v>
      </c>
      <c r="BM22" s="957">
        <f t="shared" si="6"/>
        <v>-283</v>
      </c>
      <c r="BN22" s="957">
        <f t="shared" si="7"/>
        <v>484.41184025058737</v>
      </c>
      <c r="BO22" s="957">
        <f t="shared" si="8"/>
        <v>-63.808919789424181</v>
      </c>
      <c r="BP22" s="957">
        <f t="shared" si="9"/>
        <v>-76.050502443160894</v>
      </c>
      <c r="BQ22" s="747"/>
      <c r="BR22" s="1386"/>
      <c r="BS22" s="1385"/>
      <c r="BT22" s="1385"/>
      <c r="BU22" s="110"/>
      <c r="BV22" s="748"/>
      <c r="BW22" s="746"/>
      <c r="BX22" s="110"/>
      <c r="BY22" s="110"/>
      <c r="BZ22" s="748"/>
      <c r="CA22" s="746"/>
      <c r="CB22" s="110"/>
      <c r="CC22" s="110"/>
      <c r="CD22" s="748"/>
      <c r="CE22" s="749"/>
      <c r="CF22" s="327"/>
      <c r="CG22" s="327"/>
      <c r="CH22" s="327"/>
      <c r="CI22" s="750"/>
      <c r="CJ22" s="327"/>
      <c r="CK22" s="327"/>
      <c r="CL22" s="748"/>
      <c r="CM22" s="875">
        <v>-38</v>
      </c>
      <c r="CN22" s="110">
        <v>-63</v>
      </c>
      <c r="CO22" s="327">
        <v>-7</v>
      </c>
      <c r="CP22" s="327">
        <v>30</v>
      </c>
      <c r="CQ22" s="749">
        <v>-31</v>
      </c>
      <c r="CR22" s="327">
        <v>-133</v>
      </c>
      <c r="CS22" s="327">
        <v>-88</v>
      </c>
      <c r="CT22" s="751">
        <v>-121</v>
      </c>
      <c r="CU22" s="749"/>
      <c r="CV22" s="327">
        <v>-108</v>
      </c>
      <c r="CW22" s="327">
        <v>-286</v>
      </c>
      <c r="CX22" s="751">
        <v>-75</v>
      </c>
      <c r="CY22" s="749"/>
      <c r="CZ22" s="327">
        <v>-4</v>
      </c>
      <c r="DA22" s="327">
        <v>18</v>
      </c>
      <c r="DB22" s="751">
        <v>-30</v>
      </c>
      <c r="DC22" s="749"/>
      <c r="DD22" s="327">
        <v>-208</v>
      </c>
      <c r="DE22" s="327">
        <v>-227</v>
      </c>
      <c r="DF22" s="751">
        <v>-283</v>
      </c>
      <c r="DG22" s="749"/>
      <c r="DH22" s="327">
        <v>-204</v>
      </c>
      <c r="DI22" s="327"/>
      <c r="DJ22" s="751"/>
    </row>
    <row r="23" spans="1:114" ht="12" customHeight="1">
      <c r="A23" s="889" t="s">
        <v>94</v>
      </c>
      <c r="B23" s="884">
        <v>-6</v>
      </c>
      <c r="C23" s="884">
        <v>109</v>
      </c>
      <c r="D23" s="884">
        <v>-26</v>
      </c>
      <c r="E23" s="884">
        <v>-100</v>
      </c>
      <c r="F23" s="885">
        <v>-2</v>
      </c>
      <c r="G23" s="884">
        <v>95</v>
      </c>
      <c r="H23" s="884">
        <v>11</v>
      </c>
      <c r="I23" s="884">
        <v>-104</v>
      </c>
      <c r="J23" s="885">
        <v>61</v>
      </c>
      <c r="K23" s="884">
        <v>115</v>
      </c>
      <c r="L23" s="884">
        <v>-16</v>
      </c>
      <c r="M23" s="884">
        <v>-148</v>
      </c>
      <c r="N23" s="885">
        <v>24</v>
      </c>
      <c r="O23" s="884">
        <v>186</v>
      </c>
      <c r="P23" s="884">
        <v>-5</v>
      </c>
      <c r="Q23" s="884">
        <v>-115</v>
      </c>
      <c r="R23" s="885">
        <v>-5</v>
      </c>
      <c r="S23" s="884">
        <v>180</v>
      </c>
      <c r="T23" s="884">
        <v>-64</v>
      </c>
      <c r="U23" s="884">
        <v>-78</v>
      </c>
      <c r="V23" s="885">
        <f t="shared" si="57"/>
        <v>-58</v>
      </c>
      <c r="W23" s="707">
        <f t="shared" si="58"/>
        <v>145</v>
      </c>
      <c r="X23" s="707">
        <f t="shared" si="58"/>
        <v>107</v>
      </c>
      <c r="Y23" s="874">
        <f t="shared" si="58"/>
        <v>12</v>
      </c>
      <c r="Z23" s="885">
        <f t="shared" si="59"/>
        <v>-107</v>
      </c>
      <c r="AA23" s="707">
        <f t="shared" si="58"/>
        <v>191</v>
      </c>
      <c r="AB23" s="707">
        <f t="shared" si="58"/>
        <v>2</v>
      </c>
      <c r="AC23" s="874">
        <f t="shared" si="58"/>
        <v>-181</v>
      </c>
      <c r="AD23" s="875">
        <v>-71</v>
      </c>
      <c r="AE23" s="707">
        <f t="shared" si="13"/>
        <v>131</v>
      </c>
      <c r="AF23" s="707">
        <f t="shared" si="60"/>
        <v>152</v>
      </c>
      <c r="AG23" s="964">
        <f t="shared" si="60"/>
        <v>-309</v>
      </c>
      <c r="AH23" s="885">
        <v>-5</v>
      </c>
      <c r="AI23" s="707">
        <f t="shared" si="15"/>
        <v>156</v>
      </c>
      <c r="AJ23" s="707">
        <f t="shared" si="61"/>
        <v>135</v>
      </c>
      <c r="AK23" s="964">
        <f t="shared" si="61"/>
        <v>-153</v>
      </c>
      <c r="AL23" s="885">
        <v>-75</v>
      </c>
      <c r="AM23" s="707">
        <f t="shared" si="17"/>
        <v>394</v>
      </c>
      <c r="AN23" s="707">
        <f t="shared" si="62"/>
        <v>-34</v>
      </c>
      <c r="AO23" s="964">
        <f t="shared" si="62"/>
        <v>-212</v>
      </c>
      <c r="AP23" s="885">
        <v>-135</v>
      </c>
      <c r="AQ23" s="707">
        <f t="shared" si="19"/>
        <v>266</v>
      </c>
      <c r="AR23" s="905">
        <f>+'Balance Sheet'!AR27-'Balance Sheet'!AQ27</f>
        <v>150.9237993293782</v>
      </c>
      <c r="AS23" s="1247">
        <f>+'Balance Sheet'!AS27-'Balance Sheet'!AR27</f>
        <v>-217.7588345682193</v>
      </c>
      <c r="AT23" s="1340">
        <f>+'Balance Sheet'!AT27-'Balance Sheet'!AS27</f>
        <v>-73.192479561673622</v>
      </c>
      <c r="AU23" s="905">
        <f>+'Balance Sheet'!AU27-'Balance Sheet'!AT27</f>
        <v>325.30861781553142</v>
      </c>
      <c r="AV23" s="905">
        <f>+'Balance Sheet'!AV27-'Balance Sheet'!AU27</f>
        <v>163.95356993802579</v>
      </c>
      <c r="AW23" s="1247">
        <f>+'Balance Sheet'!AW27-'Balance Sheet'!AV27</f>
        <v>-314.1812717539317</v>
      </c>
      <c r="AX23" s="1340">
        <f>+'Balance Sheet'!AX27-'Balance Sheet'!AW27</f>
        <v>-72.697915824316738</v>
      </c>
      <c r="AY23" s="905">
        <f>+'Balance Sheet'!AY27-'Balance Sheet'!AX27</f>
        <v>376.94481679665466</v>
      </c>
      <c r="AZ23" s="905">
        <f>+'Balance Sheet'!AZ27-'Balance Sheet'!AY27</f>
        <v>139.98268538957132</v>
      </c>
      <c r="BA23" s="1247">
        <f>+'Balance Sheet'!BA27-'Balance Sheet'!AZ27</f>
        <v>-322.7941066542819</v>
      </c>
      <c r="BB23" s="414"/>
      <c r="BC23" s="656"/>
      <c r="BD23" s="656">
        <f t="shared" si="0"/>
        <v>-23</v>
      </c>
      <c r="BE23" s="656">
        <f t="shared" si="1"/>
        <v>0</v>
      </c>
      <c r="BF23" s="656">
        <f t="shared" si="2"/>
        <v>12</v>
      </c>
      <c r="BG23" s="957">
        <f t="shared" si="3"/>
        <v>90</v>
      </c>
      <c r="BH23" s="957">
        <f t="shared" si="4"/>
        <v>33</v>
      </c>
      <c r="BI23" s="957">
        <f t="shared" si="28"/>
        <v>206</v>
      </c>
      <c r="BJ23" s="957">
        <f t="shared" si="29"/>
        <v>-95</v>
      </c>
      <c r="BK23" s="957">
        <f t="shared" si="30"/>
        <v>-97</v>
      </c>
      <c r="BL23" s="957">
        <f t="shared" si="31"/>
        <v>133</v>
      </c>
      <c r="BM23" s="957">
        <f t="shared" si="6"/>
        <v>73</v>
      </c>
      <c r="BN23" s="957">
        <f t="shared" si="7"/>
        <v>64.164964761158899</v>
      </c>
      <c r="BO23" s="957">
        <f t="shared" si="8"/>
        <v>101.8884364379519</v>
      </c>
      <c r="BP23" s="957">
        <f t="shared" si="9"/>
        <v>121.43547970762734</v>
      </c>
      <c r="BQ23" s="747"/>
      <c r="BR23" s="1386"/>
      <c r="BS23" s="1385"/>
      <c r="BT23" s="1385"/>
      <c r="BU23" s="110"/>
      <c r="BV23" s="748"/>
      <c r="BW23" s="746"/>
      <c r="BX23" s="110"/>
      <c r="BY23" s="110"/>
      <c r="BZ23" s="748"/>
      <c r="CA23" s="746"/>
      <c r="CB23" s="110"/>
      <c r="CC23" s="110"/>
      <c r="CD23" s="748"/>
      <c r="CE23" s="749"/>
      <c r="CF23" s="327"/>
      <c r="CG23" s="327"/>
      <c r="CH23" s="327"/>
      <c r="CI23" s="750"/>
      <c r="CJ23" s="327"/>
      <c r="CK23" s="327"/>
      <c r="CL23" s="748"/>
      <c r="CM23" s="875">
        <v>-58</v>
      </c>
      <c r="CN23" s="110">
        <v>87</v>
      </c>
      <c r="CO23" s="327">
        <v>194</v>
      </c>
      <c r="CP23" s="327">
        <v>206</v>
      </c>
      <c r="CQ23" s="749">
        <v>-107</v>
      </c>
      <c r="CR23" s="327">
        <v>84</v>
      </c>
      <c r="CS23" s="327">
        <v>86</v>
      </c>
      <c r="CT23" s="751">
        <v>-95</v>
      </c>
      <c r="CU23" s="749"/>
      <c r="CV23" s="327">
        <v>60</v>
      </c>
      <c r="CW23" s="327">
        <v>212</v>
      </c>
      <c r="CX23" s="751">
        <v>-97</v>
      </c>
      <c r="CY23" s="749"/>
      <c r="CZ23" s="327">
        <v>151</v>
      </c>
      <c r="DA23" s="327">
        <v>286</v>
      </c>
      <c r="DB23" s="751">
        <v>133</v>
      </c>
      <c r="DC23" s="749"/>
      <c r="DD23" s="327">
        <v>319</v>
      </c>
      <c r="DE23" s="327">
        <v>285</v>
      </c>
      <c r="DF23" s="751">
        <v>73</v>
      </c>
      <c r="DG23" s="749"/>
      <c r="DH23" s="327">
        <v>131</v>
      </c>
      <c r="DI23" s="327"/>
      <c r="DJ23" s="751"/>
    </row>
    <row r="24" spans="1:114" ht="12" customHeight="1">
      <c r="A24" s="889" t="s">
        <v>95</v>
      </c>
      <c r="B24" s="884">
        <v>-145</v>
      </c>
      <c r="C24" s="884">
        <v>45</v>
      </c>
      <c r="D24" s="884">
        <v>31</v>
      </c>
      <c r="E24" s="884">
        <v>58</v>
      </c>
      <c r="F24" s="885">
        <v>-148</v>
      </c>
      <c r="G24" s="884">
        <v>65</v>
      </c>
      <c r="H24" s="884">
        <v>36</v>
      </c>
      <c r="I24" s="884">
        <v>57</v>
      </c>
      <c r="J24" s="885">
        <v>-147</v>
      </c>
      <c r="K24" s="884">
        <v>58</v>
      </c>
      <c r="L24" s="884">
        <v>81</v>
      </c>
      <c r="M24" s="884">
        <v>83</v>
      </c>
      <c r="N24" s="885">
        <v>-191</v>
      </c>
      <c r="O24" s="884">
        <v>45</v>
      </c>
      <c r="P24" s="884">
        <v>91</v>
      </c>
      <c r="Q24" s="884">
        <v>71</v>
      </c>
      <c r="R24" s="885">
        <v>-180</v>
      </c>
      <c r="S24" s="884">
        <v>59</v>
      </c>
      <c r="T24" s="884">
        <v>89</v>
      </c>
      <c r="U24" s="884">
        <v>132</v>
      </c>
      <c r="V24" s="885">
        <f t="shared" si="57"/>
        <v>-248</v>
      </c>
      <c r="W24" s="707">
        <f t="shared" si="58"/>
        <v>-21</v>
      </c>
      <c r="X24" s="707">
        <f t="shared" si="58"/>
        <v>147</v>
      </c>
      <c r="Y24" s="874">
        <f t="shared" si="58"/>
        <v>52</v>
      </c>
      <c r="Z24" s="885">
        <f t="shared" si="59"/>
        <v>-212</v>
      </c>
      <c r="AA24" s="707">
        <f t="shared" si="58"/>
        <v>-311</v>
      </c>
      <c r="AB24" s="707">
        <f t="shared" si="58"/>
        <v>131</v>
      </c>
      <c r="AC24" s="874">
        <f t="shared" si="58"/>
        <v>35</v>
      </c>
      <c r="AD24" s="885">
        <v>-175</v>
      </c>
      <c r="AE24" s="884">
        <f t="shared" si="13"/>
        <v>100</v>
      </c>
      <c r="AF24" s="707">
        <f t="shared" si="60"/>
        <v>120</v>
      </c>
      <c r="AG24" s="964">
        <f t="shared" si="60"/>
        <v>43</v>
      </c>
      <c r="AH24" s="885">
        <v>-232</v>
      </c>
      <c r="AI24" s="884">
        <f t="shared" si="15"/>
        <v>113</v>
      </c>
      <c r="AJ24" s="707">
        <f t="shared" si="61"/>
        <v>139</v>
      </c>
      <c r="AK24" s="964">
        <f t="shared" si="61"/>
        <v>237</v>
      </c>
      <c r="AL24" s="885">
        <v>-507</v>
      </c>
      <c r="AM24" s="884">
        <f t="shared" si="17"/>
        <v>207</v>
      </c>
      <c r="AN24" s="707">
        <f t="shared" si="62"/>
        <v>127</v>
      </c>
      <c r="AO24" s="964">
        <f t="shared" si="62"/>
        <v>109</v>
      </c>
      <c r="AP24" s="885">
        <v>-378</v>
      </c>
      <c r="AQ24" s="884">
        <f t="shared" si="19"/>
        <v>213</v>
      </c>
      <c r="AR24" s="905">
        <f>+'Balance Sheet'!AR28-'Balance Sheet'!AQ28</f>
        <v>115.7665450090276</v>
      </c>
      <c r="AS24" s="1247">
        <f>+'Balance Sheet'!AS28-'Balance Sheet'!AR28</f>
        <v>134.66216681556125</v>
      </c>
      <c r="AT24" s="1340">
        <f>+'Balance Sheet'!AT28-'Balance Sheet'!AS28</f>
        <v>-363.62593061480754</v>
      </c>
      <c r="AU24" s="905">
        <f>+'Balance Sheet'!AU28-'Balance Sheet'!AT28</f>
        <v>264.36264625973547</v>
      </c>
      <c r="AV24" s="905">
        <f>+'Balance Sheet'!AV28-'Balance Sheet'!AU28</f>
        <v>136.11963583216868</v>
      </c>
      <c r="AW24" s="1247">
        <f>+'Balance Sheet'!AW28-'Balance Sheet'!AV28</f>
        <v>-68.841438517565052</v>
      </c>
      <c r="AX24" s="1340">
        <f>+'Balance Sheet'!AX28-'Balance Sheet'!AW28</f>
        <v>-256.84499587625965</v>
      </c>
      <c r="AY24" s="905">
        <f>+'Balance Sheet'!AY28-'Balance Sheet'!AX28</f>
        <v>305.72170960595884</v>
      </c>
      <c r="AZ24" s="905">
        <f>+'Balance Sheet'!AZ28-'Balance Sheet'!AY28</f>
        <v>119.29410334434544</v>
      </c>
      <c r="BA24" s="1247">
        <f>+'Balance Sheet'!BA28-'Balance Sheet'!AZ28</f>
        <v>-54.237658101384795</v>
      </c>
      <c r="BB24" s="414"/>
      <c r="BC24" s="656"/>
      <c r="BD24" s="656">
        <f t="shared" si="0"/>
        <v>-11</v>
      </c>
      <c r="BE24" s="656">
        <f t="shared" si="1"/>
        <v>10</v>
      </c>
      <c r="BF24" s="656">
        <f t="shared" si="2"/>
        <v>75</v>
      </c>
      <c r="BG24" s="957">
        <f t="shared" si="3"/>
        <v>16</v>
      </c>
      <c r="BH24" s="957">
        <f t="shared" si="4"/>
        <v>100</v>
      </c>
      <c r="BI24" s="957">
        <f t="shared" si="28"/>
        <v>-70</v>
      </c>
      <c r="BJ24" s="957">
        <f t="shared" si="29"/>
        <v>-357</v>
      </c>
      <c r="BK24" s="957">
        <f t="shared" si="30"/>
        <v>88</v>
      </c>
      <c r="BL24" s="957">
        <f t="shared" si="31"/>
        <v>257</v>
      </c>
      <c r="BM24" s="957">
        <f t="shared" si="6"/>
        <v>-64</v>
      </c>
      <c r="BN24" s="957">
        <f t="shared" si="7"/>
        <v>85.428711824588845</v>
      </c>
      <c r="BO24" s="957">
        <f t="shared" si="8"/>
        <v>-31.985087040468443</v>
      </c>
      <c r="BP24" s="957">
        <f t="shared" si="9"/>
        <v>113.93315897265984</v>
      </c>
      <c r="BQ24" s="747"/>
      <c r="BR24" s="1386"/>
      <c r="BS24" s="1385"/>
      <c r="BT24" s="1385"/>
      <c r="BU24" s="110"/>
      <c r="BV24" s="748"/>
      <c r="BW24" s="746"/>
      <c r="BX24" s="110"/>
      <c r="BY24" s="110"/>
      <c r="BZ24" s="748"/>
      <c r="CA24" s="746"/>
      <c r="CB24" s="110"/>
      <c r="CC24" s="110"/>
      <c r="CD24" s="748"/>
      <c r="CE24" s="749"/>
      <c r="CF24" s="327"/>
      <c r="CG24" s="327"/>
      <c r="CH24" s="327"/>
      <c r="CI24" s="750"/>
      <c r="CJ24" s="327"/>
      <c r="CK24" s="327"/>
      <c r="CL24" s="748"/>
      <c r="CM24" s="875">
        <v>-248</v>
      </c>
      <c r="CN24" s="110">
        <v>-269</v>
      </c>
      <c r="CO24" s="327">
        <v>-122</v>
      </c>
      <c r="CP24" s="327">
        <v>-70</v>
      </c>
      <c r="CQ24" s="749">
        <v>-212</v>
      </c>
      <c r="CR24" s="327">
        <v>-523</v>
      </c>
      <c r="CS24" s="327">
        <v>-392</v>
      </c>
      <c r="CT24" s="751">
        <v>-357</v>
      </c>
      <c r="CU24" s="749"/>
      <c r="CV24" s="327">
        <v>-75</v>
      </c>
      <c r="CW24" s="327">
        <v>45</v>
      </c>
      <c r="CX24" s="751">
        <v>88</v>
      </c>
      <c r="CY24" s="749"/>
      <c r="CZ24" s="327">
        <v>-119</v>
      </c>
      <c r="DA24" s="327">
        <v>20</v>
      </c>
      <c r="DB24" s="751">
        <v>257</v>
      </c>
      <c r="DC24" s="749"/>
      <c r="DD24" s="327">
        <v>-300</v>
      </c>
      <c r="DE24" s="327">
        <v>-173</v>
      </c>
      <c r="DF24" s="751">
        <v>-64</v>
      </c>
      <c r="DG24" s="749"/>
      <c r="DH24" s="327">
        <v>-165</v>
      </c>
      <c r="DI24" s="327"/>
      <c r="DJ24" s="751"/>
    </row>
    <row r="25" spans="1:114" ht="12" customHeight="1">
      <c r="A25" s="889" t="s">
        <v>33</v>
      </c>
      <c r="B25" s="884">
        <v>-54</v>
      </c>
      <c r="C25" s="884">
        <v>350</v>
      </c>
      <c r="D25" s="884">
        <v>-83</v>
      </c>
      <c r="E25" s="884">
        <v>-21</v>
      </c>
      <c r="F25" s="885">
        <v>-67</v>
      </c>
      <c r="G25" s="884">
        <v>317</v>
      </c>
      <c r="H25" s="884">
        <v>-120</v>
      </c>
      <c r="I25" s="884">
        <v>-47</v>
      </c>
      <c r="J25" s="885">
        <v>-120</v>
      </c>
      <c r="K25" s="884">
        <v>125</v>
      </c>
      <c r="L25" s="884">
        <v>-66</v>
      </c>
      <c r="M25" s="884">
        <v>67</v>
      </c>
      <c r="N25" s="885">
        <v>-69</v>
      </c>
      <c r="O25" s="884">
        <v>127</v>
      </c>
      <c r="P25" s="884">
        <v>-65</v>
      </c>
      <c r="Q25" s="884">
        <v>46</v>
      </c>
      <c r="R25" s="885">
        <v>-68</v>
      </c>
      <c r="S25" s="884">
        <v>119</v>
      </c>
      <c r="T25" s="884">
        <v>-36</v>
      </c>
      <c r="U25" s="884">
        <v>23</v>
      </c>
      <c r="V25" s="885">
        <f t="shared" si="57"/>
        <v>-85</v>
      </c>
      <c r="W25" s="707">
        <f t="shared" si="58"/>
        <v>175</v>
      </c>
      <c r="X25" s="707">
        <f t="shared" si="58"/>
        <v>-103</v>
      </c>
      <c r="Y25" s="964">
        <f t="shared" si="58"/>
        <v>35</v>
      </c>
      <c r="Z25" s="885">
        <f t="shared" si="59"/>
        <v>-86</v>
      </c>
      <c r="AA25" s="707">
        <f t="shared" si="58"/>
        <v>169</v>
      </c>
      <c r="AB25" s="707">
        <f t="shared" si="58"/>
        <v>-85</v>
      </c>
      <c r="AC25" s="964">
        <f t="shared" si="58"/>
        <v>73</v>
      </c>
      <c r="AD25" s="875">
        <v>-111</v>
      </c>
      <c r="AE25" s="707">
        <f t="shared" si="13"/>
        <v>151</v>
      </c>
      <c r="AF25" s="707">
        <f t="shared" si="60"/>
        <v>-22</v>
      </c>
      <c r="AG25" s="964">
        <f t="shared" si="60"/>
        <v>93</v>
      </c>
      <c r="AH25" s="885">
        <v>-159</v>
      </c>
      <c r="AI25" s="707">
        <f t="shared" si="15"/>
        <v>122</v>
      </c>
      <c r="AJ25" s="707">
        <f t="shared" si="61"/>
        <v>-42</v>
      </c>
      <c r="AK25" s="964">
        <f t="shared" si="61"/>
        <v>30</v>
      </c>
      <c r="AL25" s="885">
        <v>19</v>
      </c>
      <c r="AM25" s="707">
        <f t="shared" si="17"/>
        <v>135</v>
      </c>
      <c r="AN25" s="707">
        <f t="shared" si="62"/>
        <v>-70</v>
      </c>
      <c r="AO25" s="964">
        <f t="shared" si="62"/>
        <v>58</v>
      </c>
      <c r="AP25" s="885">
        <v>25</v>
      </c>
      <c r="AQ25" s="707">
        <f t="shared" si="19"/>
        <v>94</v>
      </c>
      <c r="AR25" s="905">
        <f>+'Balance Sheet'!AR29-'Balance Sheet'!AQ29</f>
        <v>-461.9144</v>
      </c>
      <c r="AS25" s="1247">
        <f>+'Balance Sheet'!AS29-'Balance Sheet'!AR29</f>
        <v>43.861075000000028</v>
      </c>
      <c r="AT25" s="1340">
        <f>+'Balance Sheet'!AT29-'Balance Sheet'!AS29</f>
        <v>509.40611907979417</v>
      </c>
      <c r="AU25" s="905">
        <f>+'Balance Sheet'!AU29-'Balance Sheet'!AT29</f>
        <v>121.19288570314211</v>
      </c>
      <c r="AV25" s="905">
        <f>+'Balance Sheet'!AV29-'Balance Sheet'!AU29</f>
        <v>-609.28426072830996</v>
      </c>
      <c r="AW25" s="1247">
        <f>+'Balance Sheet'!AW29-'Balance Sheet'!AV29</f>
        <v>-79.895028651682992</v>
      </c>
      <c r="AX25" s="1340">
        <f>+'Balance Sheet'!AX29-'Balance Sheet'!AW29</f>
        <v>724.53266133363059</v>
      </c>
      <c r="AY25" s="905">
        <f>+'Balance Sheet'!AY29-'Balance Sheet'!AX29</f>
        <v>148.92622139076661</v>
      </c>
      <c r="AZ25" s="905">
        <f>+'Balance Sheet'!AZ29-'Balance Sheet'!AY29</f>
        <v>-718.83612696892862</v>
      </c>
      <c r="BA25" s="1247">
        <f>+'Balance Sheet'!BA29-'Balance Sheet'!AZ29</f>
        <v>-72.387016883765455</v>
      </c>
      <c r="BB25" s="414"/>
      <c r="BC25" s="656"/>
      <c r="BD25" s="656">
        <f t="shared" si="0"/>
        <v>192</v>
      </c>
      <c r="BE25" s="656">
        <f t="shared" si="1"/>
        <v>83</v>
      </c>
      <c r="BF25" s="656">
        <f t="shared" si="2"/>
        <v>6</v>
      </c>
      <c r="BG25" s="957">
        <f t="shared" si="3"/>
        <v>39</v>
      </c>
      <c r="BH25" s="957">
        <f t="shared" si="4"/>
        <v>38</v>
      </c>
      <c r="BI25" s="957">
        <f t="shared" si="28"/>
        <v>22</v>
      </c>
      <c r="BJ25" s="957">
        <f t="shared" si="29"/>
        <v>71</v>
      </c>
      <c r="BK25" s="957">
        <f t="shared" si="30"/>
        <v>111</v>
      </c>
      <c r="BL25" s="957">
        <f t="shared" si="31"/>
        <v>-49</v>
      </c>
      <c r="BM25" s="957">
        <f t="shared" si="6"/>
        <v>142</v>
      </c>
      <c r="BN25" s="957">
        <f t="shared" si="7"/>
        <v>-299.05332499999997</v>
      </c>
      <c r="BO25" s="957">
        <f t="shared" si="8"/>
        <v>-58.580284597056675</v>
      </c>
      <c r="BP25" s="957">
        <f t="shared" si="9"/>
        <v>82.23573887170312</v>
      </c>
      <c r="BQ25" s="747"/>
      <c r="BR25" s="1386"/>
      <c r="BS25" s="1385"/>
      <c r="BT25" s="1385"/>
      <c r="BU25" s="110"/>
      <c r="BV25" s="748"/>
      <c r="BW25" s="746"/>
      <c r="BX25" s="110"/>
      <c r="BY25" s="110"/>
      <c r="BZ25" s="748"/>
      <c r="CA25" s="746"/>
      <c r="CB25" s="110"/>
      <c r="CC25" s="110"/>
      <c r="CD25" s="748"/>
      <c r="CE25" s="749"/>
      <c r="CF25" s="327"/>
      <c r="CG25" s="327"/>
      <c r="CH25" s="327"/>
      <c r="CI25" s="750"/>
      <c r="CJ25" s="327"/>
      <c r="CK25" s="327"/>
      <c r="CL25" s="748"/>
      <c r="CM25" s="875">
        <v>-85</v>
      </c>
      <c r="CN25" s="110">
        <v>90</v>
      </c>
      <c r="CO25" s="327">
        <v>-13</v>
      </c>
      <c r="CP25" s="327">
        <v>22</v>
      </c>
      <c r="CQ25" s="749">
        <v>-86</v>
      </c>
      <c r="CR25" s="327">
        <v>83</v>
      </c>
      <c r="CS25" s="327">
        <v>-2</v>
      </c>
      <c r="CT25" s="751">
        <v>71</v>
      </c>
      <c r="CU25" s="749"/>
      <c r="CV25" s="327">
        <v>40</v>
      </c>
      <c r="CW25" s="327">
        <v>18</v>
      </c>
      <c r="CX25" s="751">
        <v>111</v>
      </c>
      <c r="CY25" s="749"/>
      <c r="CZ25" s="327">
        <v>-37</v>
      </c>
      <c r="DA25" s="327">
        <v>-79</v>
      </c>
      <c r="DB25" s="751">
        <v>-49</v>
      </c>
      <c r="DC25" s="749"/>
      <c r="DD25" s="327">
        <v>154</v>
      </c>
      <c r="DE25" s="327">
        <v>84</v>
      </c>
      <c r="DF25" s="751">
        <v>142</v>
      </c>
      <c r="DG25" s="749"/>
      <c r="DH25" s="327">
        <v>119</v>
      </c>
      <c r="DI25" s="327"/>
      <c r="DJ25" s="751"/>
    </row>
    <row r="26" spans="1:114" ht="12" customHeight="1">
      <c r="A26" s="889" t="s">
        <v>96</v>
      </c>
      <c r="B26" s="884">
        <v>0</v>
      </c>
      <c r="C26" s="884">
        <v>0</v>
      </c>
      <c r="D26" s="884">
        <v>0</v>
      </c>
      <c r="E26" s="884">
        <v>0</v>
      </c>
      <c r="F26" s="885">
        <v>0</v>
      </c>
      <c r="G26" s="884">
        <v>0</v>
      </c>
      <c r="H26" s="884">
        <v>0</v>
      </c>
      <c r="I26" s="884">
        <v>0</v>
      </c>
      <c r="J26" s="885">
        <v>0</v>
      </c>
      <c r="K26" s="884">
        <v>0</v>
      </c>
      <c r="L26" s="884">
        <v>0</v>
      </c>
      <c r="M26" s="884">
        <v>0</v>
      </c>
      <c r="N26" s="885">
        <v>0</v>
      </c>
      <c r="O26" s="884">
        <v>0</v>
      </c>
      <c r="P26" s="884">
        <v>0</v>
      </c>
      <c r="Q26" s="884">
        <v>0</v>
      </c>
      <c r="R26" s="885">
        <v>-14</v>
      </c>
      <c r="S26" s="884">
        <v>-14</v>
      </c>
      <c r="T26" s="884">
        <v>-14</v>
      </c>
      <c r="U26" s="884">
        <v>-19</v>
      </c>
      <c r="V26" s="885">
        <f t="shared" si="57"/>
        <v>-12</v>
      </c>
      <c r="W26" s="707">
        <f t="shared" si="58"/>
        <v>-15</v>
      </c>
      <c r="X26" s="707">
        <f t="shared" si="58"/>
        <v>-18</v>
      </c>
      <c r="Y26" s="874">
        <f t="shared" si="58"/>
        <v>-21</v>
      </c>
      <c r="Z26" s="885">
        <f t="shared" si="59"/>
        <v>-18</v>
      </c>
      <c r="AA26" s="707">
        <f t="shared" si="58"/>
        <v>-23</v>
      </c>
      <c r="AB26" s="707">
        <f t="shared" si="58"/>
        <v>-21</v>
      </c>
      <c r="AC26" s="874">
        <f t="shared" si="58"/>
        <v>-21</v>
      </c>
      <c r="AD26" s="875">
        <v>-18</v>
      </c>
      <c r="AE26" s="707">
        <f t="shared" si="13"/>
        <v>-20</v>
      </c>
      <c r="AF26" s="707">
        <f t="shared" si="60"/>
        <v>-21</v>
      </c>
      <c r="AG26" s="964">
        <f t="shared" si="60"/>
        <v>-22</v>
      </c>
      <c r="AH26" s="885">
        <v>-20</v>
      </c>
      <c r="AI26" s="707">
        <f t="shared" si="15"/>
        <v>-13</v>
      </c>
      <c r="AJ26" s="707">
        <f t="shared" si="61"/>
        <v>-12</v>
      </c>
      <c r="AK26" s="964">
        <f t="shared" si="61"/>
        <v>-26</v>
      </c>
      <c r="AL26" s="885">
        <v>-22</v>
      </c>
      <c r="AM26" s="707">
        <f t="shared" si="17"/>
        <v>44</v>
      </c>
      <c r="AN26" s="707">
        <f t="shared" si="62"/>
        <v>-81</v>
      </c>
      <c r="AO26" s="964">
        <f t="shared" si="62"/>
        <v>-18</v>
      </c>
      <c r="AP26" s="885">
        <v>-23</v>
      </c>
      <c r="AQ26" s="707">
        <f t="shared" si="19"/>
        <v>102</v>
      </c>
      <c r="AR26" s="905">
        <f>+'Balance Sheet'!AR40-'Balance Sheet'!AQ40</f>
        <v>0</v>
      </c>
      <c r="AS26" s="1247">
        <f>+'Balance Sheet'!AS40-'Balance Sheet'!AR40</f>
        <v>0</v>
      </c>
      <c r="AT26" s="1340">
        <f>+'Balance Sheet'!AT40-'Balance Sheet'!AS40</f>
        <v>0</v>
      </c>
      <c r="AU26" s="905">
        <f>+'Balance Sheet'!AU40-'Balance Sheet'!AT40</f>
        <v>0</v>
      </c>
      <c r="AV26" s="905">
        <f>+'Balance Sheet'!AV40-'Balance Sheet'!AU40</f>
        <v>0</v>
      </c>
      <c r="AW26" s="1247">
        <f>+'Balance Sheet'!AW40-'Balance Sheet'!AV40</f>
        <v>0</v>
      </c>
      <c r="AX26" s="1340">
        <f>+'Balance Sheet'!AX40-'Balance Sheet'!AW40</f>
        <v>0</v>
      </c>
      <c r="AY26" s="905">
        <f>+'Balance Sheet'!AY40-'Balance Sheet'!AX40</f>
        <v>0</v>
      </c>
      <c r="AZ26" s="905">
        <f>+'Balance Sheet'!AZ40-'Balance Sheet'!AY40</f>
        <v>0</v>
      </c>
      <c r="BA26" s="1247">
        <f>+'Balance Sheet'!BA40-'Balance Sheet'!AZ40</f>
        <v>0</v>
      </c>
      <c r="BB26" s="414"/>
      <c r="BC26" s="656"/>
      <c r="BD26" s="656">
        <f t="shared" si="0"/>
        <v>0</v>
      </c>
      <c r="BE26" s="656">
        <f t="shared" si="1"/>
        <v>0</v>
      </c>
      <c r="BF26" s="656">
        <f t="shared" si="2"/>
        <v>0</v>
      </c>
      <c r="BG26" s="957">
        <f t="shared" si="3"/>
        <v>0</v>
      </c>
      <c r="BH26" s="957">
        <f t="shared" si="4"/>
        <v>-61</v>
      </c>
      <c r="BI26" s="957">
        <f t="shared" si="28"/>
        <v>-66</v>
      </c>
      <c r="BJ26" s="957">
        <f t="shared" si="29"/>
        <v>-83</v>
      </c>
      <c r="BK26" s="957">
        <f t="shared" si="30"/>
        <v>-81</v>
      </c>
      <c r="BL26" s="957">
        <f t="shared" si="31"/>
        <v>-71</v>
      </c>
      <c r="BM26" s="957">
        <f t="shared" si="6"/>
        <v>-77</v>
      </c>
      <c r="BN26" s="957">
        <f t="shared" si="7"/>
        <v>79</v>
      </c>
      <c r="BO26" s="957">
        <f t="shared" si="8"/>
        <v>0</v>
      </c>
      <c r="BP26" s="957">
        <f t="shared" si="9"/>
        <v>0</v>
      </c>
      <c r="BQ26" s="747"/>
      <c r="BR26" s="1386"/>
      <c r="BS26" s="1385"/>
      <c r="BT26" s="1385"/>
      <c r="BU26" s="110"/>
      <c r="BV26" s="748"/>
      <c r="BW26" s="746"/>
      <c r="BX26" s="110"/>
      <c r="BY26" s="110"/>
      <c r="BZ26" s="748"/>
      <c r="CA26" s="746"/>
      <c r="CB26" s="110"/>
      <c r="CC26" s="110"/>
      <c r="CD26" s="748"/>
      <c r="CE26" s="749"/>
      <c r="CF26" s="327"/>
      <c r="CG26" s="327"/>
      <c r="CH26" s="327"/>
      <c r="CI26" s="750"/>
      <c r="CJ26" s="327"/>
      <c r="CK26" s="327"/>
      <c r="CL26" s="748"/>
      <c r="CM26" s="875">
        <v>-12</v>
      </c>
      <c r="CN26" s="110">
        <v>-27</v>
      </c>
      <c r="CO26" s="327">
        <v>-45</v>
      </c>
      <c r="CP26" s="327">
        <v>-66</v>
      </c>
      <c r="CQ26" s="749">
        <v>-18</v>
      </c>
      <c r="CR26" s="327">
        <v>-41</v>
      </c>
      <c r="CS26" s="327">
        <v>-62</v>
      </c>
      <c r="CT26" s="751">
        <v>-83</v>
      </c>
      <c r="CU26" s="749"/>
      <c r="CV26" s="327">
        <v>-38</v>
      </c>
      <c r="CW26" s="327">
        <v>-59</v>
      </c>
      <c r="CX26" s="751">
        <v>-81</v>
      </c>
      <c r="CY26" s="749"/>
      <c r="CZ26" s="327">
        <v>-33</v>
      </c>
      <c r="DA26" s="327">
        <v>-45</v>
      </c>
      <c r="DB26" s="751">
        <v>-71</v>
      </c>
      <c r="DC26" s="749"/>
      <c r="DD26" s="327">
        <v>22</v>
      </c>
      <c r="DE26" s="327">
        <v>-59</v>
      </c>
      <c r="DF26" s="751">
        <v>-77</v>
      </c>
      <c r="DG26" s="749"/>
      <c r="DH26" s="327">
        <v>79</v>
      </c>
      <c r="DI26" s="327"/>
      <c r="DJ26" s="751"/>
    </row>
    <row r="27" spans="1:114" ht="12" customHeight="1">
      <c r="A27" s="889" t="s">
        <v>46</v>
      </c>
      <c r="B27" s="884">
        <v>0</v>
      </c>
      <c r="C27" s="884">
        <v>0</v>
      </c>
      <c r="D27" s="884">
        <v>435</v>
      </c>
      <c r="E27" s="884">
        <v>-435</v>
      </c>
      <c r="F27" s="885">
        <v>0</v>
      </c>
      <c r="G27" s="884">
        <v>0</v>
      </c>
      <c r="H27" s="884">
        <v>431</v>
      </c>
      <c r="I27" s="884">
        <v>-431</v>
      </c>
      <c r="J27" s="885">
        <v>0</v>
      </c>
      <c r="K27" s="884">
        <v>0</v>
      </c>
      <c r="L27" s="884">
        <v>351</v>
      </c>
      <c r="M27" s="884">
        <v>-351</v>
      </c>
      <c r="N27" s="885">
        <v>0</v>
      </c>
      <c r="O27" s="884">
        <v>0</v>
      </c>
      <c r="P27" s="884">
        <v>334</v>
      </c>
      <c r="Q27" s="884">
        <v>-334</v>
      </c>
      <c r="R27" s="885">
        <v>0</v>
      </c>
      <c r="S27" s="884">
        <v>0</v>
      </c>
      <c r="T27" s="884">
        <v>322</v>
      </c>
      <c r="U27" s="884">
        <v>-322</v>
      </c>
      <c r="V27" s="885">
        <f t="shared" si="57"/>
        <v>0</v>
      </c>
      <c r="W27" s="707">
        <f t="shared" si="58"/>
        <v>0</v>
      </c>
      <c r="X27" s="707">
        <f t="shared" si="58"/>
        <v>206</v>
      </c>
      <c r="Y27" s="874">
        <f t="shared" si="58"/>
        <v>-206</v>
      </c>
      <c r="Z27" s="885">
        <f t="shared" si="59"/>
        <v>0</v>
      </c>
      <c r="AA27" s="707">
        <f t="shared" si="58"/>
        <v>0</v>
      </c>
      <c r="AB27" s="707">
        <f t="shared" si="58"/>
        <v>195</v>
      </c>
      <c r="AC27" s="874">
        <f t="shared" si="58"/>
        <v>-195</v>
      </c>
      <c r="AD27" s="875">
        <f>+'Balance Sheet'!AD30-'Balance Sheet'!AC30</f>
        <v>0</v>
      </c>
      <c r="AE27" s="707">
        <f t="shared" si="13"/>
        <v>0</v>
      </c>
      <c r="AF27" s="707">
        <f t="shared" si="60"/>
        <v>646</v>
      </c>
      <c r="AG27" s="964">
        <f t="shared" si="60"/>
        <v>44</v>
      </c>
      <c r="AH27" s="885">
        <v>-565</v>
      </c>
      <c r="AI27" s="707">
        <f t="shared" si="15"/>
        <v>-132</v>
      </c>
      <c r="AJ27" s="707">
        <f t="shared" si="61"/>
        <v>435</v>
      </c>
      <c r="AK27" s="964">
        <f t="shared" si="61"/>
        <v>-429</v>
      </c>
      <c r="AL27" s="885">
        <v>12</v>
      </c>
      <c r="AM27" s="707">
        <f t="shared" si="17"/>
        <v>-58</v>
      </c>
      <c r="AN27" s="707">
        <f t="shared" si="62"/>
        <v>652</v>
      </c>
      <c r="AO27" s="964">
        <f t="shared" si="62"/>
        <v>-606</v>
      </c>
      <c r="AP27" s="885">
        <v>0</v>
      </c>
      <c r="AQ27" s="707">
        <f t="shared" si="19"/>
        <v>-39</v>
      </c>
      <c r="AR27" s="905">
        <f>+'Balance Sheet'!AR30-'Balance Sheet'!AQ30</f>
        <v>0</v>
      </c>
      <c r="AS27" s="1247">
        <f>+'Balance Sheet'!AS30-'Balance Sheet'!AR30</f>
        <v>0</v>
      </c>
      <c r="AT27" s="1340">
        <f>+'Balance Sheet'!AT30-'Balance Sheet'!AS30</f>
        <v>0</v>
      </c>
      <c r="AU27" s="905">
        <f>+'Balance Sheet'!AU30-'Balance Sheet'!AT30</f>
        <v>0</v>
      </c>
      <c r="AV27" s="905">
        <f>+'Balance Sheet'!AV30-'Balance Sheet'!AU30</f>
        <v>0</v>
      </c>
      <c r="AW27" s="1247">
        <f>+'Balance Sheet'!AW30-'Balance Sheet'!AV30</f>
        <v>0</v>
      </c>
      <c r="AX27" s="1340">
        <f>+'Balance Sheet'!AX30-'Balance Sheet'!AW30</f>
        <v>0</v>
      </c>
      <c r="AY27" s="905">
        <f>+'Balance Sheet'!AY30-'Balance Sheet'!AX30</f>
        <v>0</v>
      </c>
      <c r="AZ27" s="905">
        <f>+'Balance Sheet'!AZ30-'Balance Sheet'!AY30</f>
        <v>0</v>
      </c>
      <c r="BA27" s="1247">
        <f>+'Balance Sheet'!BA30-'Balance Sheet'!AZ30</f>
        <v>0</v>
      </c>
      <c r="BB27" s="414"/>
      <c r="BC27" s="656"/>
      <c r="BD27" s="656">
        <f t="shared" si="0"/>
        <v>0</v>
      </c>
      <c r="BE27" s="656">
        <f t="shared" si="1"/>
        <v>0</v>
      </c>
      <c r="BF27" s="656">
        <f t="shared" si="2"/>
        <v>0</v>
      </c>
      <c r="BG27" s="957">
        <f t="shared" si="3"/>
        <v>0</v>
      </c>
      <c r="BH27" s="957">
        <f t="shared" si="4"/>
        <v>0</v>
      </c>
      <c r="BI27" s="957">
        <f t="shared" si="28"/>
        <v>0</v>
      </c>
      <c r="BJ27" s="957">
        <f t="shared" si="29"/>
        <v>0</v>
      </c>
      <c r="BK27" s="957">
        <f t="shared" si="30"/>
        <v>690</v>
      </c>
      <c r="BL27" s="957">
        <f t="shared" si="31"/>
        <v>-691</v>
      </c>
      <c r="BM27" s="957">
        <f t="shared" si="6"/>
        <v>0</v>
      </c>
      <c r="BN27" s="957">
        <f t="shared" si="7"/>
        <v>-39</v>
      </c>
      <c r="BO27" s="957">
        <f t="shared" si="8"/>
        <v>0</v>
      </c>
      <c r="BP27" s="957">
        <f t="shared" si="9"/>
        <v>0</v>
      </c>
      <c r="BQ27" s="747"/>
      <c r="BR27" s="1386"/>
      <c r="BS27" s="1385"/>
      <c r="BT27" s="1385"/>
      <c r="BU27" s="110"/>
      <c r="BV27" s="748"/>
      <c r="BW27" s="746"/>
      <c r="BX27" s="110"/>
      <c r="BY27" s="110"/>
      <c r="BZ27" s="748"/>
      <c r="CA27" s="746"/>
      <c r="CB27" s="110"/>
      <c r="CC27" s="110"/>
      <c r="CD27" s="748"/>
      <c r="CE27" s="749"/>
      <c r="CF27" s="327"/>
      <c r="CG27" s="327"/>
      <c r="CH27" s="327"/>
      <c r="CI27" s="750"/>
      <c r="CJ27" s="327"/>
      <c r="CK27" s="327"/>
      <c r="CL27" s="748"/>
      <c r="CM27" s="875">
        <v>0</v>
      </c>
      <c r="CN27" s="110">
        <v>0</v>
      </c>
      <c r="CO27" s="327">
        <f>206-CN27-CM27</f>
        <v>206</v>
      </c>
      <c r="CP27" s="327">
        <v>0</v>
      </c>
      <c r="CQ27" s="749">
        <v>0</v>
      </c>
      <c r="CR27" s="327">
        <v>0</v>
      </c>
      <c r="CS27" s="327">
        <v>195</v>
      </c>
      <c r="CT27" s="751">
        <v>0</v>
      </c>
      <c r="CU27" s="749"/>
      <c r="CV27" s="327"/>
      <c r="CW27" s="327">
        <v>646</v>
      </c>
      <c r="CX27" s="751">
        <v>690</v>
      </c>
      <c r="CY27" s="749"/>
      <c r="CZ27" s="327">
        <v>-697</v>
      </c>
      <c r="DA27" s="327">
        <v>-262</v>
      </c>
      <c r="DB27" s="751">
        <v>-691</v>
      </c>
      <c r="DC27" s="749"/>
      <c r="DD27" s="327">
        <v>-46</v>
      </c>
      <c r="DE27" s="327">
        <v>606</v>
      </c>
      <c r="DF27" s="751"/>
      <c r="DG27" s="749"/>
      <c r="DH27" s="327">
        <v>-39</v>
      </c>
      <c r="DI27" s="327"/>
      <c r="DJ27" s="751"/>
    </row>
    <row r="28" spans="1:114" ht="12" customHeight="1">
      <c r="A28" s="889" t="s">
        <v>14</v>
      </c>
      <c r="B28" s="884">
        <v>-19</v>
      </c>
      <c r="C28" s="884">
        <v>62</v>
      </c>
      <c r="D28" s="884">
        <v>-18</v>
      </c>
      <c r="E28" s="884">
        <v>-47</v>
      </c>
      <c r="F28" s="885">
        <v>8</v>
      </c>
      <c r="G28" s="884">
        <v>70</v>
      </c>
      <c r="H28" s="884">
        <v>-28</v>
      </c>
      <c r="I28" s="884">
        <v>-50</v>
      </c>
      <c r="J28" s="885">
        <v>7</v>
      </c>
      <c r="K28" s="884">
        <v>56</v>
      </c>
      <c r="L28" s="884">
        <v>-15</v>
      </c>
      <c r="M28" s="884">
        <v>-44</v>
      </c>
      <c r="N28" s="885">
        <v>2</v>
      </c>
      <c r="O28" s="884">
        <v>60</v>
      </c>
      <c r="P28" s="884">
        <v>-3</v>
      </c>
      <c r="Q28" s="884">
        <v>-50</v>
      </c>
      <c r="R28" s="885">
        <v>14</v>
      </c>
      <c r="S28" s="884">
        <v>49</v>
      </c>
      <c r="T28" s="884">
        <v>-17</v>
      </c>
      <c r="U28" s="884">
        <v>13</v>
      </c>
      <c r="V28" s="885">
        <f t="shared" si="57"/>
        <v>-17</v>
      </c>
      <c r="W28" s="707">
        <f t="shared" si="58"/>
        <v>44</v>
      </c>
      <c r="X28" s="707">
        <f t="shared" si="58"/>
        <v>58</v>
      </c>
      <c r="Y28" s="874">
        <f t="shared" si="58"/>
        <v>-63</v>
      </c>
      <c r="Z28" s="885">
        <f t="shared" si="59"/>
        <v>20</v>
      </c>
      <c r="AA28" s="707">
        <f t="shared" si="58"/>
        <v>57</v>
      </c>
      <c r="AB28" s="707">
        <f t="shared" si="58"/>
        <v>173</v>
      </c>
      <c r="AC28" s="874">
        <f t="shared" si="58"/>
        <v>-99</v>
      </c>
      <c r="AD28" s="875">
        <v>-7</v>
      </c>
      <c r="AE28" s="707">
        <f t="shared" si="13"/>
        <v>-100</v>
      </c>
      <c r="AF28" s="707">
        <f t="shared" si="60"/>
        <v>16</v>
      </c>
      <c r="AG28" s="964">
        <f t="shared" si="60"/>
        <v>-50</v>
      </c>
      <c r="AH28" s="885">
        <v>30</v>
      </c>
      <c r="AI28" s="707">
        <f t="shared" si="15"/>
        <v>109</v>
      </c>
      <c r="AJ28" s="707">
        <f t="shared" si="61"/>
        <v>-9</v>
      </c>
      <c r="AK28" s="964">
        <f t="shared" si="61"/>
        <v>-8</v>
      </c>
      <c r="AL28" s="885">
        <v>-20</v>
      </c>
      <c r="AM28" s="707">
        <f t="shared" si="17"/>
        <v>97</v>
      </c>
      <c r="AN28" s="707">
        <f t="shared" si="62"/>
        <v>-28</v>
      </c>
      <c r="AO28" s="964">
        <f t="shared" si="62"/>
        <v>-2</v>
      </c>
      <c r="AP28" s="885">
        <v>24</v>
      </c>
      <c r="AQ28" s="707">
        <f t="shared" si="19"/>
        <v>110</v>
      </c>
      <c r="AR28" s="905">
        <f>+('Balance Sheet'!AR32+'Balance Sheet'!AR41)-('Balance Sheet'!AQ32+'Balance Sheet'!AQ41)</f>
        <v>0</v>
      </c>
      <c r="AS28" s="1247">
        <f>+('Balance Sheet'!AS32+'Balance Sheet'!AS41)-('Balance Sheet'!AR32+'Balance Sheet'!AR41)</f>
        <v>0</v>
      </c>
      <c r="AT28" s="1340">
        <f>+('Balance Sheet'!AT32+'Balance Sheet'!AT41)-('Balance Sheet'!AS32+'Balance Sheet'!AS41)</f>
        <v>0</v>
      </c>
      <c r="AU28" s="905">
        <f>+('Balance Sheet'!AU32+'Balance Sheet'!AU41)-('Balance Sheet'!AT32+'Balance Sheet'!AT41)</f>
        <v>0</v>
      </c>
      <c r="AV28" s="905">
        <f>+('Balance Sheet'!AV32+'Balance Sheet'!AV41)-('Balance Sheet'!AU32+'Balance Sheet'!AU41)</f>
        <v>0</v>
      </c>
      <c r="AW28" s="1247">
        <f>+('Balance Sheet'!AW32+'Balance Sheet'!AW41)-('Balance Sheet'!AV32+'Balance Sheet'!AV41)</f>
        <v>0</v>
      </c>
      <c r="AX28" s="1340">
        <f>+('Balance Sheet'!AX32+'Balance Sheet'!AX41)-('Balance Sheet'!AW32+'Balance Sheet'!AW41)</f>
        <v>0</v>
      </c>
      <c r="AY28" s="905">
        <f>+('Balance Sheet'!AY32+'Balance Sheet'!AY41)-('Balance Sheet'!AX32+'Balance Sheet'!AX41)</f>
        <v>0</v>
      </c>
      <c r="AZ28" s="905">
        <f>+('Balance Sheet'!AZ32+'Balance Sheet'!AZ41)-('Balance Sheet'!AY32+'Balance Sheet'!AY41)</f>
        <v>0</v>
      </c>
      <c r="BA28" s="1247">
        <f>+('Balance Sheet'!BA32+'Balance Sheet'!BA41)-('Balance Sheet'!AZ32+'Balance Sheet'!AZ41)</f>
        <v>0</v>
      </c>
      <c r="BB28" s="414"/>
      <c r="BC28" s="656"/>
      <c r="BD28" s="656">
        <f t="shared" si="0"/>
        <v>-22</v>
      </c>
      <c r="BE28" s="656">
        <f t="shared" si="1"/>
        <v>0</v>
      </c>
      <c r="BF28" s="656">
        <f t="shared" si="2"/>
        <v>4</v>
      </c>
      <c r="BG28" s="957">
        <f t="shared" si="3"/>
        <v>9</v>
      </c>
      <c r="BH28" s="957">
        <f t="shared" si="4"/>
        <v>59</v>
      </c>
      <c r="BI28" s="957">
        <f t="shared" si="28"/>
        <v>22</v>
      </c>
      <c r="BJ28" s="957">
        <f t="shared" si="29"/>
        <v>151</v>
      </c>
      <c r="BK28" s="957">
        <f t="shared" si="25"/>
        <v>-141</v>
      </c>
      <c r="BL28" s="957">
        <f t="shared" si="31"/>
        <v>122</v>
      </c>
      <c r="BM28" s="957">
        <f t="shared" si="6"/>
        <v>47</v>
      </c>
      <c r="BN28" s="957">
        <f t="shared" si="7"/>
        <v>134</v>
      </c>
      <c r="BO28" s="957">
        <f t="shared" si="8"/>
        <v>0</v>
      </c>
      <c r="BP28" s="957">
        <f t="shared" si="9"/>
        <v>0</v>
      </c>
      <c r="BQ28" s="747"/>
      <c r="BR28" s="1386"/>
      <c r="BS28" s="1385"/>
      <c r="BT28" s="1385"/>
      <c r="BU28" s="110"/>
      <c r="BV28" s="748"/>
      <c r="BW28" s="746"/>
      <c r="BX28" s="110"/>
      <c r="BY28" s="110"/>
      <c r="BZ28" s="748"/>
      <c r="CA28" s="746"/>
      <c r="CB28" s="110"/>
      <c r="CC28" s="110"/>
      <c r="CD28" s="748"/>
      <c r="CE28" s="746"/>
      <c r="CF28" s="110"/>
      <c r="CG28" s="110"/>
      <c r="CH28" s="110"/>
      <c r="CI28" s="654"/>
      <c r="CJ28" s="110"/>
      <c r="CK28" s="110"/>
      <c r="CL28" s="748"/>
      <c r="CM28" s="875">
        <v>-17</v>
      </c>
      <c r="CN28" s="110">
        <v>27</v>
      </c>
      <c r="CO28" s="327">
        <v>85</v>
      </c>
      <c r="CP28" s="327">
        <v>22</v>
      </c>
      <c r="CQ28" s="749">
        <v>20</v>
      </c>
      <c r="CR28" s="327">
        <v>77</v>
      </c>
      <c r="CS28" s="327">
        <v>250</v>
      </c>
      <c r="CT28" s="751">
        <v>151</v>
      </c>
      <c r="CU28" s="749"/>
      <c r="CV28" s="327">
        <v>-107</v>
      </c>
      <c r="CW28" s="327">
        <v>-91</v>
      </c>
      <c r="CX28" s="751">
        <v>-141</v>
      </c>
      <c r="CY28" s="746"/>
      <c r="CZ28" s="327">
        <f>159-96+76</f>
        <v>139</v>
      </c>
      <c r="DA28" s="327">
        <v>130</v>
      </c>
      <c r="DB28" s="751">
        <v>122</v>
      </c>
      <c r="DC28" s="746"/>
      <c r="DD28" s="327">
        <v>77</v>
      </c>
      <c r="DE28" s="110">
        <v>49</v>
      </c>
      <c r="DF28" s="748">
        <v>47</v>
      </c>
      <c r="DG28" s="746"/>
      <c r="DH28" s="327">
        <v>134</v>
      </c>
      <c r="DI28" s="110"/>
      <c r="DJ28" s="748"/>
    </row>
    <row r="29" spans="1:114" ht="12" customHeight="1">
      <c r="A29" s="890" t="s">
        <v>342</v>
      </c>
      <c r="B29" s="891">
        <f t="shared" ref="B29:AL29" si="63">SUM(B6:B19)</f>
        <v>-188</v>
      </c>
      <c r="C29" s="891">
        <f t="shared" si="63"/>
        <v>46078</v>
      </c>
      <c r="D29" s="891">
        <f t="shared" si="63"/>
        <v>1612</v>
      </c>
      <c r="E29" s="891">
        <f t="shared" si="63"/>
        <v>-281</v>
      </c>
      <c r="F29" s="892">
        <f t="shared" si="63"/>
        <v>-205</v>
      </c>
      <c r="G29" s="891">
        <f t="shared" si="63"/>
        <v>292</v>
      </c>
      <c r="H29" s="891">
        <f t="shared" si="63"/>
        <v>1802</v>
      </c>
      <c r="I29" s="891">
        <f t="shared" si="63"/>
        <v>-290</v>
      </c>
      <c r="J29" s="892">
        <f t="shared" si="63"/>
        <v>-78</v>
      </c>
      <c r="K29" s="891">
        <f t="shared" si="63"/>
        <v>252</v>
      </c>
      <c r="L29" s="891">
        <f t="shared" si="63"/>
        <v>1975</v>
      </c>
      <c r="M29" s="891">
        <f t="shared" si="63"/>
        <v>-37</v>
      </c>
      <c r="N29" s="892">
        <f t="shared" si="63"/>
        <v>-143</v>
      </c>
      <c r="O29" s="891">
        <f t="shared" si="63"/>
        <v>341</v>
      </c>
      <c r="P29" s="891">
        <f t="shared" si="63"/>
        <v>2248</v>
      </c>
      <c r="Q29" s="891">
        <f t="shared" si="63"/>
        <v>-122</v>
      </c>
      <c r="R29" s="892">
        <f t="shared" si="63"/>
        <v>-127</v>
      </c>
      <c r="S29" s="891">
        <f t="shared" si="63"/>
        <v>317</v>
      </c>
      <c r="T29" s="891">
        <f t="shared" si="63"/>
        <v>1937</v>
      </c>
      <c r="U29" s="891">
        <f t="shared" si="63"/>
        <v>287</v>
      </c>
      <c r="V29" s="892">
        <f t="shared" si="63"/>
        <v>45</v>
      </c>
      <c r="W29" s="881">
        <f t="shared" si="63"/>
        <v>279</v>
      </c>
      <c r="X29" s="881">
        <f t="shared" si="63"/>
        <v>2384</v>
      </c>
      <c r="Y29" s="882">
        <f t="shared" ref="Y29" si="64">SUM(Y6:Y19)</f>
        <v>542</v>
      </c>
      <c r="Z29" s="892">
        <f t="shared" ref="Z29" si="65">SUM(Z6:Z19)</f>
        <v>145</v>
      </c>
      <c r="AA29" s="881">
        <f t="shared" ref="AA29" si="66">SUM(AA6:AA19)</f>
        <v>85</v>
      </c>
      <c r="AB29" s="881">
        <f t="shared" ref="AB29:AC29" si="67">SUM(AB6:AB19)</f>
        <v>3320</v>
      </c>
      <c r="AC29" s="882">
        <f t="shared" si="67"/>
        <v>339</v>
      </c>
      <c r="AD29" s="883">
        <f t="shared" si="63"/>
        <v>328</v>
      </c>
      <c r="AE29" s="881">
        <f t="shared" si="63"/>
        <v>284</v>
      </c>
      <c r="AF29" s="881">
        <f t="shared" si="63"/>
        <v>3592</v>
      </c>
      <c r="AG29" s="962">
        <f t="shared" si="63"/>
        <v>842</v>
      </c>
      <c r="AH29" s="883">
        <f t="shared" si="63"/>
        <v>-97</v>
      </c>
      <c r="AI29" s="881">
        <f t="shared" ref="AI29" si="68">SUM(AI6:AI19)</f>
        <v>613</v>
      </c>
      <c r="AJ29" s="881">
        <f t="shared" ref="AJ29" si="69">SUM(AJ6:AJ19)</f>
        <v>3951</v>
      </c>
      <c r="AK29" s="962">
        <f t="shared" ref="AK29" si="70">SUM(AK6:AK19)</f>
        <v>417</v>
      </c>
      <c r="AL29" s="892">
        <f t="shared" si="63"/>
        <v>362</v>
      </c>
      <c r="AM29" s="881">
        <f t="shared" ref="AM29:AO29" si="71">SUM(AM6:AM19)</f>
        <v>1069</v>
      </c>
      <c r="AN29" s="881">
        <f t="shared" si="71"/>
        <v>4395</v>
      </c>
      <c r="AO29" s="962">
        <f t="shared" si="71"/>
        <v>381</v>
      </c>
      <c r="AP29" s="892">
        <f t="shared" ref="AP29:AQ29" si="72">SUM(AP6:AP19)</f>
        <v>637</v>
      </c>
      <c r="AQ29" s="881">
        <f t="shared" si="72"/>
        <v>1570</v>
      </c>
      <c r="AR29" s="891">
        <f t="shared" ref="AR29:AS29" si="73">SUM(AR6:AR19)</f>
        <v>4579.7456437109295</v>
      </c>
      <c r="AS29" s="962">
        <f t="shared" si="73"/>
        <v>1296.707368232675</v>
      </c>
      <c r="AT29" s="892">
        <f t="shared" ref="AT29:AW29" si="74">SUM(AT6:AT19)</f>
        <v>1111.5688042454647</v>
      </c>
      <c r="AU29" s="891">
        <f t="shared" si="74"/>
        <v>903.46602527272546</v>
      </c>
      <c r="AV29" s="891">
        <f t="shared" si="74"/>
        <v>5038.3731989021999</v>
      </c>
      <c r="AW29" s="962">
        <f t="shared" si="74"/>
        <v>1044.6191228149501</v>
      </c>
      <c r="AX29" s="892">
        <f t="shared" ref="AX29:BA29" si="75">SUM(AX6:AX19)</f>
        <v>1554.8937728383194</v>
      </c>
      <c r="AY29" s="891">
        <f t="shared" si="75"/>
        <v>1029.6798894544863</v>
      </c>
      <c r="AZ29" s="891">
        <f t="shared" si="75"/>
        <v>5512.455755434743</v>
      </c>
      <c r="BA29" s="962">
        <f t="shared" si="75"/>
        <v>1281.3974749168181</v>
      </c>
      <c r="BB29" s="414"/>
      <c r="BC29" s="668"/>
      <c r="BD29" s="668">
        <f>+SUM(B29:E29)</f>
        <v>47221</v>
      </c>
      <c r="BE29" s="668">
        <f>+SUM(F29:I29)</f>
        <v>1599</v>
      </c>
      <c r="BF29" s="668">
        <f>+SUM(J29:M29)</f>
        <v>2112</v>
      </c>
      <c r="BG29" s="958">
        <f t="shared" si="3"/>
        <v>2324</v>
      </c>
      <c r="BH29" s="958">
        <f t="shared" si="4"/>
        <v>2414</v>
      </c>
      <c r="BI29" s="958">
        <f t="shared" si="28"/>
        <v>3250</v>
      </c>
      <c r="BJ29" s="958">
        <f t="shared" si="29"/>
        <v>3889</v>
      </c>
      <c r="BK29" s="958">
        <f>SUM(AD29:AG29)</f>
        <v>5046</v>
      </c>
      <c r="BL29" s="958">
        <f t="shared" ref="BL29" si="76">+SUM(AH29:AK29)</f>
        <v>4884</v>
      </c>
      <c r="BM29" s="958">
        <f t="shared" si="6"/>
        <v>6207</v>
      </c>
      <c r="BN29" s="958">
        <f t="shared" si="7"/>
        <v>8083.453011943604</v>
      </c>
      <c r="BO29" s="958">
        <f t="shared" si="8"/>
        <v>8098.0271512353402</v>
      </c>
      <c r="BP29" s="958">
        <f t="shared" si="9"/>
        <v>9378.4268926443656</v>
      </c>
      <c r="BQ29" s="747"/>
      <c r="BR29" s="1388"/>
      <c r="BS29" s="193">
        <f t="shared" ref="BS29:CL29" si="77">SUM(BS6:BS15)+BS19</f>
        <v>0</v>
      </c>
      <c r="BT29" s="193">
        <f t="shared" si="77"/>
        <v>0</v>
      </c>
      <c r="BU29" s="211">
        <f t="shared" si="77"/>
        <v>0</v>
      </c>
      <c r="BV29" s="753">
        <f t="shared" si="77"/>
        <v>0</v>
      </c>
      <c r="BW29" s="752">
        <f t="shared" si="77"/>
        <v>0</v>
      </c>
      <c r="BX29" s="211">
        <f t="shared" si="77"/>
        <v>0</v>
      </c>
      <c r="BY29" s="211">
        <f t="shared" si="77"/>
        <v>0</v>
      </c>
      <c r="BZ29" s="753">
        <f t="shared" si="77"/>
        <v>0</v>
      </c>
      <c r="CA29" s="211">
        <f t="shared" si="77"/>
        <v>0</v>
      </c>
      <c r="CB29" s="211">
        <f t="shared" si="77"/>
        <v>0</v>
      </c>
      <c r="CC29" s="211">
        <f t="shared" si="77"/>
        <v>0</v>
      </c>
      <c r="CD29" s="216">
        <f t="shared" si="77"/>
        <v>0</v>
      </c>
      <c r="CE29" s="761">
        <f t="shared" si="77"/>
        <v>0</v>
      </c>
      <c r="CF29" s="211">
        <f t="shared" si="77"/>
        <v>0</v>
      </c>
      <c r="CG29" s="211">
        <f t="shared" si="77"/>
        <v>0</v>
      </c>
      <c r="CH29" s="211">
        <f t="shared" si="77"/>
        <v>0</v>
      </c>
      <c r="CI29" s="761">
        <f t="shared" si="77"/>
        <v>0</v>
      </c>
      <c r="CJ29" s="211">
        <f t="shared" si="77"/>
        <v>0</v>
      </c>
      <c r="CK29" s="211">
        <f t="shared" si="77"/>
        <v>0</v>
      </c>
      <c r="CL29" s="216">
        <f t="shared" si="77"/>
        <v>0</v>
      </c>
      <c r="CM29" s="719">
        <f>SUM(CM6:CM18)+CM19</f>
        <v>45</v>
      </c>
      <c r="CN29" s="211">
        <f t="shared" ref="CN29:DF29" si="78">SUM(CN6:CN18)+CN19</f>
        <v>324</v>
      </c>
      <c r="CO29" s="324">
        <f t="shared" si="78"/>
        <v>2708</v>
      </c>
      <c r="CP29" s="324">
        <f t="shared" ref="CP29" si="79">SUM(CP6:CP18)+CP19</f>
        <v>3250</v>
      </c>
      <c r="CQ29" s="755">
        <f t="shared" si="78"/>
        <v>145</v>
      </c>
      <c r="CR29" s="324">
        <f t="shared" si="78"/>
        <v>230</v>
      </c>
      <c r="CS29" s="324">
        <f t="shared" si="78"/>
        <v>3550</v>
      </c>
      <c r="CT29" s="757">
        <f t="shared" si="78"/>
        <v>3889</v>
      </c>
      <c r="CU29" s="755">
        <f t="shared" si="78"/>
        <v>0</v>
      </c>
      <c r="CV29" s="324">
        <f t="shared" ref="CV29" si="80">SUM(CV6:CV18)+CV19</f>
        <v>612</v>
      </c>
      <c r="CW29" s="324">
        <f t="shared" si="78"/>
        <v>4204</v>
      </c>
      <c r="CX29" s="757">
        <f t="shared" si="78"/>
        <v>5046</v>
      </c>
      <c r="CY29" s="752">
        <f t="shared" si="78"/>
        <v>0</v>
      </c>
      <c r="CZ29" s="324">
        <f t="shared" si="78"/>
        <v>516</v>
      </c>
      <c r="DA29" s="324">
        <f t="shared" si="78"/>
        <v>4467</v>
      </c>
      <c r="DB29" s="757">
        <f t="shared" ref="DB29" si="81">SUM(DB6:DB18)+DB19</f>
        <v>4884</v>
      </c>
      <c r="DC29" s="752">
        <f t="shared" si="78"/>
        <v>0</v>
      </c>
      <c r="DD29" s="324">
        <f t="shared" ref="DD29" si="82">SUM(DD6:DD18)+DD19</f>
        <v>1431</v>
      </c>
      <c r="DE29" s="211">
        <f t="shared" si="78"/>
        <v>5826</v>
      </c>
      <c r="DF29" s="753">
        <f t="shared" si="78"/>
        <v>6207</v>
      </c>
      <c r="DG29" s="752">
        <f t="shared" ref="DG29" si="83">SUM(DG6:DG18)+DG19</f>
        <v>0</v>
      </c>
      <c r="DH29" s="324">
        <f t="shared" ref="DH29" si="84">SUM(DH6:DH18)+DH19</f>
        <v>2207</v>
      </c>
      <c r="DI29" s="211"/>
      <c r="DJ29" s="753"/>
    </row>
    <row r="30" spans="1:114" ht="12" customHeight="1">
      <c r="A30" s="774"/>
      <c r="B30" s="414"/>
      <c r="C30" s="414"/>
      <c r="D30" s="414"/>
      <c r="E30" s="414"/>
      <c r="F30" s="743"/>
      <c r="G30" s="414"/>
      <c r="H30" s="414"/>
      <c r="I30" s="414"/>
      <c r="J30" s="743"/>
      <c r="K30" s="414"/>
      <c r="L30" s="414"/>
      <c r="M30" s="414"/>
      <c r="N30" s="743"/>
      <c r="O30" s="414"/>
      <c r="P30" s="414"/>
      <c r="Q30" s="414"/>
      <c r="R30" s="743"/>
      <c r="S30" s="414"/>
      <c r="T30" s="414"/>
      <c r="U30" s="414"/>
      <c r="V30" s="743"/>
      <c r="W30" s="439"/>
      <c r="X30" s="439"/>
      <c r="Y30" s="440"/>
      <c r="Z30" s="743"/>
      <c r="AA30" s="439"/>
      <c r="AB30" s="439"/>
      <c r="AC30" s="440"/>
      <c r="AD30" s="438"/>
      <c r="AE30" s="439"/>
      <c r="AF30" s="439"/>
      <c r="AG30" s="744"/>
      <c r="AH30" s="743"/>
      <c r="AI30" s="414"/>
      <c r="AJ30" s="439"/>
      <c r="AK30" s="744"/>
      <c r="AL30" s="743"/>
      <c r="AM30" s="414"/>
      <c r="AN30" s="439"/>
      <c r="AO30" s="744"/>
      <c r="AP30" s="743"/>
      <c r="AQ30" s="414"/>
      <c r="AR30" s="414"/>
      <c r="AS30" s="744"/>
      <c r="AT30" s="743"/>
      <c r="AU30" s="414"/>
      <c r="AV30" s="414"/>
      <c r="AW30" s="744"/>
      <c r="AX30" s="743"/>
      <c r="AY30" s="414"/>
      <c r="AZ30" s="414"/>
      <c r="BA30" s="744"/>
      <c r="BB30" s="414"/>
      <c r="BC30" s="762"/>
      <c r="BD30" s="762"/>
      <c r="BE30" s="762"/>
      <c r="BF30" s="762"/>
      <c r="BG30" s="959"/>
      <c r="BH30" s="960"/>
      <c r="BI30" s="960"/>
      <c r="BJ30" s="960"/>
      <c r="BK30" s="960"/>
      <c r="BL30" s="960"/>
      <c r="BM30" s="960"/>
      <c r="BN30" s="960"/>
      <c r="BO30" s="960"/>
      <c r="BP30" s="960"/>
      <c r="BR30" s="1386"/>
      <c r="BS30" s="1383"/>
      <c r="BT30" s="1383"/>
      <c r="BU30" s="439"/>
      <c r="BV30" s="440"/>
      <c r="BW30" s="438"/>
      <c r="BX30" s="439"/>
      <c r="BY30" s="439"/>
      <c r="BZ30" s="440"/>
      <c r="CA30" s="438"/>
      <c r="CB30" s="439"/>
      <c r="CC30" s="439"/>
      <c r="CD30" s="440"/>
      <c r="CE30" s="438"/>
      <c r="CF30" s="439"/>
      <c r="CG30" s="439"/>
      <c r="CH30" s="439"/>
      <c r="CI30" s="763"/>
      <c r="CJ30" s="439"/>
      <c r="CK30" s="439"/>
      <c r="CL30" s="440"/>
      <c r="CM30" s="438"/>
      <c r="CN30" s="439"/>
      <c r="CO30" s="414"/>
      <c r="CP30" s="439"/>
      <c r="CQ30" s="743"/>
      <c r="CR30" s="439"/>
      <c r="CS30" s="439"/>
      <c r="CT30" s="440"/>
      <c r="CU30" s="743"/>
      <c r="CV30" s="439"/>
      <c r="CW30" s="439"/>
      <c r="CX30" s="744"/>
      <c r="CY30" s="438"/>
      <c r="CZ30" s="439"/>
      <c r="DA30" s="439"/>
      <c r="DB30" s="744"/>
      <c r="DC30" s="438"/>
      <c r="DD30" s="414"/>
      <c r="DE30" s="439"/>
      <c r="DF30" s="440"/>
      <c r="DG30" s="438"/>
      <c r="DH30" s="414"/>
      <c r="DI30" s="439"/>
      <c r="DJ30" s="440"/>
    </row>
    <row r="31" spans="1:114" ht="12" customHeight="1">
      <c r="A31" s="740" t="s">
        <v>343</v>
      </c>
      <c r="B31" s="893"/>
      <c r="C31" s="414"/>
      <c r="D31" s="414"/>
      <c r="E31" s="414"/>
      <c r="F31" s="894"/>
      <c r="G31" s="414"/>
      <c r="H31" s="414"/>
      <c r="I31" s="414"/>
      <c r="J31" s="894"/>
      <c r="K31" s="414"/>
      <c r="L31" s="414"/>
      <c r="M31" s="414"/>
      <c r="N31" s="894"/>
      <c r="O31" s="414"/>
      <c r="P31" s="414"/>
      <c r="Q31" s="414"/>
      <c r="R31" s="894"/>
      <c r="S31" s="414"/>
      <c r="T31" s="414"/>
      <c r="U31" s="414"/>
      <c r="V31" s="894"/>
      <c r="W31" s="439"/>
      <c r="X31" s="439"/>
      <c r="Y31" s="748"/>
      <c r="Z31" s="894"/>
      <c r="AA31" s="439"/>
      <c r="AB31" s="439"/>
      <c r="AC31" s="748"/>
      <c r="AD31" s="438"/>
      <c r="AE31" s="439"/>
      <c r="AF31" s="439"/>
      <c r="AG31" s="751"/>
      <c r="AH31" s="743"/>
      <c r="AI31" s="414"/>
      <c r="AJ31" s="439"/>
      <c r="AK31" s="751"/>
      <c r="AL31" s="743"/>
      <c r="AM31" s="414"/>
      <c r="AN31" s="439"/>
      <c r="AO31" s="751"/>
      <c r="AP31" s="743"/>
      <c r="AQ31" s="414"/>
      <c r="AR31" s="414"/>
      <c r="AS31" s="751"/>
      <c r="AT31" s="743"/>
      <c r="AU31" s="414"/>
      <c r="AV31" s="414"/>
      <c r="AW31" s="751"/>
      <c r="AX31" s="743"/>
      <c r="AY31" s="414"/>
      <c r="AZ31" s="414"/>
      <c r="BA31" s="751"/>
      <c r="BB31" s="414"/>
      <c r="BC31" s="741"/>
      <c r="BD31" s="741"/>
      <c r="BE31" s="741"/>
      <c r="BF31" s="741"/>
      <c r="BG31" s="957"/>
      <c r="BH31" s="957"/>
      <c r="BI31" s="960"/>
      <c r="BJ31" s="957"/>
      <c r="BK31" s="957"/>
      <c r="BL31" s="957"/>
      <c r="BM31" s="957"/>
      <c r="BN31" s="957"/>
      <c r="BO31" s="957"/>
      <c r="BP31" s="957"/>
      <c r="BR31" s="1386"/>
      <c r="BS31" s="1383"/>
      <c r="BT31" s="1383"/>
      <c r="BU31" s="439"/>
      <c r="BV31" s="748"/>
      <c r="BW31" s="438"/>
      <c r="BX31" s="439"/>
      <c r="BY31" s="439"/>
      <c r="BZ31" s="748"/>
      <c r="CA31" s="438"/>
      <c r="CB31" s="439"/>
      <c r="CC31" s="439"/>
      <c r="CD31" s="748"/>
      <c r="CE31" s="438"/>
      <c r="CF31" s="439"/>
      <c r="CG31" s="439"/>
      <c r="CH31" s="110"/>
      <c r="CI31" s="763"/>
      <c r="CJ31" s="439"/>
      <c r="CK31" s="439"/>
      <c r="CL31" s="748"/>
      <c r="CM31" s="438"/>
      <c r="CN31" s="439"/>
      <c r="CO31" s="414"/>
      <c r="CP31" s="439"/>
      <c r="CQ31" s="743"/>
      <c r="CR31" s="439"/>
      <c r="CS31" s="439"/>
      <c r="CT31" s="748"/>
      <c r="CU31" s="743"/>
      <c r="CV31" s="439"/>
      <c r="CW31" s="439"/>
      <c r="CX31" s="748"/>
      <c r="CY31" s="438"/>
      <c r="CZ31" s="439"/>
      <c r="DA31" s="439"/>
      <c r="DB31" s="748"/>
      <c r="DC31" s="438"/>
      <c r="DD31" s="414"/>
      <c r="DE31" s="439"/>
      <c r="DF31" s="748"/>
      <c r="DG31" s="438"/>
      <c r="DH31" s="414"/>
      <c r="DI31" s="439"/>
      <c r="DJ31" s="748"/>
    </row>
    <row r="32" spans="1:114" ht="12" customHeight="1">
      <c r="A32" s="895" t="s">
        <v>97</v>
      </c>
      <c r="B32" s="884">
        <v>-117</v>
      </c>
      <c r="C32" s="884">
        <v>-64</v>
      </c>
      <c r="D32" s="884">
        <v>-408</v>
      </c>
      <c r="E32" s="884">
        <v>-345</v>
      </c>
      <c r="F32" s="885">
        <v>-125</v>
      </c>
      <c r="G32" s="884">
        <v>-76</v>
      </c>
      <c r="H32" s="884">
        <v>-85</v>
      </c>
      <c r="I32" s="884">
        <v>-66</v>
      </c>
      <c r="J32" s="885">
        <v>-86</v>
      </c>
      <c r="K32" s="884">
        <v>-51</v>
      </c>
      <c r="L32" s="884">
        <v>-166</v>
      </c>
      <c r="M32" s="884">
        <v>-104</v>
      </c>
      <c r="N32" s="885">
        <v>-70</v>
      </c>
      <c r="O32" s="884">
        <v>-83</v>
      </c>
      <c r="P32" s="884">
        <v>-226</v>
      </c>
      <c r="Q32" s="884">
        <v>-373</v>
      </c>
      <c r="R32" s="885">
        <v>-207</v>
      </c>
      <c r="S32" s="884">
        <v>-150</v>
      </c>
      <c r="T32" s="884">
        <v>-130</v>
      </c>
      <c r="U32" s="884">
        <v>-214</v>
      </c>
      <c r="V32" s="885">
        <f t="shared" ref="V32:V41" si="85">+CM32</f>
        <v>-198</v>
      </c>
      <c r="W32" s="707">
        <f t="shared" ref="W32:AC41" si="86">+CN32-CM32</f>
        <v>-337</v>
      </c>
      <c r="X32" s="707">
        <f t="shared" si="86"/>
        <v>-369</v>
      </c>
      <c r="Y32" s="874">
        <f t="shared" si="86"/>
        <v>-585</v>
      </c>
      <c r="Z32" s="885">
        <f t="shared" ref="Z32:Z41" si="87">+CQ32</f>
        <v>-257</v>
      </c>
      <c r="AA32" s="707">
        <f t="shared" si="86"/>
        <v>-61</v>
      </c>
      <c r="AB32" s="707">
        <f t="shared" si="86"/>
        <v>-265</v>
      </c>
      <c r="AC32" s="874">
        <f t="shared" si="86"/>
        <v>-247</v>
      </c>
      <c r="AD32" s="875">
        <v>-256</v>
      </c>
      <c r="AE32" s="707">
        <f t="shared" ref="AE32:AE41" si="88">+CV32-AD32</f>
        <v>-132</v>
      </c>
      <c r="AF32" s="707">
        <f t="shared" ref="AF32:AG41" si="89">+CW32-CV32</f>
        <v>-178</v>
      </c>
      <c r="AG32" s="964">
        <f t="shared" si="89"/>
        <v>-449</v>
      </c>
      <c r="AH32" s="885">
        <v>-92</v>
      </c>
      <c r="AI32" s="707">
        <f t="shared" ref="AI32:AI41" si="90">+CZ32-AH32</f>
        <v>0</v>
      </c>
      <c r="AJ32" s="707">
        <f t="shared" ref="AJ32:AK41" si="91">+DA32-CZ32</f>
        <v>-472</v>
      </c>
      <c r="AK32" s="964">
        <f t="shared" si="91"/>
        <v>-216</v>
      </c>
      <c r="AL32" s="885">
        <v>-306</v>
      </c>
      <c r="AM32" s="707">
        <f t="shared" ref="AM32:AM41" si="92">+DD32-AL32</f>
        <v>-15</v>
      </c>
      <c r="AN32" s="707">
        <f t="shared" ref="AN32:AO41" si="93">+DE32-DD32</f>
        <v>-759</v>
      </c>
      <c r="AO32" s="964">
        <f t="shared" si="93"/>
        <v>-1283</v>
      </c>
      <c r="AP32" s="885">
        <v>-101</v>
      </c>
      <c r="AQ32" s="707">
        <f t="shared" ref="AQ32:AQ41" si="94">+DH32-AP32</f>
        <v>-14</v>
      </c>
      <c r="AR32" s="884">
        <v>0</v>
      </c>
      <c r="AS32" s="964">
        <v>0</v>
      </c>
      <c r="AT32" s="885">
        <v>0</v>
      </c>
      <c r="AU32" s="884">
        <v>0</v>
      </c>
      <c r="AV32" s="884">
        <v>0</v>
      </c>
      <c r="AW32" s="964">
        <v>0</v>
      </c>
      <c r="AX32" s="885">
        <v>0</v>
      </c>
      <c r="AY32" s="884">
        <v>0</v>
      </c>
      <c r="AZ32" s="884">
        <v>0</v>
      </c>
      <c r="BA32" s="964">
        <v>0</v>
      </c>
      <c r="BB32" s="414"/>
      <c r="BC32" s="656"/>
      <c r="BD32" s="656">
        <f t="shared" ref="BD32:BD42" si="95">+SUM(B32:E32)</f>
        <v>-934</v>
      </c>
      <c r="BE32" s="656">
        <f t="shared" ref="BE32:BE42" si="96">+SUM(F32:I32)</f>
        <v>-352</v>
      </c>
      <c r="BF32" s="656">
        <f t="shared" ref="BF32:BF42" si="97">+SUM(J32:M32)</f>
        <v>-407</v>
      </c>
      <c r="BG32" s="957">
        <f t="shared" ref="BG32:BG42" si="98">SUM(N32:Q32)</f>
        <v>-752</v>
      </c>
      <c r="BH32" s="957">
        <f t="shared" ref="BH32:BH42" si="99">SUM(R32:U32)</f>
        <v>-701</v>
      </c>
      <c r="BI32" s="957">
        <f t="shared" ref="BI32:BI42" si="100">SUM(V32:Y32)</f>
        <v>-1489</v>
      </c>
      <c r="BJ32" s="957">
        <f t="shared" ref="BJ32:BJ42" si="101">SUM(Z32:AC32)</f>
        <v>-830</v>
      </c>
      <c r="BK32" s="957">
        <f t="shared" ref="BK32:BK42" si="102">SUM(AD32:AG32)</f>
        <v>-1015</v>
      </c>
      <c r="BL32" s="957">
        <f t="shared" ref="BL32:BL42" si="103">+SUM(AH32:AK32)</f>
        <v>-780</v>
      </c>
      <c r="BM32" s="957">
        <f t="shared" ref="BM32:BM42" si="104">+SUM(AL32:AO32)</f>
        <v>-2363</v>
      </c>
      <c r="BN32" s="957">
        <f t="shared" ref="BN32:BN42" si="105">+SUM(AP32:AS32)</f>
        <v>-115</v>
      </c>
      <c r="BO32" s="957">
        <f t="shared" ref="BO32:BO42" si="106">+SUM(AT32:AW32)</f>
        <v>0</v>
      </c>
      <c r="BP32" s="957">
        <f t="shared" ref="BP32:BP42" si="107">+SUM(AX32:BA32)</f>
        <v>0</v>
      </c>
      <c r="BQ32" s="747"/>
      <c r="BR32" s="1386"/>
      <c r="BS32" s="1385"/>
      <c r="BT32" s="1385"/>
      <c r="BU32" s="110"/>
      <c r="BV32" s="748"/>
      <c r="BW32" s="746"/>
      <c r="BX32" s="110"/>
      <c r="BY32" s="110"/>
      <c r="BZ32" s="748"/>
      <c r="CA32" s="746"/>
      <c r="CB32" s="110"/>
      <c r="CC32" s="110"/>
      <c r="CD32" s="748"/>
      <c r="CE32" s="746"/>
      <c r="CF32" s="110"/>
      <c r="CG32" s="110"/>
      <c r="CH32" s="203"/>
      <c r="CI32" s="110"/>
      <c r="CJ32" s="110"/>
      <c r="CK32" s="110"/>
      <c r="CL32" s="203"/>
      <c r="CM32" s="707">
        <v>-198</v>
      </c>
      <c r="CN32" s="110">
        <v>-535</v>
      </c>
      <c r="CO32" s="327">
        <v>-904</v>
      </c>
      <c r="CP32" s="327">
        <v>-1489</v>
      </c>
      <c r="CQ32" s="749">
        <v>-257</v>
      </c>
      <c r="CR32" s="327">
        <v>-318</v>
      </c>
      <c r="CS32" s="327">
        <v>-583</v>
      </c>
      <c r="CT32" s="751">
        <v>-830</v>
      </c>
      <c r="CU32" s="749"/>
      <c r="CV32" s="327">
        <v>-388</v>
      </c>
      <c r="CW32" s="327">
        <v>-566</v>
      </c>
      <c r="CX32" s="751">
        <v>-1015</v>
      </c>
      <c r="CY32" s="746"/>
      <c r="CZ32" s="327">
        <v>-92</v>
      </c>
      <c r="DA32" s="327">
        <v>-564</v>
      </c>
      <c r="DB32" s="751">
        <v>-780</v>
      </c>
      <c r="DC32" s="746"/>
      <c r="DD32" s="327">
        <v>-321</v>
      </c>
      <c r="DE32" s="110">
        <v>-1080</v>
      </c>
      <c r="DF32" s="748">
        <v>-2363</v>
      </c>
      <c r="DG32" s="746"/>
      <c r="DH32" s="327">
        <v>-115</v>
      </c>
      <c r="DI32" s="110"/>
      <c r="DJ32" s="748"/>
    </row>
    <row r="33" spans="1:114" ht="12" customHeight="1">
      <c r="A33" s="895" t="s">
        <v>98</v>
      </c>
      <c r="B33" s="884">
        <v>940</v>
      </c>
      <c r="C33" s="884">
        <v>2</v>
      </c>
      <c r="D33" s="884">
        <v>48</v>
      </c>
      <c r="E33" s="884">
        <v>175</v>
      </c>
      <c r="F33" s="885">
        <v>298</v>
      </c>
      <c r="G33" s="884">
        <v>18</v>
      </c>
      <c r="H33" s="884">
        <v>16</v>
      </c>
      <c r="I33" s="884">
        <v>27</v>
      </c>
      <c r="J33" s="885">
        <v>38</v>
      </c>
      <c r="K33" s="884">
        <v>30</v>
      </c>
      <c r="L33" s="884">
        <v>19</v>
      </c>
      <c r="M33" s="884">
        <v>41</v>
      </c>
      <c r="N33" s="885">
        <v>33</v>
      </c>
      <c r="O33" s="884">
        <v>9</v>
      </c>
      <c r="P33" s="884">
        <v>18</v>
      </c>
      <c r="Q33" s="884">
        <v>24</v>
      </c>
      <c r="R33" s="885">
        <v>53</v>
      </c>
      <c r="S33" s="884">
        <v>20</v>
      </c>
      <c r="T33" s="884">
        <v>32</v>
      </c>
      <c r="U33" s="884">
        <v>25</v>
      </c>
      <c r="V33" s="885">
        <f t="shared" si="85"/>
        <v>30</v>
      </c>
      <c r="W33" s="707">
        <f t="shared" si="86"/>
        <v>59</v>
      </c>
      <c r="X33" s="707">
        <f t="shared" si="86"/>
        <v>63</v>
      </c>
      <c r="Y33" s="874">
        <f t="shared" si="86"/>
        <v>77</v>
      </c>
      <c r="Z33" s="885">
        <f t="shared" si="87"/>
        <v>1053</v>
      </c>
      <c r="AA33" s="707">
        <f t="shared" si="86"/>
        <v>376</v>
      </c>
      <c r="AB33" s="707">
        <f t="shared" si="86"/>
        <v>19</v>
      </c>
      <c r="AC33" s="874">
        <f t="shared" si="86"/>
        <v>76</v>
      </c>
      <c r="AD33" s="875">
        <v>44</v>
      </c>
      <c r="AE33" s="707">
        <f t="shared" si="88"/>
        <v>81</v>
      </c>
      <c r="AF33" s="707">
        <f t="shared" si="89"/>
        <v>71</v>
      </c>
      <c r="AG33" s="964">
        <f t="shared" si="89"/>
        <v>44</v>
      </c>
      <c r="AH33" s="885">
        <v>94</v>
      </c>
      <c r="AI33" s="707">
        <f t="shared" si="90"/>
        <v>396</v>
      </c>
      <c r="AJ33" s="707">
        <f t="shared" si="91"/>
        <v>1</v>
      </c>
      <c r="AK33" s="964">
        <f t="shared" si="91"/>
        <v>35</v>
      </c>
      <c r="AL33" s="885">
        <v>55</v>
      </c>
      <c r="AM33" s="707">
        <f t="shared" si="92"/>
        <v>78</v>
      </c>
      <c r="AN33" s="707">
        <f t="shared" si="93"/>
        <v>35</v>
      </c>
      <c r="AO33" s="964">
        <f t="shared" si="93"/>
        <v>152</v>
      </c>
      <c r="AP33" s="885">
        <v>115</v>
      </c>
      <c r="AQ33" s="707">
        <f t="shared" si="94"/>
        <v>4</v>
      </c>
      <c r="AR33" s="884">
        <v>0</v>
      </c>
      <c r="AS33" s="964">
        <v>0</v>
      </c>
      <c r="AT33" s="885">
        <v>0</v>
      </c>
      <c r="AU33" s="884">
        <v>0</v>
      </c>
      <c r="AV33" s="884">
        <v>0</v>
      </c>
      <c r="AW33" s="964">
        <v>0</v>
      </c>
      <c r="AX33" s="885">
        <v>0</v>
      </c>
      <c r="AY33" s="884">
        <v>0</v>
      </c>
      <c r="AZ33" s="884">
        <v>0</v>
      </c>
      <c r="BA33" s="964">
        <v>0</v>
      </c>
      <c r="BB33" s="414"/>
      <c r="BC33" s="656"/>
      <c r="BD33" s="656">
        <f t="shared" si="95"/>
        <v>1165</v>
      </c>
      <c r="BE33" s="656">
        <f t="shared" si="96"/>
        <v>359</v>
      </c>
      <c r="BF33" s="656">
        <f t="shared" si="97"/>
        <v>128</v>
      </c>
      <c r="BG33" s="957">
        <f t="shared" si="98"/>
        <v>84</v>
      </c>
      <c r="BH33" s="957">
        <f t="shared" si="99"/>
        <v>130</v>
      </c>
      <c r="BI33" s="957">
        <f t="shared" si="100"/>
        <v>229</v>
      </c>
      <c r="BJ33" s="957">
        <f t="shared" si="101"/>
        <v>1524</v>
      </c>
      <c r="BK33" s="957">
        <f t="shared" si="102"/>
        <v>240</v>
      </c>
      <c r="BL33" s="957">
        <f t="shared" si="103"/>
        <v>526</v>
      </c>
      <c r="BM33" s="957">
        <f t="shared" si="104"/>
        <v>320</v>
      </c>
      <c r="BN33" s="957">
        <f t="shared" si="105"/>
        <v>119</v>
      </c>
      <c r="BO33" s="957">
        <f t="shared" si="106"/>
        <v>0</v>
      </c>
      <c r="BP33" s="957">
        <f t="shared" si="107"/>
        <v>0</v>
      </c>
      <c r="BQ33" s="747"/>
      <c r="BR33" s="1386"/>
      <c r="BS33" s="1385"/>
      <c r="BT33" s="1385"/>
      <c r="BU33" s="110"/>
      <c r="BV33" s="748"/>
      <c r="BW33" s="746"/>
      <c r="BX33" s="110"/>
      <c r="BY33" s="110"/>
      <c r="BZ33" s="748"/>
      <c r="CA33" s="746"/>
      <c r="CB33" s="110"/>
      <c r="CC33" s="110"/>
      <c r="CD33" s="748"/>
      <c r="CE33" s="746"/>
      <c r="CF33" s="110"/>
      <c r="CG33" s="110"/>
      <c r="CH33" s="203"/>
      <c r="CI33" s="110"/>
      <c r="CJ33" s="110"/>
      <c r="CK33" s="110"/>
      <c r="CL33" s="203"/>
      <c r="CM33" s="707">
        <v>30</v>
      </c>
      <c r="CN33" s="110">
        <v>89</v>
      </c>
      <c r="CO33" s="327">
        <v>152</v>
      </c>
      <c r="CP33" s="327">
        <v>229</v>
      </c>
      <c r="CQ33" s="749">
        <v>1053</v>
      </c>
      <c r="CR33" s="327">
        <v>1429</v>
      </c>
      <c r="CS33" s="327">
        <v>1448</v>
      </c>
      <c r="CT33" s="751">
        <v>1524</v>
      </c>
      <c r="CU33" s="749"/>
      <c r="CV33" s="327">
        <v>125</v>
      </c>
      <c r="CW33" s="327">
        <v>196</v>
      </c>
      <c r="CX33" s="751">
        <v>240</v>
      </c>
      <c r="CY33" s="746"/>
      <c r="CZ33" s="327">
        <v>490</v>
      </c>
      <c r="DA33" s="327">
        <v>491</v>
      </c>
      <c r="DB33" s="751">
        <v>526</v>
      </c>
      <c r="DC33" s="746"/>
      <c r="DD33" s="327">
        <v>133</v>
      </c>
      <c r="DE33" s="110">
        <v>168</v>
      </c>
      <c r="DF33" s="748">
        <v>320</v>
      </c>
      <c r="DG33" s="746"/>
      <c r="DH33" s="327">
        <v>119</v>
      </c>
      <c r="DI33" s="110"/>
      <c r="DJ33" s="748"/>
    </row>
    <row r="34" spans="1:114" ht="12" customHeight="1">
      <c r="A34" s="895" t="s">
        <v>99</v>
      </c>
      <c r="B34" s="884">
        <v>64</v>
      </c>
      <c r="C34" s="884">
        <v>62</v>
      </c>
      <c r="D34" s="884">
        <v>34</v>
      </c>
      <c r="E34" s="884">
        <v>27</v>
      </c>
      <c r="F34" s="885">
        <v>22</v>
      </c>
      <c r="G34" s="884">
        <v>57</v>
      </c>
      <c r="H34" s="884">
        <v>71</v>
      </c>
      <c r="I34" s="884">
        <v>33</v>
      </c>
      <c r="J34" s="885">
        <v>46</v>
      </c>
      <c r="K34" s="884">
        <v>20</v>
      </c>
      <c r="L34" s="884">
        <v>71</v>
      </c>
      <c r="M34" s="884">
        <v>149</v>
      </c>
      <c r="N34" s="885">
        <v>41</v>
      </c>
      <c r="O34" s="884">
        <v>65</v>
      </c>
      <c r="P34" s="884">
        <v>69</v>
      </c>
      <c r="Q34" s="884">
        <v>128</v>
      </c>
      <c r="R34" s="885">
        <v>156</v>
      </c>
      <c r="S34" s="884">
        <v>131</v>
      </c>
      <c r="T34" s="884">
        <v>121</v>
      </c>
      <c r="U34" s="884">
        <v>188</v>
      </c>
      <c r="V34" s="885">
        <f t="shared" si="85"/>
        <v>156</v>
      </c>
      <c r="W34" s="707">
        <f t="shared" si="86"/>
        <v>109</v>
      </c>
      <c r="X34" s="707">
        <f t="shared" si="86"/>
        <v>136</v>
      </c>
      <c r="Y34" s="874">
        <f t="shared" si="86"/>
        <v>149</v>
      </c>
      <c r="Z34" s="885">
        <f t="shared" si="87"/>
        <v>123</v>
      </c>
      <c r="AA34" s="707">
        <f t="shared" si="86"/>
        <v>31</v>
      </c>
      <c r="AB34" s="707">
        <f t="shared" si="86"/>
        <v>23</v>
      </c>
      <c r="AC34" s="874">
        <f t="shared" si="86"/>
        <v>57</v>
      </c>
      <c r="AD34" s="875">
        <v>90</v>
      </c>
      <c r="AE34" s="707">
        <f t="shared" si="88"/>
        <v>135</v>
      </c>
      <c r="AF34" s="707">
        <f t="shared" si="89"/>
        <v>110</v>
      </c>
      <c r="AG34" s="874">
        <f t="shared" si="89"/>
        <v>114</v>
      </c>
      <c r="AH34" s="885">
        <v>301</v>
      </c>
      <c r="AI34" s="707">
        <f t="shared" si="90"/>
        <v>155</v>
      </c>
      <c r="AJ34" s="707">
        <f t="shared" si="91"/>
        <v>33</v>
      </c>
      <c r="AK34" s="874">
        <f t="shared" si="91"/>
        <v>187</v>
      </c>
      <c r="AL34" s="885">
        <v>235</v>
      </c>
      <c r="AM34" s="707">
        <f t="shared" si="92"/>
        <v>402</v>
      </c>
      <c r="AN34" s="707">
        <f t="shared" si="93"/>
        <v>19</v>
      </c>
      <c r="AO34" s="874">
        <f t="shared" si="93"/>
        <v>208</v>
      </c>
      <c r="AP34" s="885">
        <v>1473</v>
      </c>
      <c r="AQ34" s="707">
        <f t="shared" si="94"/>
        <v>168</v>
      </c>
      <c r="AR34" s="707">
        <v>0</v>
      </c>
      <c r="AS34" s="874">
        <v>0</v>
      </c>
      <c r="AT34" s="875">
        <v>0</v>
      </c>
      <c r="AU34" s="707">
        <v>0</v>
      </c>
      <c r="AV34" s="707">
        <v>0</v>
      </c>
      <c r="AW34" s="874">
        <v>0</v>
      </c>
      <c r="AX34" s="875">
        <v>0</v>
      </c>
      <c r="AY34" s="707">
        <v>0</v>
      </c>
      <c r="AZ34" s="707">
        <v>0</v>
      </c>
      <c r="BA34" s="874">
        <v>0</v>
      </c>
      <c r="BB34" s="439"/>
      <c r="BC34" s="656"/>
      <c r="BD34" s="656">
        <f t="shared" ref="BD34" si="108">+SUM(B34:E34)</f>
        <v>187</v>
      </c>
      <c r="BE34" s="656">
        <f t="shared" ref="BE34" si="109">+SUM(F34:I34)</f>
        <v>183</v>
      </c>
      <c r="BF34" s="656">
        <f t="shared" si="97"/>
        <v>286</v>
      </c>
      <c r="BG34" s="957">
        <f t="shared" si="98"/>
        <v>303</v>
      </c>
      <c r="BH34" s="957">
        <f t="shared" si="99"/>
        <v>596</v>
      </c>
      <c r="BI34" s="957">
        <f t="shared" si="100"/>
        <v>550</v>
      </c>
      <c r="BJ34" s="957">
        <f t="shared" si="101"/>
        <v>234</v>
      </c>
      <c r="BK34" s="957">
        <f t="shared" si="102"/>
        <v>449</v>
      </c>
      <c r="BL34" s="957">
        <f t="shared" si="103"/>
        <v>676</v>
      </c>
      <c r="BM34" s="957">
        <f t="shared" si="104"/>
        <v>864</v>
      </c>
      <c r="BN34" s="957">
        <f t="shared" si="105"/>
        <v>1641</v>
      </c>
      <c r="BO34" s="957">
        <f t="shared" si="106"/>
        <v>0</v>
      </c>
      <c r="BP34" s="957">
        <f t="shared" si="107"/>
        <v>0</v>
      </c>
      <c r="BQ34" s="747"/>
      <c r="BR34" s="1386"/>
      <c r="BS34" s="1385"/>
      <c r="BT34" s="1385"/>
      <c r="BU34" s="110"/>
      <c r="BV34" s="748"/>
      <c r="BW34" s="746"/>
      <c r="BX34" s="110"/>
      <c r="BY34" s="110"/>
      <c r="BZ34" s="748"/>
      <c r="CA34" s="746"/>
      <c r="CB34" s="110"/>
      <c r="CC34" s="110"/>
      <c r="CD34" s="748"/>
      <c r="CE34" s="746"/>
      <c r="CF34" s="110"/>
      <c r="CG34" s="110"/>
      <c r="CH34" s="203"/>
      <c r="CI34" s="110"/>
      <c r="CJ34" s="110"/>
      <c r="CK34" s="110"/>
      <c r="CL34" s="203"/>
      <c r="CM34" s="707">
        <v>156</v>
      </c>
      <c r="CN34" s="110">
        <v>265</v>
      </c>
      <c r="CO34" s="327">
        <v>401</v>
      </c>
      <c r="CP34" s="327">
        <v>550</v>
      </c>
      <c r="CQ34" s="749">
        <v>123</v>
      </c>
      <c r="CR34" s="327">
        <v>154</v>
      </c>
      <c r="CS34" s="327">
        <v>177</v>
      </c>
      <c r="CT34" s="751">
        <v>234</v>
      </c>
      <c r="CU34" s="749"/>
      <c r="CV34" s="327">
        <v>225</v>
      </c>
      <c r="CW34" s="327">
        <v>335</v>
      </c>
      <c r="CX34" s="751">
        <v>449</v>
      </c>
      <c r="CY34" s="746"/>
      <c r="CZ34" s="327">
        <v>456</v>
      </c>
      <c r="DA34" s="327">
        <v>489</v>
      </c>
      <c r="DB34" s="751">
        <v>676</v>
      </c>
      <c r="DC34" s="746"/>
      <c r="DD34" s="327">
        <v>637</v>
      </c>
      <c r="DE34" s="110">
        <v>656</v>
      </c>
      <c r="DF34" s="748">
        <v>864</v>
      </c>
      <c r="DG34" s="746"/>
      <c r="DH34" s="327">
        <v>1641</v>
      </c>
      <c r="DI34" s="110"/>
      <c r="DJ34" s="748"/>
    </row>
    <row r="35" spans="1:114" ht="12" hidden="1" customHeight="1" outlineLevel="1">
      <c r="A35" s="895" t="s">
        <v>107</v>
      </c>
      <c r="B35" s="884">
        <v>0</v>
      </c>
      <c r="C35" s="884">
        <v>0</v>
      </c>
      <c r="D35" s="884">
        <v>0</v>
      </c>
      <c r="E35" s="884">
        <v>25</v>
      </c>
      <c r="F35" s="885">
        <v>0</v>
      </c>
      <c r="G35" s="884">
        <v>0</v>
      </c>
      <c r="H35" s="884">
        <v>0</v>
      </c>
      <c r="I35" s="884">
        <v>0</v>
      </c>
      <c r="J35" s="885">
        <v>-53</v>
      </c>
      <c r="K35" s="884">
        <v>103</v>
      </c>
      <c r="L35" s="884">
        <v>-3</v>
      </c>
      <c r="M35" s="884">
        <v>-52</v>
      </c>
      <c r="N35" s="885">
        <v>0</v>
      </c>
      <c r="O35" s="884">
        <v>67</v>
      </c>
      <c r="P35" s="884">
        <v>-51</v>
      </c>
      <c r="Q35" s="884">
        <v>53</v>
      </c>
      <c r="R35" s="885">
        <v>0</v>
      </c>
      <c r="S35" s="884">
        <v>0</v>
      </c>
      <c r="T35" s="884">
        <v>0</v>
      </c>
      <c r="U35" s="884">
        <v>0</v>
      </c>
      <c r="V35" s="885">
        <f t="shared" si="85"/>
        <v>0</v>
      </c>
      <c r="W35" s="707">
        <f t="shared" si="86"/>
        <v>0</v>
      </c>
      <c r="X35" s="707">
        <f t="shared" si="86"/>
        <v>0</v>
      </c>
      <c r="Y35" s="874">
        <f t="shared" si="86"/>
        <v>0</v>
      </c>
      <c r="Z35" s="885">
        <f t="shared" si="87"/>
        <v>0</v>
      </c>
      <c r="AA35" s="707">
        <f t="shared" si="86"/>
        <v>0</v>
      </c>
      <c r="AB35" s="707">
        <f t="shared" si="86"/>
        <v>0</v>
      </c>
      <c r="AC35" s="874">
        <f t="shared" si="86"/>
        <v>0</v>
      </c>
      <c r="AD35" s="875">
        <v>0</v>
      </c>
      <c r="AE35" s="707">
        <f t="shared" si="88"/>
        <v>0</v>
      </c>
      <c r="AF35" s="707">
        <f t="shared" si="89"/>
        <v>0</v>
      </c>
      <c r="AG35" s="874">
        <f t="shared" si="89"/>
        <v>0</v>
      </c>
      <c r="AH35" s="885">
        <v>0</v>
      </c>
      <c r="AI35" s="707">
        <f t="shared" si="90"/>
        <v>0</v>
      </c>
      <c r="AJ35" s="707">
        <f t="shared" si="91"/>
        <v>0</v>
      </c>
      <c r="AK35" s="874">
        <f t="shared" si="91"/>
        <v>0</v>
      </c>
      <c r="AL35" s="885">
        <v>0</v>
      </c>
      <c r="AM35" s="707">
        <f t="shared" si="92"/>
        <v>0</v>
      </c>
      <c r="AN35" s="707">
        <f t="shared" si="93"/>
        <v>0</v>
      </c>
      <c r="AO35" s="874">
        <f t="shared" si="93"/>
        <v>0</v>
      </c>
      <c r="AP35" s="885">
        <v>0</v>
      </c>
      <c r="AQ35" s="707">
        <f t="shared" si="94"/>
        <v>0</v>
      </c>
      <c r="AR35" s="876">
        <v>0</v>
      </c>
      <c r="AS35" s="877">
        <v>0</v>
      </c>
      <c r="AT35" s="878">
        <v>0</v>
      </c>
      <c r="AU35" s="876">
        <v>0</v>
      </c>
      <c r="AV35" s="876">
        <v>0</v>
      </c>
      <c r="AW35" s="877">
        <v>0</v>
      </c>
      <c r="AX35" s="878">
        <v>0</v>
      </c>
      <c r="AY35" s="876">
        <v>0</v>
      </c>
      <c r="AZ35" s="876">
        <v>0</v>
      </c>
      <c r="BA35" s="877">
        <v>0</v>
      </c>
      <c r="BB35" s="439"/>
      <c r="BC35" s="656"/>
      <c r="BD35" s="656">
        <f t="shared" si="95"/>
        <v>25</v>
      </c>
      <c r="BE35" s="656">
        <f t="shared" si="96"/>
        <v>0</v>
      </c>
      <c r="BF35" s="746">
        <f t="shared" si="97"/>
        <v>-5</v>
      </c>
      <c r="BG35" s="957">
        <f t="shared" si="98"/>
        <v>69</v>
      </c>
      <c r="BH35" s="957">
        <f t="shared" si="99"/>
        <v>0</v>
      </c>
      <c r="BI35" s="957">
        <f t="shared" si="100"/>
        <v>0</v>
      </c>
      <c r="BJ35" s="957">
        <f t="shared" si="101"/>
        <v>0</v>
      </c>
      <c r="BK35" s="957">
        <f t="shared" si="102"/>
        <v>0</v>
      </c>
      <c r="BL35" s="957">
        <f t="shared" si="103"/>
        <v>0</v>
      </c>
      <c r="BM35" s="957">
        <f t="shared" si="104"/>
        <v>0</v>
      </c>
      <c r="BN35" s="957">
        <f t="shared" si="105"/>
        <v>0</v>
      </c>
      <c r="BO35" s="957">
        <f t="shared" si="106"/>
        <v>0</v>
      </c>
      <c r="BP35" s="957">
        <f t="shared" si="107"/>
        <v>0</v>
      </c>
      <c r="BQ35" s="747"/>
      <c r="BR35" s="1386"/>
      <c r="BS35" s="1385"/>
      <c r="BT35" s="1385"/>
      <c r="BU35" s="110"/>
      <c r="BV35" s="748"/>
      <c r="BW35" s="746"/>
      <c r="BX35" s="110"/>
      <c r="BY35" s="110"/>
      <c r="BZ35" s="748"/>
      <c r="CA35" s="746"/>
      <c r="CB35" s="110"/>
      <c r="CC35" s="110"/>
      <c r="CD35" s="748"/>
      <c r="CE35" s="746"/>
      <c r="CF35" s="110"/>
      <c r="CG35" s="110"/>
      <c r="CH35" s="110"/>
      <c r="CI35" s="654"/>
      <c r="CJ35" s="110"/>
      <c r="CK35" s="110"/>
      <c r="CL35" s="748"/>
      <c r="CM35" s="875">
        <v>0</v>
      </c>
      <c r="CN35" s="110">
        <v>0</v>
      </c>
      <c r="CO35" s="327"/>
      <c r="CP35" s="327"/>
      <c r="CQ35" s="749"/>
      <c r="CR35" s="327"/>
      <c r="CS35" s="327"/>
      <c r="CT35" s="751"/>
      <c r="CU35" s="749"/>
      <c r="CV35" s="327"/>
      <c r="CW35" s="327"/>
      <c r="CX35" s="751"/>
      <c r="CY35" s="746"/>
      <c r="CZ35" s="327"/>
      <c r="DA35" s="327"/>
      <c r="DB35" s="751"/>
      <c r="DC35" s="746"/>
      <c r="DD35" s="327"/>
      <c r="DE35" s="110"/>
      <c r="DF35" s="748"/>
      <c r="DG35" s="746"/>
      <c r="DH35" s="327"/>
      <c r="DI35" s="110"/>
      <c r="DJ35" s="748"/>
    </row>
    <row r="36" spans="1:114" ht="12" customHeight="1" collapsed="1">
      <c r="A36" s="895" t="s">
        <v>42</v>
      </c>
      <c r="B36" s="884">
        <v>-70</v>
      </c>
      <c r="C36" s="884">
        <v>-324</v>
      </c>
      <c r="D36" s="884">
        <v>-55</v>
      </c>
      <c r="E36" s="884">
        <v>33</v>
      </c>
      <c r="F36" s="885">
        <v>-86</v>
      </c>
      <c r="G36" s="884">
        <v>-46</v>
      </c>
      <c r="H36" s="884">
        <v>-46</v>
      </c>
      <c r="I36" s="884">
        <v>76</v>
      </c>
      <c r="J36" s="885">
        <v>-50</v>
      </c>
      <c r="K36" s="884">
        <v>-27</v>
      </c>
      <c r="L36" s="884">
        <v>-20</v>
      </c>
      <c r="M36" s="884">
        <v>59</v>
      </c>
      <c r="N36" s="885">
        <v>-35</v>
      </c>
      <c r="O36" s="884">
        <v>-45</v>
      </c>
      <c r="P36" s="884">
        <v>-49</v>
      </c>
      <c r="Q36" s="884">
        <v>53</v>
      </c>
      <c r="R36" s="885">
        <v>-38</v>
      </c>
      <c r="S36" s="884">
        <v>-30</v>
      </c>
      <c r="T36" s="884">
        <v>-39</v>
      </c>
      <c r="U36" s="884">
        <v>-30</v>
      </c>
      <c r="V36" s="885">
        <f t="shared" si="85"/>
        <v>-38</v>
      </c>
      <c r="W36" s="707">
        <f t="shared" si="86"/>
        <v>-33</v>
      </c>
      <c r="X36" s="707">
        <f t="shared" si="86"/>
        <v>-30</v>
      </c>
      <c r="Y36" s="874">
        <f t="shared" si="86"/>
        <v>-24</v>
      </c>
      <c r="Z36" s="885">
        <f t="shared" si="87"/>
        <v>-42</v>
      </c>
      <c r="AA36" s="707">
        <f t="shared" si="86"/>
        <v>-65</v>
      </c>
      <c r="AB36" s="707">
        <f t="shared" si="86"/>
        <v>-61</v>
      </c>
      <c r="AC36" s="874">
        <f t="shared" si="86"/>
        <v>-61</v>
      </c>
      <c r="AD36" s="875">
        <v>-77</v>
      </c>
      <c r="AE36" s="707">
        <f t="shared" si="88"/>
        <v>-55</v>
      </c>
      <c r="AF36" s="707">
        <f t="shared" si="89"/>
        <v>-88</v>
      </c>
      <c r="AG36" s="874">
        <f t="shared" si="89"/>
        <v>-40</v>
      </c>
      <c r="AH36" s="885">
        <v>-84</v>
      </c>
      <c r="AI36" s="707">
        <f t="shared" si="90"/>
        <v>-63</v>
      </c>
      <c r="AJ36" s="707">
        <f t="shared" si="91"/>
        <v>-61</v>
      </c>
      <c r="AK36" s="874">
        <f t="shared" si="91"/>
        <v>-42</v>
      </c>
      <c r="AL36" s="885">
        <v>-33</v>
      </c>
      <c r="AM36" s="707">
        <f t="shared" si="92"/>
        <v>-31</v>
      </c>
      <c r="AN36" s="707">
        <f t="shared" si="93"/>
        <v>-35</v>
      </c>
      <c r="AO36" s="874">
        <f t="shared" si="93"/>
        <v>-25</v>
      </c>
      <c r="AP36" s="885">
        <v>-38</v>
      </c>
      <c r="AQ36" s="707">
        <f t="shared" si="94"/>
        <v>-46</v>
      </c>
      <c r="AR36" s="876">
        <f t="shared" ref="AR36:AW36" si="110">AVERAGE(AN36:AQ36)</f>
        <v>-36</v>
      </c>
      <c r="AS36" s="877">
        <f t="shared" si="110"/>
        <v>-36.25</v>
      </c>
      <c r="AT36" s="878">
        <f t="shared" si="110"/>
        <v>-39.0625</v>
      </c>
      <c r="AU36" s="876">
        <f t="shared" si="110"/>
        <v>-39.328125</v>
      </c>
      <c r="AV36" s="876">
        <f t="shared" si="110"/>
        <v>-37.66015625</v>
      </c>
      <c r="AW36" s="877">
        <f t="shared" si="110"/>
        <v>-38.0751953125</v>
      </c>
      <c r="AX36" s="878">
        <v>-100</v>
      </c>
      <c r="AY36" s="876">
        <v>-100</v>
      </c>
      <c r="AZ36" s="876">
        <v>-100</v>
      </c>
      <c r="BA36" s="877">
        <v>-100</v>
      </c>
      <c r="BB36" s="439"/>
      <c r="BC36" s="656"/>
      <c r="BD36" s="656">
        <f t="shared" si="95"/>
        <v>-416</v>
      </c>
      <c r="BE36" s="656">
        <f t="shared" si="96"/>
        <v>-102</v>
      </c>
      <c r="BF36" s="746">
        <f t="shared" si="97"/>
        <v>-38</v>
      </c>
      <c r="BG36" s="957">
        <f t="shared" si="98"/>
        <v>-76</v>
      </c>
      <c r="BH36" s="957">
        <f t="shared" si="99"/>
        <v>-137</v>
      </c>
      <c r="BI36" s="957">
        <f t="shared" si="100"/>
        <v>-125</v>
      </c>
      <c r="BJ36" s="957">
        <f t="shared" si="101"/>
        <v>-229</v>
      </c>
      <c r="BK36" s="957">
        <f t="shared" si="102"/>
        <v>-260</v>
      </c>
      <c r="BL36" s="957">
        <f t="shared" si="103"/>
        <v>-250</v>
      </c>
      <c r="BM36" s="957">
        <f t="shared" si="104"/>
        <v>-124</v>
      </c>
      <c r="BN36" s="957">
        <f t="shared" si="105"/>
        <v>-156.25</v>
      </c>
      <c r="BO36" s="957">
        <f t="shared" si="106"/>
        <v>-154.1259765625</v>
      </c>
      <c r="BP36" s="957">
        <f t="shared" si="107"/>
        <v>-400</v>
      </c>
      <c r="BQ36" s="747"/>
      <c r="BR36" s="1386"/>
      <c r="BS36" s="1385"/>
      <c r="BT36" s="1385"/>
      <c r="BU36" s="110"/>
      <c r="BV36" s="748"/>
      <c r="BW36" s="746"/>
      <c r="BX36" s="110"/>
      <c r="BY36" s="110"/>
      <c r="BZ36" s="748"/>
      <c r="CA36" s="746"/>
      <c r="CB36" s="110"/>
      <c r="CC36" s="110"/>
      <c r="CD36" s="748"/>
      <c r="CE36" s="746"/>
      <c r="CF36" s="110"/>
      <c r="CG36" s="110"/>
      <c r="CH36" s="110"/>
      <c r="CI36" s="654"/>
      <c r="CJ36" s="110"/>
      <c r="CK36" s="110"/>
      <c r="CL36" s="748"/>
      <c r="CM36" s="875">
        <v>-38</v>
      </c>
      <c r="CN36" s="110">
        <v>-71</v>
      </c>
      <c r="CO36" s="327">
        <v>-101</v>
      </c>
      <c r="CP36" s="327">
        <v>-125</v>
      </c>
      <c r="CQ36" s="749">
        <v>-42</v>
      </c>
      <c r="CR36" s="327">
        <v>-107</v>
      </c>
      <c r="CS36" s="327">
        <v>-168</v>
      </c>
      <c r="CT36" s="751">
        <v>-229</v>
      </c>
      <c r="CU36" s="749"/>
      <c r="CV36" s="327">
        <v>-132</v>
      </c>
      <c r="CW36" s="327">
        <v>-220</v>
      </c>
      <c r="CX36" s="751">
        <v>-260</v>
      </c>
      <c r="CY36" s="746"/>
      <c r="CZ36" s="327">
        <v>-147</v>
      </c>
      <c r="DA36" s="327">
        <v>-208</v>
      </c>
      <c r="DB36" s="751">
        <v>-250</v>
      </c>
      <c r="DC36" s="746"/>
      <c r="DD36" s="327">
        <v>-64</v>
      </c>
      <c r="DE36" s="110">
        <v>-99</v>
      </c>
      <c r="DF36" s="748">
        <v>-124</v>
      </c>
      <c r="DG36" s="746"/>
      <c r="DH36" s="327">
        <v>-84</v>
      </c>
      <c r="DI36" s="110"/>
      <c r="DJ36" s="748"/>
    </row>
    <row r="37" spans="1:114" ht="12" hidden="1" customHeight="1" outlineLevel="1">
      <c r="A37" s="895" t="s">
        <v>128</v>
      </c>
      <c r="B37" s="884">
        <v>0</v>
      </c>
      <c r="C37" s="884">
        <v>0</v>
      </c>
      <c r="D37" s="884">
        <v>0</v>
      </c>
      <c r="E37" s="884">
        <v>-106</v>
      </c>
      <c r="F37" s="885">
        <v>0</v>
      </c>
      <c r="G37" s="884">
        <v>0</v>
      </c>
      <c r="H37" s="884">
        <v>0</v>
      </c>
      <c r="I37" s="884">
        <v>-128</v>
      </c>
      <c r="J37" s="885">
        <v>0</v>
      </c>
      <c r="K37" s="884">
        <v>0</v>
      </c>
      <c r="L37" s="884">
        <v>0</v>
      </c>
      <c r="M37" s="884">
        <v>-86</v>
      </c>
      <c r="N37" s="885">
        <v>0</v>
      </c>
      <c r="O37" s="884">
        <v>0</v>
      </c>
      <c r="P37" s="884">
        <v>0</v>
      </c>
      <c r="Q37" s="884">
        <v>-79</v>
      </c>
      <c r="R37" s="885">
        <v>0</v>
      </c>
      <c r="S37" s="884">
        <v>0</v>
      </c>
      <c r="T37" s="884">
        <v>0</v>
      </c>
      <c r="U37" s="884">
        <v>0</v>
      </c>
      <c r="V37" s="885">
        <f t="shared" si="85"/>
        <v>0</v>
      </c>
      <c r="W37" s="707">
        <f t="shared" si="86"/>
        <v>0</v>
      </c>
      <c r="X37" s="707">
        <f t="shared" si="86"/>
        <v>0</v>
      </c>
      <c r="Y37" s="874">
        <f t="shared" si="86"/>
        <v>0</v>
      </c>
      <c r="Z37" s="885">
        <f t="shared" si="87"/>
        <v>0</v>
      </c>
      <c r="AA37" s="707">
        <f t="shared" si="86"/>
        <v>0</v>
      </c>
      <c r="AB37" s="707">
        <f t="shared" si="86"/>
        <v>0</v>
      </c>
      <c r="AC37" s="874">
        <f t="shared" si="86"/>
        <v>0</v>
      </c>
      <c r="AD37" s="875">
        <v>0</v>
      </c>
      <c r="AE37" s="707">
        <f t="shared" si="88"/>
        <v>0</v>
      </c>
      <c r="AF37" s="707">
        <f t="shared" si="89"/>
        <v>0</v>
      </c>
      <c r="AG37" s="874">
        <f t="shared" si="89"/>
        <v>0</v>
      </c>
      <c r="AH37" s="885">
        <v>0</v>
      </c>
      <c r="AI37" s="707">
        <f t="shared" si="90"/>
        <v>0</v>
      </c>
      <c r="AJ37" s="707">
        <f t="shared" si="91"/>
        <v>0</v>
      </c>
      <c r="AK37" s="874">
        <f t="shared" si="91"/>
        <v>0</v>
      </c>
      <c r="AL37" s="885">
        <v>0</v>
      </c>
      <c r="AM37" s="707">
        <f t="shared" si="92"/>
        <v>0</v>
      </c>
      <c r="AN37" s="707">
        <f t="shared" si="93"/>
        <v>0</v>
      </c>
      <c r="AO37" s="874">
        <f t="shared" si="93"/>
        <v>0</v>
      </c>
      <c r="AP37" s="885">
        <v>0</v>
      </c>
      <c r="AQ37" s="707">
        <f t="shared" si="94"/>
        <v>0</v>
      </c>
      <c r="AR37" s="707">
        <v>0</v>
      </c>
      <c r="AS37" s="874">
        <v>0</v>
      </c>
      <c r="AT37" s="875">
        <v>0</v>
      </c>
      <c r="AU37" s="707">
        <v>0</v>
      </c>
      <c r="AV37" s="707">
        <v>0</v>
      </c>
      <c r="AW37" s="874">
        <v>0</v>
      </c>
      <c r="AX37" s="875">
        <v>0</v>
      </c>
      <c r="AY37" s="707">
        <v>0</v>
      </c>
      <c r="AZ37" s="707">
        <v>0</v>
      </c>
      <c r="BA37" s="874">
        <v>0</v>
      </c>
      <c r="BB37" s="415"/>
      <c r="BC37" s="748"/>
      <c r="BD37" s="656">
        <f t="shared" si="95"/>
        <v>-106</v>
      </c>
      <c r="BE37" s="656">
        <f t="shared" si="96"/>
        <v>-128</v>
      </c>
      <c r="BF37" s="746">
        <f t="shared" si="97"/>
        <v>-86</v>
      </c>
      <c r="BG37" s="957">
        <f t="shared" si="98"/>
        <v>-79</v>
      </c>
      <c r="BH37" s="957">
        <f t="shared" si="99"/>
        <v>0</v>
      </c>
      <c r="BI37" s="957">
        <f t="shared" ref="BI37" si="111">SUM(V37:Y37)</f>
        <v>0</v>
      </c>
      <c r="BJ37" s="957">
        <f t="shared" si="101"/>
        <v>0</v>
      </c>
      <c r="BK37" s="957">
        <f t="shared" si="102"/>
        <v>0</v>
      </c>
      <c r="BL37" s="957">
        <f t="shared" si="103"/>
        <v>0</v>
      </c>
      <c r="BM37" s="957">
        <f t="shared" si="104"/>
        <v>0</v>
      </c>
      <c r="BN37" s="957">
        <f t="shared" si="105"/>
        <v>0</v>
      </c>
      <c r="BO37" s="957">
        <f t="shared" si="106"/>
        <v>0</v>
      </c>
      <c r="BP37" s="957">
        <f t="shared" si="107"/>
        <v>0</v>
      </c>
      <c r="BQ37" s="747"/>
      <c r="BR37" s="1386"/>
      <c r="BS37" s="1385"/>
      <c r="BT37" s="1385"/>
      <c r="BU37" s="110"/>
      <c r="BV37" s="748"/>
      <c r="BW37" s="746"/>
      <c r="BX37" s="110"/>
      <c r="BY37" s="110"/>
      <c r="BZ37" s="748"/>
      <c r="CA37" s="746"/>
      <c r="CB37" s="110"/>
      <c r="CC37" s="110"/>
      <c r="CD37" s="748"/>
      <c r="CE37" s="746"/>
      <c r="CF37" s="110"/>
      <c r="CG37" s="110"/>
      <c r="CH37" s="110"/>
      <c r="CI37" s="654"/>
      <c r="CJ37" s="110"/>
      <c r="CK37" s="110"/>
      <c r="CL37" s="748"/>
      <c r="CM37" s="875">
        <v>0</v>
      </c>
      <c r="CN37" s="110">
        <v>0</v>
      </c>
      <c r="CO37" s="327"/>
      <c r="CP37" s="327"/>
      <c r="CQ37" s="749"/>
      <c r="CR37" s="327"/>
      <c r="CS37" s="327"/>
      <c r="CT37" s="751"/>
      <c r="CU37" s="749"/>
      <c r="CV37" s="327"/>
      <c r="CW37" s="327"/>
      <c r="CX37" s="751"/>
      <c r="CY37" s="746"/>
      <c r="CZ37" s="327"/>
      <c r="DA37" s="327"/>
      <c r="DB37" s="751"/>
      <c r="DC37" s="746"/>
      <c r="DD37" s="327"/>
      <c r="DE37" s="110"/>
      <c r="DF37" s="748"/>
      <c r="DG37" s="746"/>
      <c r="DH37" s="327"/>
      <c r="DI37" s="110"/>
      <c r="DJ37" s="748"/>
    </row>
    <row r="38" spans="1:114" ht="12" customHeight="1" collapsed="1">
      <c r="A38" s="895" t="s">
        <v>124</v>
      </c>
      <c r="B38" s="884">
        <v>0</v>
      </c>
      <c r="C38" s="884">
        <v>0</v>
      </c>
      <c r="D38" s="884">
        <v>463</v>
      </c>
      <c r="E38" s="884">
        <v>0</v>
      </c>
      <c r="F38" s="885">
        <v>0</v>
      </c>
      <c r="G38" s="884">
        <v>0</v>
      </c>
      <c r="H38" s="884">
        <v>0</v>
      </c>
      <c r="I38" s="884">
        <v>0</v>
      </c>
      <c r="J38" s="885">
        <v>0</v>
      </c>
      <c r="K38" s="884">
        <v>-362</v>
      </c>
      <c r="L38" s="884">
        <v>-1</v>
      </c>
      <c r="M38" s="884">
        <v>0</v>
      </c>
      <c r="N38" s="885">
        <v>0</v>
      </c>
      <c r="O38" s="884">
        <v>0</v>
      </c>
      <c r="P38" s="884">
        <v>0</v>
      </c>
      <c r="Q38" s="884">
        <v>-64</v>
      </c>
      <c r="R38" s="885">
        <v>0</v>
      </c>
      <c r="S38" s="884">
        <v>0</v>
      </c>
      <c r="T38" s="884">
        <v>0</v>
      </c>
      <c r="U38" s="884">
        <v>0</v>
      </c>
      <c r="V38" s="885">
        <f t="shared" si="85"/>
        <v>-85</v>
      </c>
      <c r="W38" s="707">
        <f t="shared" si="86"/>
        <v>-2960</v>
      </c>
      <c r="X38" s="707">
        <f t="shared" si="86"/>
        <v>-19</v>
      </c>
      <c r="Y38" s="874">
        <f t="shared" si="86"/>
        <v>0</v>
      </c>
      <c r="Z38" s="885">
        <f t="shared" si="87"/>
        <v>0</v>
      </c>
      <c r="AA38" s="707">
        <f t="shared" si="86"/>
        <v>-5682</v>
      </c>
      <c r="AB38" s="707">
        <f t="shared" si="86"/>
        <v>0</v>
      </c>
      <c r="AC38" s="874">
        <f t="shared" si="86"/>
        <v>0</v>
      </c>
      <c r="AD38" s="875">
        <v>0</v>
      </c>
      <c r="AE38" s="707">
        <f t="shared" si="88"/>
        <v>-33</v>
      </c>
      <c r="AF38" s="707">
        <f t="shared" si="89"/>
        <v>0</v>
      </c>
      <c r="AG38" s="874">
        <f t="shared" si="89"/>
        <v>0</v>
      </c>
      <c r="AH38" s="885">
        <v>0</v>
      </c>
      <c r="AI38" s="707">
        <f t="shared" si="90"/>
        <v>0</v>
      </c>
      <c r="AJ38" s="707">
        <f t="shared" si="91"/>
        <v>0</v>
      </c>
      <c r="AK38" s="874">
        <f t="shared" si="91"/>
        <v>-83</v>
      </c>
      <c r="AL38" s="885">
        <v>0</v>
      </c>
      <c r="AM38" s="707">
        <f t="shared" si="92"/>
        <v>0</v>
      </c>
      <c r="AN38" s="707">
        <f t="shared" si="93"/>
        <v>0</v>
      </c>
      <c r="AO38" s="874">
        <f t="shared" si="93"/>
        <v>-184</v>
      </c>
      <c r="AP38" s="885">
        <v>0</v>
      </c>
      <c r="AQ38" s="707">
        <f t="shared" si="94"/>
        <v>0</v>
      </c>
      <c r="AR38" s="707">
        <v>0</v>
      </c>
      <c r="AS38" s="874">
        <v>0</v>
      </c>
      <c r="AT38" s="875">
        <v>0</v>
      </c>
      <c r="AU38" s="707">
        <v>0</v>
      </c>
      <c r="AV38" s="707">
        <v>0</v>
      </c>
      <c r="AW38" s="874">
        <v>0</v>
      </c>
      <c r="AX38" s="875">
        <v>0</v>
      </c>
      <c r="AY38" s="707">
        <v>0</v>
      </c>
      <c r="AZ38" s="707">
        <v>0</v>
      </c>
      <c r="BA38" s="874">
        <v>0</v>
      </c>
      <c r="BB38" s="415"/>
      <c r="BC38" s="748"/>
      <c r="BD38" s="656">
        <f t="shared" ref="BD38:BD39" si="112">+SUM(B38:E38)</f>
        <v>463</v>
      </c>
      <c r="BE38" s="656">
        <f t="shared" ref="BE38:BE39" si="113">+SUM(F38:I38)</f>
        <v>0</v>
      </c>
      <c r="BF38" s="746">
        <f t="shared" ref="BF38:BF39" si="114">+SUM(J38:M38)</f>
        <v>-363</v>
      </c>
      <c r="BG38" s="957">
        <f t="shared" ref="BG38:BG39" si="115">SUM(N38:Q38)</f>
        <v>-64</v>
      </c>
      <c r="BH38" s="957">
        <f t="shared" ref="BH38:BH39" si="116">SUM(R38:U38)</f>
        <v>0</v>
      </c>
      <c r="BI38" s="957">
        <f t="shared" ref="BI38:BI39" si="117">SUM(V38:Y38)</f>
        <v>-3064</v>
      </c>
      <c r="BJ38" s="957">
        <f t="shared" ref="BJ38:BJ39" si="118">SUM(Z38:AC38)</f>
        <v>-5682</v>
      </c>
      <c r="BK38" s="957">
        <f t="shared" ref="BK38:BK39" si="119">SUM(AD38:AG38)</f>
        <v>-33</v>
      </c>
      <c r="BL38" s="957">
        <f t="shared" ref="BL38:BL39" si="120">+SUM(AH38:AK38)</f>
        <v>-83</v>
      </c>
      <c r="BM38" s="957">
        <f t="shared" si="104"/>
        <v>-184</v>
      </c>
      <c r="BN38" s="957">
        <f t="shared" si="105"/>
        <v>0</v>
      </c>
      <c r="BO38" s="957">
        <f t="shared" si="106"/>
        <v>0</v>
      </c>
      <c r="BP38" s="957">
        <f t="shared" si="107"/>
        <v>0</v>
      </c>
      <c r="BQ38" s="747"/>
      <c r="BR38" s="1386"/>
      <c r="BS38" s="1385"/>
      <c r="BT38" s="1385"/>
      <c r="BU38" s="110"/>
      <c r="BV38" s="748"/>
      <c r="BW38" s="746"/>
      <c r="BX38" s="110"/>
      <c r="BY38" s="110"/>
      <c r="BZ38" s="748"/>
      <c r="CA38" s="746"/>
      <c r="CB38" s="110"/>
      <c r="CC38" s="110"/>
      <c r="CD38" s="748"/>
      <c r="CE38" s="746"/>
      <c r="CF38" s="110"/>
      <c r="CG38" s="110"/>
      <c r="CH38" s="110"/>
      <c r="CI38" s="654"/>
      <c r="CJ38" s="110"/>
      <c r="CK38" s="110"/>
      <c r="CL38" s="748"/>
      <c r="CM38" s="875">
        <v>-85</v>
      </c>
      <c r="CN38" s="110">
        <v>-3045</v>
      </c>
      <c r="CO38" s="327">
        <v>-3064</v>
      </c>
      <c r="CP38" s="327">
        <v>-3064</v>
      </c>
      <c r="CQ38" s="749">
        <v>0</v>
      </c>
      <c r="CR38" s="327">
        <v>-5682</v>
      </c>
      <c r="CS38" s="327">
        <v>-5682</v>
      </c>
      <c r="CT38" s="751">
        <v>-5682</v>
      </c>
      <c r="CU38" s="749"/>
      <c r="CV38" s="327">
        <v>-33</v>
      </c>
      <c r="CW38" s="327">
        <v>-33</v>
      </c>
      <c r="CX38" s="751">
        <v>-33</v>
      </c>
      <c r="CY38" s="746"/>
      <c r="CZ38" s="327">
        <v>0</v>
      </c>
      <c r="DA38" s="327"/>
      <c r="DB38" s="751">
        <v>-83</v>
      </c>
      <c r="DC38" s="746"/>
      <c r="DD38" s="327">
        <v>0</v>
      </c>
      <c r="DE38" s="110">
        <v>0</v>
      </c>
      <c r="DF38" s="748">
        <v>-184</v>
      </c>
      <c r="DG38" s="746"/>
      <c r="DH38" s="327">
        <v>0</v>
      </c>
      <c r="DI38" s="110"/>
      <c r="DJ38" s="748"/>
    </row>
    <row r="39" spans="1:114" ht="12" customHeight="1">
      <c r="A39" s="895" t="s">
        <v>100</v>
      </c>
      <c r="B39" s="884">
        <v>0</v>
      </c>
      <c r="C39" s="884">
        <v>0</v>
      </c>
      <c r="D39" s="884">
        <v>0</v>
      </c>
      <c r="E39" s="884">
        <v>0</v>
      </c>
      <c r="F39" s="885">
        <v>0</v>
      </c>
      <c r="G39" s="884">
        <v>0</v>
      </c>
      <c r="H39" s="884">
        <v>0</v>
      </c>
      <c r="I39" s="884">
        <v>0</v>
      </c>
      <c r="J39" s="885">
        <v>-12</v>
      </c>
      <c r="K39" s="884">
        <v>-28</v>
      </c>
      <c r="L39" s="884">
        <v>-37</v>
      </c>
      <c r="M39" s="884">
        <v>-60</v>
      </c>
      <c r="N39" s="885">
        <v>-76</v>
      </c>
      <c r="O39" s="884">
        <v>-76</v>
      </c>
      <c r="P39" s="884">
        <v>-83</v>
      </c>
      <c r="Q39" s="884">
        <v>-81</v>
      </c>
      <c r="R39" s="885">
        <v>-81</v>
      </c>
      <c r="S39" s="884">
        <v>-85</v>
      </c>
      <c r="T39" s="884">
        <v>-74</v>
      </c>
      <c r="U39" s="884">
        <v>-3</v>
      </c>
      <c r="V39" s="885">
        <f t="shared" si="85"/>
        <v>-11</v>
      </c>
      <c r="W39" s="707">
        <f t="shared" si="86"/>
        <v>-59</v>
      </c>
      <c r="X39" s="707">
        <f t="shared" si="86"/>
        <v>-65</v>
      </c>
      <c r="Y39" s="874">
        <f t="shared" si="86"/>
        <v>-97</v>
      </c>
      <c r="Z39" s="885">
        <f t="shared" si="87"/>
        <v>-125</v>
      </c>
      <c r="AA39" s="707">
        <f t="shared" si="86"/>
        <v>-192</v>
      </c>
      <c r="AB39" s="707">
        <f t="shared" si="86"/>
        <v>-296</v>
      </c>
      <c r="AC39" s="874">
        <f t="shared" si="86"/>
        <v>-320</v>
      </c>
      <c r="AD39" s="875">
        <v>-314</v>
      </c>
      <c r="AE39" s="707">
        <f t="shared" si="88"/>
        <v>-701</v>
      </c>
      <c r="AF39" s="707">
        <f t="shared" si="89"/>
        <v>-585</v>
      </c>
      <c r="AG39" s="874">
        <f t="shared" si="89"/>
        <v>-383</v>
      </c>
      <c r="AH39" s="885">
        <v>-377</v>
      </c>
      <c r="AI39" s="707">
        <f t="shared" si="90"/>
        <v>-763</v>
      </c>
      <c r="AJ39" s="707">
        <f t="shared" si="91"/>
        <v>-786</v>
      </c>
      <c r="AK39" s="874">
        <f t="shared" si="91"/>
        <v>-612</v>
      </c>
      <c r="AL39" s="885">
        <v>-666</v>
      </c>
      <c r="AM39" s="707">
        <f t="shared" si="92"/>
        <v>-1159</v>
      </c>
      <c r="AN39" s="707">
        <f t="shared" si="93"/>
        <v>-1048</v>
      </c>
      <c r="AO39" s="874">
        <f t="shared" si="93"/>
        <v>-1119</v>
      </c>
      <c r="AP39" s="885">
        <v>-1297</v>
      </c>
      <c r="AQ39" s="707">
        <f t="shared" si="94"/>
        <v>-1588</v>
      </c>
      <c r="AR39" s="707">
        <v>0</v>
      </c>
      <c r="AS39" s="874">
        <v>0</v>
      </c>
      <c r="AT39" s="875">
        <v>0</v>
      </c>
      <c r="AU39" s="707">
        <v>0</v>
      </c>
      <c r="AV39" s="707">
        <v>0</v>
      </c>
      <c r="AW39" s="874">
        <v>0</v>
      </c>
      <c r="AX39" s="875">
        <v>0</v>
      </c>
      <c r="AY39" s="707">
        <v>0</v>
      </c>
      <c r="AZ39" s="707">
        <v>0</v>
      </c>
      <c r="BA39" s="874">
        <v>0</v>
      </c>
      <c r="BB39" s="415"/>
      <c r="BC39" s="748"/>
      <c r="BD39" s="656">
        <f t="shared" si="112"/>
        <v>0</v>
      </c>
      <c r="BE39" s="656">
        <f t="shared" si="113"/>
        <v>0</v>
      </c>
      <c r="BF39" s="746">
        <f t="shared" si="114"/>
        <v>-137</v>
      </c>
      <c r="BG39" s="957">
        <f t="shared" si="115"/>
        <v>-316</v>
      </c>
      <c r="BH39" s="957">
        <f t="shared" si="116"/>
        <v>-243</v>
      </c>
      <c r="BI39" s="957">
        <f t="shared" si="117"/>
        <v>-232</v>
      </c>
      <c r="BJ39" s="957">
        <f t="shared" si="118"/>
        <v>-933</v>
      </c>
      <c r="BK39" s="957">
        <f t="shared" si="119"/>
        <v>-1983</v>
      </c>
      <c r="BL39" s="957">
        <f t="shared" si="120"/>
        <v>-2538</v>
      </c>
      <c r="BM39" s="957">
        <f t="shared" si="104"/>
        <v>-3992</v>
      </c>
      <c r="BN39" s="957">
        <f t="shared" si="105"/>
        <v>-2885</v>
      </c>
      <c r="BO39" s="957">
        <f t="shared" si="106"/>
        <v>0</v>
      </c>
      <c r="BP39" s="957">
        <f t="shared" si="107"/>
        <v>0</v>
      </c>
      <c r="BQ39" s="747"/>
      <c r="BR39" s="1386"/>
      <c r="BS39" s="1385"/>
      <c r="BT39" s="1385"/>
      <c r="BU39" s="110"/>
      <c r="BV39" s="748"/>
      <c r="BW39" s="746"/>
      <c r="BX39" s="110"/>
      <c r="BY39" s="110"/>
      <c r="BZ39" s="748"/>
      <c r="CA39" s="746"/>
      <c r="CB39" s="110"/>
      <c r="CC39" s="110"/>
      <c r="CD39" s="748"/>
      <c r="CE39" s="746"/>
      <c r="CF39" s="110"/>
      <c r="CG39" s="110"/>
      <c r="CH39" s="110"/>
      <c r="CI39" s="654"/>
      <c r="CJ39" s="110"/>
      <c r="CK39" s="110"/>
      <c r="CL39" s="748"/>
      <c r="CM39" s="875">
        <v>-11</v>
      </c>
      <c r="CN39" s="110">
        <v>-70</v>
      </c>
      <c r="CO39" s="327">
        <v>-135</v>
      </c>
      <c r="CP39" s="327">
        <v>-232</v>
      </c>
      <c r="CQ39" s="749">
        <v>-125</v>
      </c>
      <c r="CR39" s="327">
        <v>-317</v>
      </c>
      <c r="CS39" s="327">
        <v>-613</v>
      </c>
      <c r="CT39" s="751">
        <v>-933</v>
      </c>
      <c r="CU39" s="749"/>
      <c r="CV39" s="327">
        <v>-1015</v>
      </c>
      <c r="CW39" s="327">
        <v>-1600</v>
      </c>
      <c r="CX39" s="751">
        <v>-1983</v>
      </c>
      <c r="CY39" s="746"/>
      <c r="CZ39" s="327">
        <v>-1140</v>
      </c>
      <c r="DA39" s="327">
        <v>-1926</v>
      </c>
      <c r="DB39" s="751">
        <v>-2538</v>
      </c>
      <c r="DC39" s="746"/>
      <c r="DD39" s="327">
        <v>-1825</v>
      </c>
      <c r="DE39" s="110">
        <v>-2873</v>
      </c>
      <c r="DF39" s="748">
        <v>-3992</v>
      </c>
      <c r="DG39" s="746"/>
      <c r="DH39" s="327">
        <v>-2885</v>
      </c>
      <c r="DI39" s="110"/>
      <c r="DJ39" s="748"/>
    </row>
    <row r="40" spans="1:114" ht="12" customHeight="1">
      <c r="A40" s="895" t="s">
        <v>101</v>
      </c>
      <c r="B40" s="884"/>
      <c r="C40" s="884">
        <v>0</v>
      </c>
      <c r="D40" s="884">
        <v>0</v>
      </c>
      <c r="E40" s="884">
        <v>0</v>
      </c>
      <c r="F40" s="885">
        <v>0</v>
      </c>
      <c r="G40" s="884">
        <v>0</v>
      </c>
      <c r="H40" s="884">
        <v>0</v>
      </c>
      <c r="I40" s="884">
        <v>0</v>
      </c>
      <c r="J40" s="885">
        <v>4</v>
      </c>
      <c r="K40" s="884">
        <v>14</v>
      </c>
      <c r="L40" s="884">
        <v>26</v>
      </c>
      <c r="M40" s="884">
        <v>38</v>
      </c>
      <c r="N40" s="885">
        <v>52</v>
      </c>
      <c r="O40" s="884">
        <v>64</v>
      </c>
      <c r="P40" s="884">
        <v>72</v>
      </c>
      <c r="Q40" s="884">
        <v>79</v>
      </c>
      <c r="R40" s="885">
        <v>79</v>
      </c>
      <c r="S40" s="884">
        <v>76</v>
      </c>
      <c r="T40" s="884">
        <v>74</v>
      </c>
      <c r="U40" s="884">
        <v>58</v>
      </c>
      <c r="V40" s="885">
        <f t="shared" si="85"/>
        <v>29</v>
      </c>
      <c r="W40" s="707">
        <f t="shared" si="86"/>
        <v>24</v>
      </c>
      <c r="X40" s="707">
        <f t="shared" si="86"/>
        <v>33</v>
      </c>
      <c r="Y40" s="874">
        <f t="shared" si="86"/>
        <v>50</v>
      </c>
      <c r="Z40" s="885">
        <f t="shared" si="87"/>
        <v>72</v>
      </c>
      <c r="AA40" s="707">
        <f t="shared" si="86"/>
        <v>103</v>
      </c>
      <c r="AB40" s="707">
        <f t="shared" si="86"/>
        <v>145</v>
      </c>
      <c r="AC40" s="874">
        <f t="shared" si="86"/>
        <v>199</v>
      </c>
      <c r="AD40" s="875">
        <v>244</v>
      </c>
      <c r="AE40" s="707">
        <f t="shared" si="88"/>
        <v>286</v>
      </c>
      <c r="AF40" s="707">
        <f t="shared" si="89"/>
        <v>835</v>
      </c>
      <c r="AG40" s="874">
        <f t="shared" si="89"/>
        <v>362</v>
      </c>
      <c r="AH40" s="885">
        <v>358</v>
      </c>
      <c r="AI40" s="707">
        <f t="shared" si="90"/>
        <v>351</v>
      </c>
      <c r="AJ40" s="707">
        <f t="shared" si="91"/>
        <v>1080</v>
      </c>
      <c r="AK40" s="874">
        <f t="shared" si="91"/>
        <v>513</v>
      </c>
      <c r="AL40" s="885">
        <v>420</v>
      </c>
      <c r="AM40" s="707">
        <f t="shared" si="92"/>
        <v>750</v>
      </c>
      <c r="AN40" s="707">
        <f t="shared" si="93"/>
        <v>1082</v>
      </c>
      <c r="AO40" s="874">
        <f t="shared" si="93"/>
        <v>1016</v>
      </c>
      <c r="AP40" s="885">
        <v>876</v>
      </c>
      <c r="AQ40" s="707">
        <f t="shared" si="94"/>
        <v>1531</v>
      </c>
      <c r="AR40" s="707">
        <v>0</v>
      </c>
      <c r="AS40" s="874">
        <v>0</v>
      </c>
      <c r="AT40" s="875">
        <v>0</v>
      </c>
      <c r="AU40" s="707">
        <v>0</v>
      </c>
      <c r="AV40" s="707">
        <v>0</v>
      </c>
      <c r="AW40" s="874">
        <v>0</v>
      </c>
      <c r="AX40" s="875">
        <v>0</v>
      </c>
      <c r="AY40" s="707">
        <v>0</v>
      </c>
      <c r="AZ40" s="707">
        <v>0</v>
      </c>
      <c r="BA40" s="874">
        <v>0</v>
      </c>
      <c r="BB40" s="415"/>
      <c r="BC40" s="748"/>
      <c r="BD40" s="656">
        <f t="shared" si="95"/>
        <v>0</v>
      </c>
      <c r="BE40" s="656">
        <f t="shared" si="96"/>
        <v>0</v>
      </c>
      <c r="BF40" s="746">
        <f t="shared" si="97"/>
        <v>82</v>
      </c>
      <c r="BG40" s="957">
        <f t="shared" si="98"/>
        <v>267</v>
      </c>
      <c r="BH40" s="957">
        <f t="shared" si="99"/>
        <v>287</v>
      </c>
      <c r="BI40" s="957">
        <f t="shared" si="100"/>
        <v>136</v>
      </c>
      <c r="BJ40" s="957">
        <f t="shared" si="101"/>
        <v>519</v>
      </c>
      <c r="BK40" s="957">
        <f t="shared" si="102"/>
        <v>1727</v>
      </c>
      <c r="BL40" s="957">
        <f t="shared" si="103"/>
        <v>2302</v>
      </c>
      <c r="BM40" s="957">
        <f t="shared" si="104"/>
        <v>3268</v>
      </c>
      <c r="BN40" s="957">
        <f t="shared" si="105"/>
        <v>2407</v>
      </c>
      <c r="BO40" s="957">
        <f t="shared" si="106"/>
        <v>0</v>
      </c>
      <c r="BP40" s="957">
        <f t="shared" si="107"/>
        <v>0</v>
      </c>
      <c r="BQ40" s="747"/>
      <c r="BR40" s="1386"/>
      <c r="BS40" s="1385"/>
      <c r="BT40" s="1385"/>
      <c r="BU40" s="110"/>
      <c r="BV40" s="748"/>
      <c r="BW40" s="746"/>
      <c r="BX40" s="110"/>
      <c r="BY40" s="110"/>
      <c r="BZ40" s="748"/>
      <c r="CA40" s="746"/>
      <c r="CB40" s="110"/>
      <c r="CC40" s="110"/>
      <c r="CD40" s="748"/>
      <c r="CE40" s="746"/>
      <c r="CF40" s="110"/>
      <c r="CG40" s="110"/>
      <c r="CH40" s="110"/>
      <c r="CI40" s="654"/>
      <c r="CJ40" s="110"/>
      <c r="CK40" s="110"/>
      <c r="CL40" s="748"/>
      <c r="CM40" s="875">
        <v>29</v>
      </c>
      <c r="CN40" s="110">
        <v>53</v>
      </c>
      <c r="CO40" s="327">
        <v>86</v>
      </c>
      <c r="CP40" s="327">
        <v>136</v>
      </c>
      <c r="CQ40" s="749">
        <v>72</v>
      </c>
      <c r="CR40" s="327">
        <v>175</v>
      </c>
      <c r="CS40" s="327">
        <v>320</v>
      </c>
      <c r="CT40" s="751">
        <v>519</v>
      </c>
      <c r="CU40" s="749"/>
      <c r="CV40" s="327">
        <v>530</v>
      </c>
      <c r="CW40" s="327">
        <v>1365</v>
      </c>
      <c r="CX40" s="751">
        <v>1727</v>
      </c>
      <c r="CY40" s="746"/>
      <c r="CZ40" s="327">
        <v>709</v>
      </c>
      <c r="DA40" s="327">
        <f>101+1688</f>
        <v>1789</v>
      </c>
      <c r="DB40" s="751">
        <f>234+2068</f>
        <v>2302</v>
      </c>
      <c r="DC40" s="746"/>
      <c r="DD40" s="327">
        <f>246+924</f>
        <v>1170</v>
      </c>
      <c r="DE40" s="110">
        <f>300+1952</f>
        <v>2252</v>
      </c>
      <c r="DF40" s="748">
        <f>562+2706</f>
        <v>3268</v>
      </c>
      <c r="DG40" s="746"/>
      <c r="DH40" s="327">
        <f>595+1812</f>
        <v>2407</v>
      </c>
      <c r="DI40" s="110"/>
      <c r="DJ40" s="748"/>
    </row>
    <row r="41" spans="1:114" ht="12" customHeight="1">
      <c r="A41" s="895" t="s">
        <v>92</v>
      </c>
      <c r="B41" s="884">
        <v>-1</v>
      </c>
      <c r="C41" s="884">
        <v>1</v>
      </c>
      <c r="D41" s="884">
        <v>3</v>
      </c>
      <c r="E41" s="884">
        <v>-16</v>
      </c>
      <c r="F41" s="885">
        <v>-11</v>
      </c>
      <c r="G41" s="884">
        <v>-8</v>
      </c>
      <c r="H41" s="884">
        <v>-21</v>
      </c>
      <c r="I41" s="884">
        <v>-5</v>
      </c>
      <c r="J41" s="885">
        <v>-15</v>
      </c>
      <c r="K41" s="884">
        <v>-7</v>
      </c>
      <c r="L41" s="884">
        <v>6</v>
      </c>
      <c r="M41" s="884">
        <v>19</v>
      </c>
      <c r="N41" s="885">
        <v>4</v>
      </c>
      <c r="O41" s="884">
        <v>9</v>
      </c>
      <c r="P41" s="884">
        <v>-10</v>
      </c>
      <c r="Q41" s="884">
        <v>-5</v>
      </c>
      <c r="R41" s="885">
        <v>-19</v>
      </c>
      <c r="S41" s="884">
        <v>-1</v>
      </c>
      <c r="T41" s="884">
        <v>1</v>
      </c>
      <c r="U41" s="884">
        <v>-10</v>
      </c>
      <c r="V41" s="885">
        <f t="shared" si="85"/>
        <v>-13</v>
      </c>
      <c r="W41" s="707">
        <f t="shared" si="86"/>
        <v>61</v>
      </c>
      <c r="X41" s="707">
        <f t="shared" si="86"/>
        <v>-11</v>
      </c>
      <c r="Y41" s="874">
        <f t="shared" si="86"/>
        <v>-7</v>
      </c>
      <c r="Z41" s="885">
        <f t="shared" si="87"/>
        <v>-28</v>
      </c>
      <c r="AA41" s="707">
        <f t="shared" si="86"/>
        <v>12</v>
      </c>
      <c r="AB41" s="707">
        <f t="shared" si="86"/>
        <v>7</v>
      </c>
      <c r="AC41" s="874">
        <f t="shared" si="86"/>
        <v>-15</v>
      </c>
      <c r="AD41" s="875">
        <v>13</v>
      </c>
      <c r="AE41" s="707">
        <f t="shared" si="88"/>
        <v>-29</v>
      </c>
      <c r="AF41" s="707">
        <f t="shared" si="89"/>
        <v>-10</v>
      </c>
      <c r="AG41" s="874">
        <f t="shared" si="89"/>
        <v>-21</v>
      </c>
      <c r="AH41" s="885">
        <v>10</v>
      </c>
      <c r="AI41" s="707">
        <f t="shared" si="90"/>
        <v>-42</v>
      </c>
      <c r="AJ41" s="707">
        <f t="shared" si="91"/>
        <v>-14</v>
      </c>
      <c r="AK41" s="874">
        <f t="shared" si="91"/>
        <v>-34</v>
      </c>
      <c r="AL41" s="885">
        <f>-3+110</f>
        <v>107</v>
      </c>
      <c r="AM41" s="707">
        <f t="shared" si="92"/>
        <v>-514</v>
      </c>
      <c r="AN41" s="707">
        <f t="shared" si="93"/>
        <v>290</v>
      </c>
      <c r="AO41" s="874">
        <f t="shared" si="93"/>
        <v>10</v>
      </c>
      <c r="AP41" s="885">
        <f>-43+213</f>
        <v>170</v>
      </c>
      <c r="AQ41" s="707">
        <f t="shared" si="94"/>
        <v>-755</v>
      </c>
      <c r="AR41" s="876">
        <v>0</v>
      </c>
      <c r="AS41" s="877">
        <v>0</v>
      </c>
      <c r="AT41" s="878">
        <v>0</v>
      </c>
      <c r="AU41" s="876">
        <v>0</v>
      </c>
      <c r="AV41" s="876">
        <v>0</v>
      </c>
      <c r="AW41" s="877">
        <v>0</v>
      </c>
      <c r="AX41" s="878">
        <v>0</v>
      </c>
      <c r="AY41" s="876">
        <v>0</v>
      </c>
      <c r="AZ41" s="876">
        <v>0</v>
      </c>
      <c r="BA41" s="877">
        <v>0</v>
      </c>
      <c r="BB41" s="415"/>
      <c r="BC41" s="748"/>
      <c r="BD41" s="656">
        <f t="shared" ref="BD41" si="121">+SUM(B41:E41)</f>
        <v>-13</v>
      </c>
      <c r="BE41" s="656">
        <f t="shared" ref="BE41" si="122">+SUM(F41:I41)</f>
        <v>-45</v>
      </c>
      <c r="BF41" s="746">
        <f t="shared" si="97"/>
        <v>3</v>
      </c>
      <c r="BG41" s="957">
        <f t="shared" si="98"/>
        <v>-2</v>
      </c>
      <c r="BH41" s="957">
        <f t="shared" si="99"/>
        <v>-29</v>
      </c>
      <c r="BI41" s="957">
        <f t="shared" si="100"/>
        <v>30</v>
      </c>
      <c r="BJ41" s="957">
        <f t="shared" si="101"/>
        <v>-24</v>
      </c>
      <c r="BK41" s="957">
        <f t="shared" si="102"/>
        <v>-47</v>
      </c>
      <c r="BL41" s="957">
        <f t="shared" si="103"/>
        <v>-80</v>
      </c>
      <c r="BM41" s="957">
        <f t="shared" si="104"/>
        <v>-107</v>
      </c>
      <c r="BN41" s="957">
        <f t="shared" si="105"/>
        <v>-585</v>
      </c>
      <c r="BO41" s="957">
        <f t="shared" si="106"/>
        <v>0</v>
      </c>
      <c r="BP41" s="957">
        <f t="shared" si="107"/>
        <v>0</v>
      </c>
      <c r="BQ41" s="747"/>
      <c r="BR41" s="1386"/>
      <c r="BS41" s="1385"/>
      <c r="BT41" s="1385"/>
      <c r="BU41" s="110"/>
      <c r="BV41" s="748"/>
      <c r="BW41" s="746"/>
      <c r="BX41" s="110"/>
      <c r="BY41" s="110"/>
      <c r="BZ41" s="748"/>
      <c r="CA41" s="746"/>
      <c r="CB41" s="110"/>
      <c r="CC41" s="110"/>
      <c r="CD41" s="748"/>
      <c r="CE41" s="746"/>
      <c r="CF41" s="110"/>
      <c r="CG41" s="110"/>
      <c r="CH41" s="110"/>
      <c r="CI41" s="654"/>
      <c r="CJ41" s="110"/>
      <c r="CK41" s="110"/>
      <c r="CL41" s="748"/>
      <c r="CM41" s="875">
        <v>-13</v>
      </c>
      <c r="CN41" s="110">
        <v>48</v>
      </c>
      <c r="CO41" s="327">
        <v>37</v>
      </c>
      <c r="CP41" s="327">
        <v>30</v>
      </c>
      <c r="CQ41" s="749">
        <v>-28</v>
      </c>
      <c r="CR41" s="327">
        <v>-16</v>
      </c>
      <c r="CS41" s="327">
        <v>-9</v>
      </c>
      <c r="CT41" s="751">
        <v>-24</v>
      </c>
      <c r="CU41" s="749"/>
      <c r="CV41" s="327">
        <v>-16</v>
      </c>
      <c r="CW41" s="327">
        <v>-26</v>
      </c>
      <c r="CX41" s="751">
        <v>-47</v>
      </c>
      <c r="CY41" s="746"/>
      <c r="CZ41" s="327">
        <v>-32</v>
      </c>
      <c r="DA41" s="327">
        <v>-46</v>
      </c>
      <c r="DB41" s="751">
        <v>-80</v>
      </c>
      <c r="DC41" s="746"/>
      <c r="DD41" s="327">
        <v>-407</v>
      </c>
      <c r="DE41" s="110">
        <v>-117</v>
      </c>
      <c r="DF41" s="748">
        <v>-107</v>
      </c>
      <c r="DG41" s="746"/>
      <c r="DH41" s="327">
        <v>-585</v>
      </c>
      <c r="DI41" s="110"/>
      <c r="DJ41" s="748"/>
    </row>
    <row r="42" spans="1:114" ht="12" customHeight="1">
      <c r="A42" s="890" t="s">
        <v>345</v>
      </c>
      <c r="B42" s="891">
        <f t="shared" ref="B42:AO42" si="123">SUM(B32:B41)</f>
        <v>816</v>
      </c>
      <c r="C42" s="891">
        <f t="shared" si="123"/>
        <v>-323</v>
      </c>
      <c r="D42" s="891">
        <f t="shared" si="123"/>
        <v>85</v>
      </c>
      <c r="E42" s="891">
        <f t="shared" si="123"/>
        <v>-207</v>
      </c>
      <c r="F42" s="892">
        <f t="shared" si="123"/>
        <v>98</v>
      </c>
      <c r="G42" s="891">
        <f t="shared" si="123"/>
        <v>-55</v>
      </c>
      <c r="H42" s="891">
        <f t="shared" si="123"/>
        <v>-65</v>
      </c>
      <c r="I42" s="891">
        <f t="shared" si="123"/>
        <v>-63</v>
      </c>
      <c r="J42" s="892">
        <f t="shared" si="123"/>
        <v>-128</v>
      </c>
      <c r="K42" s="891">
        <f t="shared" si="123"/>
        <v>-308</v>
      </c>
      <c r="L42" s="891">
        <f t="shared" si="123"/>
        <v>-105</v>
      </c>
      <c r="M42" s="891">
        <f t="shared" si="123"/>
        <v>4</v>
      </c>
      <c r="N42" s="892">
        <f t="shared" si="123"/>
        <v>-51</v>
      </c>
      <c r="O42" s="891">
        <f t="shared" si="123"/>
        <v>10</v>
      </c>
      <c r="P42" s="891">
        <f t="shared" si="123"/>
        <v>-260</v>
      </c>
      <c r="Q42" s="891">
        <f t="shared" si="123"/>
        <v>-265</v>
      </c>
      <c r="R42" s="892">
        <f t="shared" si="123"/>
        <v>-57</v>
      </c>
      <c r="S42" s="891">
        <f t="shared" si="123"/>
        <v>-39</v>
      </c>
      <c r="T42" s="891">
        <f t="shared" si="123"/>
        <v>-15</v>
      </c>
      <c r="U42" s="891">
        <f t="shared" si="123"/>
        <v>14</v>
      </c>
      <c r="V42" s="892">
        <f t="shared" si="123"/>
        <v>-130</v>
      </c>
      <c r="W42" s="881">
        <f t="shared" si="123"/>
        <v>-3136</v>
      </c>
      <c r="X42" s="881">
        <f t="shared" si="123"/>
        <v>-262</v>
      </c>
      <c r="Y42" s="882">
        <f t="shared" ref="Y42:AB42" si="124">SUM(Y32:Y41)</f>
        <v>-437</v>
      </c>
      <c r="Z42" s="892">
        <f t="shared" si="124"/>
        <v>796</v>
      </c>
      <c r="AA42" s="881">
        <f t="shared" si="124"/>
        <v>-5478</v>
      </c>
      <c r="AB42" s="881">
        <f t="shared" si="124"/>
        <v>-428</v>
      </c>
      <c r="AC42" s="882">
        <f t="shared" ref="AC42" si="125">SUM(AC32:AC41)</f>
        <v>-311</v>
      </c>
      <c r="AD42" s="883">
        <f t="shared" si="123"/>
        <v>-256</v>
      </c>
      <c r="AE42" s="881">
        <f t="shared" si="123"/>
        <v>-448</v>
      </c>
      <c r="AF42" s="881">
        <f t="shared" si="123"/>
        <v>155</v>
      </c>
      <c r="AG42" s="882">
        <f t="shared" si="123"/>
        <v>-373</v>
      </c>
      <c r="AH42" s="892">
        <f t="shared" si="123"/>
        <v>210</v>
      </c>
      <c r="AI42" s="881">
        <f t="shared" ref="AI42:AK42" si="126">SUM(AI32:AI41)</f>
        <v>34</v>
      </c>
      <c r="AJ42" s="881">
        <f t="shared" si="126"/>
        <v>-219</v>
      </c>
      <c r="AK42" s="882">
        <f t="shared" si="126"/>
        <v>-252</v>
      </c>
      <c r="AL42" s="892">
        <f t="shared" si="123"/>
        <v>-188</v>
      </c>
      <c r="AM42" s="881">
        <f t="shared" si="123"/>
        <v>-489</v>
      </c>
      <c r="AN42" s="881">
        <f t="shared" si="123"/>
        <v>-416</v>
      </c>
      <c r="AO42" s="882">
        <f t="shared" si="123"/>
        <v>-1225</v>
      </c>
      <c r="AP42" s="892">
        <f t="shared" ref="AP42:AQ42" si="127">SUM(AP32:AP41)</f>
        <v>1198</v>
      </c>
      <c r="AQ42" s="881">
        <f t="shared" si="127"/>
        <v>-700</v>
      </c>
      <c r="AR42" s="881">
        <f t="shared" ref="AR42:AS42" si="128">SUM(AR32:AR41)</f>
        <v>-36</v>
      </c>
      <c r="AS42" s="882">
        <f t="shared" si="128"/>
        <v>-36.25</v>
      </c>
      <c r="AT42" s="883">
        <f t="shared" ref="AT42:AW42" si="129">SUM(AT32:AT41)</f>
        <v>-39.0625</v>
      </c>
      <c r="AU42" s="881">
        <f t="shared" si="129"/>
        <v>-39.328125</v>
      </c>
      <c r="AV42" s="881">
        <f t="shared" si="129"/>
        <v>-37.66015625</v>
      </c>
      <c r="AW42" s="882">
        <f t="shared" si="129"/>
        <v>-38.0751953125</v>
      </c>
      <c r="AX42" s="883">
        <f t="shared" ref="AX42:BA42" si="130">SUM(AX32:AX41)</f>
        <v>-100</v>
      </c>
      <c r="AY42" s="881">
        <f t="shared" si="130"/>
        <v>-100</v>
      </c>
      <c r="AZ42" s="881">
        <f t="shared" si="130"/>
        <v>-100</v>
      </c>
      <c r="BA42" s="882">
        <f t="shared" si="130"/>
        <v>-100</v>
      </c>
      <c r="BB42" s="766"/>
      <c r="BC42" s="760"/>
      <c r="BD42" s="668">
        <f t="shared" si="95"/>
        <v>371</v>
      </c>
      <c r="BE42" s="759">
        <f t="shared" si="96"/>
        <v>-85</v>
      </c>
      <c r="BF42" s="759">
        <f t="shared" si="97"/>
        <v>-537</v>
      </c>
      <c r="BG42" s="961">
        <f t="shared" si="98"/>
        <v>-566</v>
      </c>
      <c r="BH42" s="962">
        <f t="shared" si="99"/>
        <v>-97</v>
      </c>
      <c r="BI42" s="958">
        <f t="shared" si="100"/>
        <v>-3965</v>
      </c>
      <c r="BJ42" s="958">
        <f t="shared" si="101"/>
        <v>-5421</v>
      </c>
      <c r="BK42" s="958">
        <f t="shared" si="102"/>
        <v>-922</v>
      </c>
      <c r="BL42" s="958">
        <f t="shared" si="103"/>
        <v>-227</v>
      </c>
      <c r="BM42" s="958">
        <f t="shared" si="104"/>
        <v>-2318</v>
      </c>
      <c r="BN42" s="958">
        <f t="shared" si="105"/>
        <v>425.75</v>
      </c>
      <c r="BO42" s="958">
        <f t="shared" si="106"/>
        <v>-154.1259765625</v>
      </c>
      <c r="BP42" s="958">
        <f t="shared" si="107"/>
        <v>-400</v>
      </c>
      <c r="BQ42" s="747"/>
      <c r="BR42" s="1388"/>
      <c r="BS42" s="193">
        <f t="shared" ref="BS42:BY42" si="131">SUM(BS32:BS41)</f>
        <v>0</v>
      </c>
      <c r="BT42" s="193">
        <f t="shared" si="131"/>
        <v>0</v>
      </c>
      <c r="BU42" s="211">
        <f t="shared" si="131"/>
        <v>0</v>
      </c>
      <c r="BV42" s="753">
        <f t="shared" si="131"/>
        <v>0</v>
      </c>
      <c r="BW42" s="752">
        <f t="shared" si="131"/>
        <v>0</v>
      </c>
      <c r="BX42" s="211">
        <f t="shared" si="131"/>
        <v>0</v>
      </c>
      <c r="BY42" s="211">
        <f t="shared" si="131"/>
        <v>0</v>
      </c>
      <c r="BZ42" s="753">
        <f>SUM(BZ32:BZ41)</f>
        <v>0</v>
      </c>
      <c r="CA42" s="752">
        <f t="shared" ref="CA42:DF42" si="132">SUM(CA32:CA41)</f>
        <v>0</v>
      </c>
      <c r="CB42" s="211">
        <f t="shared" si="132"/>
        <v>0</v>
      </c>
      <c r="CC42" s="211">
        <f t="shared" si="132"/>
        <v>0</v>
      </c>
      <c r="CD42" s="753">
        <f t="shared" si="132"/>
        <v>0</v>
      </c>
      <c r="CE42" s="752">
        <f t="shared" si="132"/>
        <v>0</v>
      </c>
      <c r="CF42" s="211">
        <f t="shared" si="132"/>
        <v>0</v>
      </c>
      <c r="CG42" s="211">
        <f t="shared" si="132"/>
        <v>0</v>
      </c>
      <c r="CH42" s="211">
        <f t="shared" si="132"/>
        <v>0</v>
      </c>
      <c r="CI42" s="661">
        <f t="shared" si="132"/>
        <v>0</v>
      </c>
      <c r="CJ42" s="211">
        <f t="shared" si="132"/>
        <v>0</v>
      </c>
      <c r="CK42" s="211">
        <f t="shared" si="132"/>
        <v>0</v>
      </c>
      <c r="CL42" s="753">
        <f t="shared" si="132"/>
        <v>0</v>
      </c>
      <c r="CM42" s="880">
        <f t="shared" si="132"/>
        <v>-130</v>
      </c>
      <c r="CN42" s="211">
        <f t="shared" si="132"/>
        <v>-3266</v>
      </c>
      <c r="CO42" s="324">
        <f t="shared" si="132"/>
        <v>-3528</v>
      </c>
      <c r="CP42" s="324">
        <f t="shared" ref="CP42" si="133">SUM(CP32:CP41)</f>
        <v>-3965</v>
      </c>
      <c r="CQ42" s="755">
        <f t="shared" si="132"/>
        <v>796</v>
      </c>
      <c r="CR42" s="324">
        <f t="shared" si="132"/>
        <v>-4682</v>
      </c>
      <c r="CS42" s="324">
        <f t="shared" si="132"/>
        <v>-5110</v>
      </c>
      <c r="CT42" s="757">
        <f t="shared" si="132"/>
        <v>-5421</v>
      </c>
      <c r="CU42" s="755">
        <f t="shared" si="132"/>
        <v>0</v>
      </c>
      <c r="CV42" s="324">
        <f t="shared" si="132"/>
        <v>-704</v>
      </c>
      <c r="CW42" s="211">
        <f t="shared" si="132"/>
        <v>-549</v>
      </c>
      <c r="CX42" s="757">
        <f t="shared" si="132"/>
        <v>-922</v>
      </c>
      <c r="CY42" s="752">
        <f t="shared" si="132"/>
        <v>0</v>
      </c>
      <c r="CZ42" s="324">
        <f t="shared" si="132"/>
        <v>244</v>
      </c>
      <c r="DA42" s="324">
        <f t="shared" si="132"/>
        <v>25</v>
      </c>
      <c r="DB42" s="757">
        <f t="shared" ref="DB42" si="134">SUM(DB32:DB41)</f>
        <v>-227</v>
      </c>
      <c r="DC42" s="752">
        <f t="shared" si="132"/>
        <v>0</v>
      </c>
      <c r="DD42" s="324">
        <f t="shared" ref="DD42" si="135">SUM(DD32:DD41)</f>
        <v>-677</v>
      </c>
      <c r="DE42" s="211">
        <f t="shared" si="132"/>
        <v>-1093</v>
      </c>
      <c r="DF42" s="753">
        <f t="shared" si="132"/>
        <v>-2318</v>
      </c>
      <c r="DG42" s="752">
        <f t="shared" ref="DG42:DH42" si="136">SUM(DG32:DG41)</f>
        <v>0</v>
      </c>
      <c r="DH42" s="324">
        <f t="shared" si="136"/>
        <v>498</v>
      </c>
      <c r="DI42" s="211"/>
      <c r="DJ42" s="753"/>
    </row>
    <row r="43" spans="1:114" ht="12" customHeight="1">
      <c r="A43" s="745"/>
      <c r="B43" s="439"/>
      <c r="C43" s="439"/>
      <c r="D43" s="439"/>
      <c r="E43" s="439"/>
      <c r="F43" s="438"/>
      <c r="G43" s="439"/>
      <c r="H43" s="439"/>
      <c r="I43" s="439"/>
      <c r="J43" s="438"/>
      <c r="K43" s="439"/>
      <c r="L43" s="439"/>
      <c r="M43" s="439"/>
      <c r="N43" s="438"/>
      <c r="O43" s="439"/>
      <c r="P43" s="439"/>
      <c r="Q43" s="439"/>
      <c r="R43" s="438"/>
      <c r="S43" s="439"/>
      <c r="T43" s="439"/>
      <c r="U43" s="439"/>
      <c r="V43" s="438"/>
      <c r="W43" s="439"/>
      <c r="X43" s="439"/>
      <c r="Y43" s="440"/>
      <c r="Z43" s="438"/>
      <c r="AA43" s="439"/>
      <c r="AB43" s="439"/>
      <c r="AC43" s="440"/>
      <c r="AD43" s="438"/>
      <c r="AE43" s="439"/>
      <c r="AF43" s="439"/>
      <c r="AG43" s="440"/>
      <c r="AH43" s="743"/>
      <c r="AI43" s="439"/>
      <c r="AJ43" s="439"/>
      <c r="AK43" s="440"/>
      <c r="AL43" s="438"/>
      <c r="AM43" s="439"/>
      <c r="AN43" s="439"/>
      <c r="AO43" s="440"/>
      <c r="AP43" s="438"/>
      <c r="AQ43" s="439"/>
      <c r="AR43" s="439"/>
      <c r="AS43" s="440"/>
      <c r="AT43" s="438"/>
      <c r="AU43" s="439"/>
      <c r="AV43" s="439"/>
      <c r="AW43" s="440"/>
      <c r="AX43" s="438"/>
      <c r="AY43" s="439"/>
      <c r="AZ43" s="439"/>
      <c r="BA43" s="440"/>
      <c r="BB43" s="766"/>
      <c r="BC43" s="767"/>
      <c r="BD43" s="768"/>
      <c r="BE43" s="768"/>
      <c r="BF43" s="769"/>
      <c r="BG43" s="770"/>
      <c r="BH43" s="771"/>
      <c r="BI43" s="772"/>
      <c r="BJ43" s="772"/>
      <c r="BK43" s="772"/>
      <c r="BL43" s="772"/>
      <c r="BM43" s="772"/>
      <c r="BN43" s="772"/>
      <c r="BO43" s="772"/>
      <c r="BP43" s="772"/>
      <c r="BR43" s="1386"/>
      <c r="BS43" s="1383"/>
      <c r="BT43" s="1383"/>
      <c r="BU43" s="439"/>
      <c r="BV43" s="440"/>
      <c r="BW43" s="438"/>
      <c r="BX43" s="439"/>
      <c r="BY43" s="439"/>
      <c r="BZ43" s="440"/>
      <c r="CA43" s="438"/>
      <c r="CB43" s="439"/>
      <c r="CC43" s="439"/>
      <c r="CD43" s="440"/>
      <c r="CE43" s="438"/>
      <c r="CF43" s="439"/>
      <c r="CG43" s="439"/>
      <c r="CH43" s="439"/>
      <c r="CI43" s="763"/>
      <c r="CJ43" s="439"/>
      <c r="CK43" s="439"/>
      <c r="CL43" s="440"/>
      <c r="CM43" s="438"/>
      <c r="CN43" s="439"/>
      <c r="CO43" s="414"/>
      <c r="CP43" s="414"/>
      <c r="CQ43" s="743"/>
      <c r="CR43" s="439"/>
      <c r="CS43" s="439"/>
      <c r="CT43" s="440"/>
      <c r="CU43" s="743"/>
      <c r="CV43" s="439"/>
      <c r="CW43" s="439"/>
      <c r="CX43" s="440"/>
      <c r="CY43" s="438"/>
      <c r="CZ43" s="414"/>
      <c r="DA43" s="439"/>
      <c r="DB43" s="440"/>
      <c r="DC43" s="438"/>
      <c r="DD43" s="414"/>
      <c r="DE43" s="439"/>
      <c r="DF43" s="440"/>
      <c r="DG43" s="438"/>
      <c r="DH43" s="414"/>
      <c r="DI43" s="439"/>
      <c r="DJ43" s="440"/>
    </row>
    <row r="44" spans="1:114" ht="12" customHeight="1">
      <c r="A44" s="764" t="s">
        <v>346</v>
      </c>
      <c r="B44" s="439"/>
      <c r="C44" s="439"/>
      <c r="D44" s="439"/>
      <c r="E44" s="439"/>
      <c r="F44" s="438"/>
      <c r="G44" s="439"/>
      <c r="H44" s="439"/>
      <c r="I44" s="439"/>
      <c r="J44" s="438"/>
      <c r="K44" s="439"/>
      <c r="L44" s="439"/>
      <c r="M44" s="439"/>
      <c r="N44" s="438"/>
      <c r="O44" s="439"/>
      <c r="P44" s="439"/>
      <c r="Q44" s="439"/>
      <c r="R44" s="438"/>
      <c r="S44" s="439"/>
      <c r="T44" s="439"/>
      <c r="U44" s="439"/>
      <c r="V44" s="438"/>
      <c r="W44" s="439"/>
      <c r="X44" s="439"/>
      <c r="Y44" s="440"/>
      <c r="Z44" s="438"/>
      <c r="AA44" s="439"/>
      <c r="AB44" s="439"/>
      <c r="AC44" s="440"/>
      <c r="AD44" s="438"/>
      <c r="AE44" s="439"/>
      <c r="AF44" s="439"/>
      <c r="AG44" s="440"/>
      <c r="AH44" s="743"/>
      <c r="AI44" s="439"/>
      <c r="AJ44" s="439"/>
      <c r="AK44" s="440"/>
      <c r="AL44" s="438"/>
      <c r="AM44" s="439"/>
      <c r="AN44" s="439"/>
      <c r="AO44" s="440"/>
      <c r="AP44" s="438"/>
      <c r="AQ44" s="439"/>
      <c r="AR44" s="439"/>
      <c r="AS44" s="440"/>
      <c r="AT44" s="438"/>
      <c r="AU44" s="439"/>
      <c r="AV44" s="439"/>
      <c r="AW44" s="440"/>
      <c r="AX44" s="438"/>
      <c r="AY44" s="439"/>
      <c r="AZ44" s="439"/>
      <c r="BA44" s="440"/>
      <c r="BB44" s="766"/>
      <c r="BC44" s="767"/>
      <c r="BD44" s="768"/>
      <c r="BE44" s="768"/>
      <c r="BF44" s="769"/>
      <c r="BG44" s="770"/>
      <c r="BH44" s="771"/>
      <c r="BI44" s="772"/>
      <c r="BJ44" s="772"/>
      <c r="BK44" s="772"/>
      <c r="BL44" s="772"/>
      <c r="BM44" s="772"/>
      <c r="BN44" s="772"/>
      <c r="BO44" s="772"/>
      <c r="BP44" s="772"/>
      <c r="BS44" s="1382"/>
      <c r="BT44" s="1383"/>
      <c r="BU44" s="439"/>
      <c r="BV44" s="440"/>
      <c r="BW44" s="438"/>
      <c r="BX44" s="439"/>
      <c r="BY44" s="439"/>
      <c r="BZ44" s="440"/>
      <c r="CA44" s="438"/>
      <c r="CB44" s="439"/>
      <c r="CC44" s="439"/>
      <c r="CD44" s="440"/>
      <c r="CE44" s="438"/>
      <c r="CF44" s="439"/>
      <c r="CG44" s="439"/>
      <c r="CH44" s="439"/>
      <c r="CI44" s="763"/>
      <c r="CJ44" s="439"/>
      <c r="CK44" s="439"/>
      <c r="CL44" s="440"/>
      <c r="CM44" s="438"/>
      <c r="CN44" s="439"/>
      <c r="CO44" s="414"/>
      <c r="CP44" s="414"/>
      <c r="CQ44" s="743"/>
      <c r="CR44" s="439"/>
      <c r="CS44" s="439"/>
      <c r="CT44" s="440"/>
      <c r="CU44" s="743"/>
      <c r="CV44" s="414"/>
      <c r="CW44" s="414"/>
      <c r="CX44" s="744"/>
      <c r="CY44" s="438"/>
      <c r="DA44" s="439"/>
      <c r="DB44" s="744"/>
      <c r="DC44" s="438"/>
      <c r="DE44" s="439"/>
      <c r="DF44" s="440"/>
      <c r="DG44" s="438"/>
      <c r="DI44" s="439"/>
      <c r="DJ44" s="440"/>
    </row>
    <row r="45" spans="1:114" ht="12" customHeight="1">
      <c r="A45" s="765" t="s">
        <v>125</v>
      </c>
      <c r="B45" s="707">
        <v>350</v>
      </c>
      <c r="C45" s="707">
        <v>395</v>
      </c>
      <c r="D45" s="707">
        <v>250</v>
      </c>
      <c r="E45" s="707">
        <v>0</v>
      </c>
      <c r="F45" s="875">
        <v>100</v>
      </c>
      <c r="G45" s="707">
        <v>50</v>
      </c>
      <c r="H45" s="707">
        <v>0</v>
      </c>
      <c r="I45" s="707">
        <v>0</v>
      </c>
      <c r="J45" s="875">
        <v>400</v>
      </c>
      <c r="K45" s="707">
        <v>400</v>
      </c>
      <c r="L45" s="707">
        <v>0</v>
      </c>
      <c r="M45" s="707">
        <v>0</v>
      </c>
      <c r="N45" s="875">
        <v>0</v>
      </c>
      <c r="O45" s="707">
        <v>0</v>
      </c>
      <c r="P45" s="707">
        <v>0</v>
      </c>
      <c r="Q45" s="707">
        <v>0</v>
      </c>
      <c r="R45" s="875">
        <v>0</v>
      </c>
      <c r="S45" s="707">
        <v>0</v>
      </c>
      <c r="T45" s="707">
        <v>0</v>
      </c>
      <c r="U45" s="707">
        <v>1000</v>
      </c>
      <c r="V45" s="875">
        <f t="shared" ref="V45:V55" si="137">+CM45</f>
        <v>0</v>
      </c>
      <c r="W45" s="707">
        <f t="shared" ref="W45:AC55" si="138">+CN45-CM45</f>
        <v>0</v>
      </c>
      <c r="X45" s="707">
        <f t="shared" si="138"/>
        <v>0</v>
      </c>
      <c r="Y45" s="874">
        <f t="shared" si="138"/>
        <v>0</v>
      </c>
      <c r="Z45" s="875">
        <f t="shared" ref="Z45:Z55" si="139">+CQ45</f>
        <v>0</v>
      </c>
      <c r="AA45" s="707">
        <f t="shared" si="138"/>
        <v>0</v>
      </c>
      <c r="AB45" s="707">
        <f t="shared" si="138"/>
        <v>0</v>
      </c>
      <c r="AC45" s="874">
        <f t="shared" si="138"/>
        <v>182</v>
      </c>
      <c r="AD45" s="875">
        <v>1</v>
      </c>
      <c r="AE45" s="707">
        <f t="shared" ref="AE45:AG55" si="140">+CV45-CU45</f>
        <v>0</v>
      </c>
      <c r="AF45" s="707">
        <f t="shared" si="140"/>
        <v>0</v>
      </c>
      <c r="AG45" s="874">
        <f t="shared" si="140"/>
        <v>222</v>
      </c>
      <c r="AH45" s="885">
        <v>3956</v>
      </c>
      <c r="AI45" s="707">
        <f t="shared" ref="AI45" si="141">+CZ45-AH45</f>
        <v>-4130</v>
      </c>
      <c r="AJ45" s="707">
        <f t="shared" ref="AJ45:AK55" si="142">+DA45-CZ45</f>
        <v>0</v>
      </c>
      <c r="AK45" s="874">
        <f t="shared" si="142"/>
        <v>110</v>
      </c>
      <c r="AL45" s="885">
        <v>0</v>
      </c>
      <c r="AM45" s="707">
        <f t="shared" ref="AM45" si="143">+DD45-AL45</f>
        <v>175</v>
      </c>
      <c r="AN45" s="707">
        <f t="shared" ref="AN45:AO55" si="144">+DE45-DD45</f>
        <v>189</v>
      </c>
      <c r="AO45" s="874">
        <f t="shared" si="144"/>
        <v>65</v>
      </c>
      <c r="AP45" s="885">
        <v>166</v>
      </c>
      <c r="AQ45" s="707">
        <f t="shared" ref="AQ45" si="145">+DH45-AP45</f>
        <v>20</v>
      </c>
      <c r="AR45" s="876">
        <v>0</v>
      </c>
      <c r="AS45" s="877">
        <v>0</v>
      </c>
      <c r="AT45" s="878">
        <v>0</v>
      </c>
      <c r="AU45" s="876">
        <v>0</v>
      </c>
      <c r="AV45" s="876">
        <v>0</v>
      </c>
      <c r="AW45" s="877">
        <v>0</v>
      </c>
      <c r="AX45" s="878">
        <v>0</v>
      </c>
      <c r="AY45" s="876">
        <v>0</v>
      </c>
      <c r="AZ45" s="876">
        <v>0</v>
      </c>
      <c r="BA45" s="877">
        <v>0</v>
      </c>
      <c r="BB45" s="766"/>
      <c r="BC45" s="748"/>
      <c r="BD45" s="656">
        <f t="shared" ref="BD45:BD56" si="146">+SUM(B45:E45)</f>
        <v>995</v>
      </c>
      <c r="BE45" s="656">
        <f t="shared" ref="BE45:BE56" si="147">+SUM(F45:I45)</f>
        <v>150</v>
      </c>
      <c r="BF45" s="746">
        <f t="shared" ref="BF45:BF56" si="148">+SUM(J45:M45)</f>
        <v>800</v>
      </c>
      <c r="BG45" s="963">
        <f t="shared" ref="BG45:BG56" si="149">SUM(N45:Q45)</f>
        <v>0</v>
      </c>
      <c r="BH45" s="964">
        <f t="shared" ref="BH45:BH56" si="150">SUM(R45:U45)</f>
        <v>1000</v>
      </c>
      <c r="BI45" s="964">
        <f>SUM(V45:Y45)</f>
        <v>0</v>
      </c>
      <c r="BJ45" s="964">
        <f>SUM(Z45:AC45)</f>
        <v>182</v>
      </c>
      <c r="BK45" s="964">
        <f>SUM(AD45:AG45)</f>
        <v>223</v>
      </c>
      <c r="BL45" s="964">
        <f>+SUM(AH45:AK45)</f>
        <v>-64</v>
      </c>
      <c r="BM45" s="964">
        <f t="shared" ref="BM45:BM56" si="151">+SUM(AL45:AO45)</f>
        <v>429</v>
      </c>
      <c r="BN45" s="964">
        <f t="shared" ref="BN45:BN56" si="152">+SUM(AP45:AS45)</f>
        <v>186</v>
      </c>
      <c r="BO45" s="964">
        <f t="shared" ref="BO45:BO56" si="153">+SUM(AT45:AW45)</f>
        <v>0</v>
      </c>
      <c r="BP45" s="964">
        <f t="shared" ref="BP45:BP56" si="154">+SUM(AX45:BA45)</f>
        <v>0</v>
      </c>
      <c r="BQ45" s="747"/>
      <c r="BS45" s="1384"/>
      <c r="BT45" s="1385"/>
      <c r="BU45" s="110"/>
      <c r="BV45" s="748"/>
      <c r="BW45" s="746"/>
      <c r="BX45" s="110"/>
      <c r="BY45" s="110"/>
      <c r="BZ45" s="748"/>
      <c r="CA45" s="746"/>
      <c r="CB45" s="110"/>
      <c r="CC45" s="110"/>
      <c r="CD45" s="110"/>
      <c r="CE45" s="654"/>
      <c r="CF45" s="110"/>
      <c r="CG45" s="110"/>
      <c r="CH45" s="110"/>
      <c r="CI45" s="654"/>
      <c r="CJ45" s="110"/>
      <c r="CK45" s="110"/>
      <c r="CL45" s="748"/>
      <c r="CM45" s="875">
        <v>0</v>
      </c>
      <c r="CN45" s="110">
        <v>0</v>
      </c>
      <c r="CO45" s="327">
        <v>0</v>
      </c>
      <c r="CP45" s="327">
        <v>0</v>
      </c>
      <c r="CQ45" s="749">
        <v>0</v>
      </c>
      <c r="CR45" s="110"/>
      <c r="CS45" s="110"/>
      <c r="CT45" s="751">
        <v>182</v>
      </c>
      <c r="CU45" s="749"/>
      <c r="CV45" s="327"/>
      <c r="CW45" s="327"/>
      <c r="CX45" s="751">
        <v>222</v>
      </c>
      <c r="CY45" s="746"/>
      <c r="CZ45" s="439">
        <f>3956-4200+100-100+95-25</f>
        <v>-174</v>
      </c>
      <c r="DA45" s="327">
        <f>3956-4200+95-25</f>
        <v>-174</v>
      </c>
      <c r="DB45" s="751">
        <f>3956-4200+100-100+180</f>
        <v>-64</v>
      </c>
      <c r="DC45" s="746"/>
      <c r="DD45" s="1505">
        <v>175</v>
      </c>
      <c r="DE45" s="110">
        <v>364</v>
      </c>
      <c r="DF45" s="748">
        <v>429</v>
      </c>
      <c r="DG45" s="746"/>
      <c r="DH45" s="1505">
        <v>186</v>
      </c>
      <c r="DI45" s="110"/>
      <c r="DJ45" s="748"/>
    </row>
    <row r="46" spans="1:114" ht="12" customHeight="1">
      <c r="A46" s="765" t="s">
        <v>126</v>
      </c>
      <c r="B46" s="707">
        <v>0</v>
      </c>
      <c r="C46" s="707">
        <v>0</v>
      </c>
      <c r="D46" s="707">
        <v>-995</v>
      </c>
      <c r="E46" s="707">
        <v>0</v>
      </c>
      <c r="F46" s="875">
        <v>0</v>
      </c>
      <c r="G46" s="707">
        <v>0</v>
      </c>
      <c r="H46" s="707">
        <v>-150</v>
      </c>
      <c r="I46" s="707">
        <v>0</v>
      </c>
      <c r="J46" s="875">
        <v>0</v>
      </c>
      <c r="K46" s="707">
        <v>-160</v>
      </c>
      <c r="L46" s="707">
        <v>-640</v>
      </c>
      <c r="M46" s="707">
        <v>0</v>
      </c>
      <c r="N46" s="875">
        <v>0</v>
      </c>
      <c r="O46" s="707">
        <v>0</v>
      </c>
      <c r="P46" s="707">
        <v>0</v>
      </c>
      <c r="Q46" s="707">
        <v>0</v>
      </c>
      <c r="R46" s="875">
        <v>0</v>
      </c>
      <c r="S46" s="707">
        <v>0</v>
      </c>
      <c r="T46" s="707">
        <v>0</v>
      </c>
      <c r="U46" s="707">
        <v>0</v>
      </c>
      <c r="V46" s="875">
        <f t="shared" si="137"/>
        <v>-1000</v>
      </c>
      <c r="W46" s="707">
        <f t="shared" si="138"/>
        <v>0</v>
      </c>
      <c r="X46" s="707">
        <f t="shared" si="138"/>
        <v>0</v>
      </c>
      <c r="Y46" s="874">
        <f t="shared" si="138"/>
        <v>0</v>
      </c>
      <c r="Z46" s="875">
        <f t="shared" si="139"/>
        <v>2</v>
      </c>
      <c r="AA46" s="707">
        <f t="shared" si="138"/>
        <v>4700</v>
      </c>
      <c r="AB46" s="707">
        <f t="shared" si="138"/>
        <v>-4702</v>
      </c>
      <c r="AC46" s="874">
        <f t="shared" si="138"/>
        <v>0</v>
      </c>
      <c r="AD46" s="875">
        <v>70</v>
      </c>
      <c r="AE46" s="707">
        <f t="shared" ref="AE46:AE55" si="155">+CV46-AD46</f>
        <v>80</v>
      </c>
      <c r="AF46" s="707">
        <f t="shared" si="140"/>
        <v>-659</v>
      </c>
      <c r="AG46" s="874">
        <f t="shared" si="140"/>
        <v>486</v>
      </c>
      <c r="AH46" s="885">
        <v>-4200</v>
      </c>
      <c r="AI46" s="707">
        <f>+CZ46-AH46</f>
        <v>4200</v>
      </c>
      <c r="AJ46" s="707">
        <f t="shared" si="142"/>
        <v>0</v>
      </c>
      <c r="AK46" s="874">
        <f t="shared" si="142"/>
        <v>-25</v>
      </c>
      <c r="AL46" s="885">
        <v>0</v>
      </c>
      <c r="AM46" s="707">
        <f>+DD46-AL46</f>
        <v>0</v>
      </c>
      <c r="AN46" s="707">
        <f t="shared" si="144"/>
        <v>0</v>
      </c>
      <c r="AO46" s="874">
        <f t="shared" si="144"/>
        <v>0</v>
      </c>
      <c r="AP46" s="885">
        <v>0</v>
      </c>
      <c r="AQ46" s="707">
        <f>+DH46-AP46</f>
        <v>0</v>
      </c>
      <c r="AR46" s="876">
        <v>0</v>
      </c>
      <c r="AS46" s="877">
        <v>0</v>
      </c>
      <c r="AT46" s="878">
        <v>0</v>
      </c>
      <c r="AU46" s="876">
        <v>0</v>
      </c>
      <c r="AV46" s="876">
        <v>0</v>
      </c>
      <c r="AW46" s="877">
        <v>0</v>
      </c>
      <c r="AX46" s="878">
        <v>0</v>
      </c>
      <c r="AY46" s="876">
        <v>0</v>
      </c>
      <c r="AZ46" s="876">
        <v>0</v>
      </c>
      <c r="BA46" s="877">
        <v>0</v>
      </c>
      <c r="BB46" s="766"/>
      <c r="BC46" s="748"/>
      <c r="BD46" s="656">
        <f t="shared" si="146"/>
        <v>-995</v>
      </c>
      <c r="BE46" s="656">
        <f t="shared" si="147"/>
        <v>-150</v>
      </c>
      <c r="BF46" s="746">
        <f t="shared" si="148"/>
        <v>-800</v>
      </c>
      <c r="BG46" s="963">
        <f t="shared" si="149"/>
        <v>0</v>
      </c>
      <c r="BH46" s="964">
        <f t="shared" si="150"/>
        <v>0</v>
      </c>
      <c r="BI46" s="964">
        <f>SUM(V46:Y46)</f>
        <v>-1000</v>
      </c>
      <c r="BJ46" s="964">
        <f>SUM(Z46:AC46)</f>
        <v>0</v>
      </c>
      <c r="BK46" s="964">
        <f>SUM(AD46:AG46)</f>
        <v>-23</v>
      </c>
      <c r="BL46" s="964">
        <f>+SUM(AH46:AK46)</f>
        <v>-25</v>
      </c>
      <c r="BM46" s="964">
        <f t="shared" si="151"/>
        <v>0</v>
      </c>
      <c r="BN46" s="964">
        <f t="shared" si="152"/>
        <v>0</v>
      </c>
      <c r="BO46" s="964">
        <f t="shared" si="153"/>
        <v>0</v>
      </c>
      <c r="BP46" s="964">
        <f t="shared" si="154"/>
        <v>0</v>
      </c>
      <c r="BQ46" s="747"/>
      <c r="BS46" s="1384"/>
      <c r="BT46" s="1385"/>
      <c r="BU46" s="110"/>
      <c r="BV46" s="748"/>
      <c r="BW46" s="746"/>
      <c r="BX46" s="110"/>
      <c r="BY46" s="110"/>
      <c r="BZ46" s="748"/>
      <c r="CA46" s="746"/>
      <c r="CB46" s="110"/>
      <c r="CC46" s="110"/>
      <c r="CD46" s="110"/>
      <c r="CE46" s="654"/>
      <c r="CF46" s="110"/>
      <c r="CG46" s="110"/>
      <c r="CH46" s="110"/>
      <c r="CI46" s="654"/>
      <c r="CJ46" s="110"/>
      <c r="CK46" s="110"/>
      <c r="CL46" s="748"/>
      <c r="CM46" s="875">
        <v>-1000</v>
      </c>
      <c r="CN46" s="110">
        <v>-1000</v>
      </c>
      <c r="CO46" s="327">
        <v>-1000</v>
      </c>
      <c r="CP46" s="327">
        <v>-1000</v>
      </c>
      <c r="CQ46" s="749">
        <v>2</v>
      </c>
      <c r="CR46" s="327">
        <f>4700+2</f>
        <v>4702</v>
      </c>
      <c r="CS46" s="327">
        <v>0</v>
      </c>
      <c r="CT46" s="751"/>
      <c r="CU46" s="749"/>
      <c r="CV46" s="327">
        <f>-9+175-16</f>
        <v>150</v>
      </c>
      <c r="CW46" s="327">
        <v>-509</v>
      </c>
      <c r="CX46" s="751">
        <v>-23</v>
      </c>
      <c r="CY46" s="746"/>
      <c r="CZ46" s="327"/>
      <c r="DA46" s="327"/>
      <c r="DB46" s="751">
        <v>-25</v>
      </c>
      <c r="DC46" s="746"/>
      <c r="DD46" s="1503"/>
      <c r="DE46" s="110">
        <v>0</v>
      </c>
      <c r="DF46" s="748">
        <v>0</v>
      </c>
      <c r="DG46" s="746"/>
      <c r="DH46" s="1503"/>
      <c r="DI46" s="110"/>
      <c r="DJ46" s="748"/>
    </row>
    <row r="47" spans="1:114" ht="12" hidden="1" customHeight="1" outlineLevel="1">
      <c r="A47" s="765" t="s">
        <v>218</v>
      </c>
      <c r="B47" s="707">
        <v>0</v>
      </c>
      <c r="C47" s="707">
        <v>0</v>
      </c>
      <c r="D47" s="707">
        <v>0</v>
      </c>
      <c r="E47" s="707">
        <v>0</v>
      </c>
      <c r="F47" s="875">
        <v>0</v>
      </c>
      <c r="G47" s="707">
        <v>0</v>
      </c>
      <c r="H47" s="707">
        <v>0</v>
      </c>
      <c r="I47" s="707">
        <v>0</v>
      </c>
      <c r="J47" s="875">
        <v>0</v>
      </c>
      <c r="K47" s="707">
        <v>0</v>
      </c>
      <c r="L47" s="707">
        <v>0</v>
      </c>
      <c r="M47" s="707">
        <v>0</v>
      </c>
      <c r="N47" s="875">
        <v>0</v>
      </c>
      <c r="O47" s="707">
        <v>0</v>
      </c>
      <c r="P47" s="707">
        <v>0</v>
      </c>
      <c r="Q47" s="707">
        <v>0</v>
      </c>
      <c r="R47" s="875">
        <v>0</v>
      </c>
      <c r="S47" s="707">
        <v>0</v>
      </c>
      <c r="T47" s="707">
        <v>0</v>
      </c>
      <c r="U47" s="707">
        <v>1983</v>
      </c>
      <c r="V47" s="875">
        <f t="shared" si="137"/>
        <v>0</v>
      </c>
      <c r="W47" s="707">
        <f t="shared" si="138"/>
        <v>0</v>
      </c>
      <c r="X47" s="707">
        <f t="shared" si="138"/>
        <v>0</v>
      </c>
      <c r="Y47" s="874">
        <f t="shared" si="138"/>
        <v>0</v>
      </c>
      <c r="Z47" s="875">
        <f t="shared" si="139"/>
        <v>0</v>
      </c>
      <c r="AA47" s="707">
        <f t="shared" si="138"/>
        <v>0</v>
      </c>
      <c r="AB47" s="707">
        <f t="shared" si="138"/>
        <v>4700</v>
      </c>
      <c r="AC47" s="874">
        <f t="shared" si="138"/>
        <v>0</v>
      </c>
      <c r="AD47" s="875">
        <v>0</v>
      </c>
      <c r="AE47" s="707">
        <f t="shared" si="155"/>
        <v>0</v>
      </c>
      <c r="AF47" s="707">
        <f t="shared" si="140"/>
        <v>212</v>
      </c>
      <c r="AG47" s="874">
        <f t="shared" si="140"/>
        <v>-212</v>
      </c>
      <c r="AH47" s="885">
        <v>0</v>
      </c>
      <c r="AI47" s="707">
        <f t="shared" ref="AI47:AI55" si="156">+CZ47-AH47</f>
        <v>0</v>
      </c>
      <c r="AJ47" s="707">
        <f t="shared" si="142"/>
        <v>0</v>
      </c>
      <c r="AK47" s="874">
        <f t="shared" si="142"/>
        <v>0</v>
      </c>
      <c r="AL47" s="885">
        <v>0</v>
      </c>
      <c r="AM47" s="707">
        <f t="shared" ref="AM47:AM55" si="157">+DD47-AL47</f>
        <v>0</v>
      </c>
      <c r="AN47" s="707">
        <f t="shared" si="144"/>
        <v>0</v>
      </c>
      <c r="AO47" s="874">
        <f t="shared" si="144"/>
        <v>0</v>
      </c>
      <c r="AP47" s="885">
        <v>62</v>
      </c>
      <c r="AQ47" s="707">
        <f t="shared" ref="AQ47:AQ55" si="158">+DH47-AP47</f>
        <v>-62</v>
      </c>
      <c r="AR47" s="876">
        <v>0</v>
      </c>
      <c r="AS47" s="877">
        <v>0</v>
      </c>
      <c r="AT47" s="878">
        <v>0</v>
      </c>
      <c r="AU47" s="876">
        <v>0</v>
      </c>
      <c r="AV47" s="876">
        <v>0</v>
      </c>
      <c r="AW47" s="877">
        <v>0</v>
      </c>
      <c r="AX47" s="878">
        <v>0</v>
      </c>
      <c r="AY47" s="876">
        <v>0</v>
      </c>
      <c r="AZ47" s="876">
        <v>0</v>
      </c>
      <c r="BA47" s="877">
        <v>0</v>
      </c>
      <c r="BB47" s="766"/>
      <c r="BC47" s="748"/>
      <c r="BD47" s="656">
        <f t="shared" si="146"/>
        <v>0</v>
      </c>
      <c r="BE47" s="656">
        <f t="shared" si="147"/>
        <v>0</v>
      </c>
      <c r="BF47" s="746">
        <f t="shared" si="148"/>
        <v>0</v>
      </c>
      <c r="BG47" s="963">
        <f t="shared" si="149"/>
        <v>0</v>
      </c>
      <c r="BH47" s="964">
        <f t="shared" si="150"/>
        <v>1983</v>
      </c>
      <c r="BI47" s="964">
        <f t="shared" ref="BI47:BI56" si="159">SUM(V47:Y47)</f>
        <v>0</v>
      </c>
      <c r="BJ47" s="964">
        <f t="shared" ref="BJ47:BJ56" si="160">SUM(Z47:AC47)</f>
        <v>4700</v>
      </c>
      <c r="BK47" s="964">
        <f t="shared" ref="BK47:BK56" si="161">SUM(AD47:AG47)</f>
        <v>0</v>
      </c>
      <c r="BL47" s="964">
        <f t="shared" ref="BL47:BL56" si="162">+SUM(AH47:AK47)</f>
        <v>0</v>
      </c>
      <c r="BM47" s="964">
        <f t="shared" si="151"/>
        <v>0</v>
      </c>
      <c r="BN47" s="964">
        <f t="shared" si="152"/>
        <v>0</v>
      </c>
      <c r="BO47" s="964">
        <f t="shared" si="153"/>
        <v>0</v>
      </c>
      <c r="BP47" s="964">
        <f t="shared" si="154"/>
        <v>0</v>
      </c>
      <c r="BQ47" s="747"/>
      <c r="BS47" s="1384"/>
      <c r="BT47" s="1385"/>
      <c r="BU47" s="110"/>
      <c r="BV47" s="748"/>
      <c r="BW47" s="746"/>
      <c r="BX47" s="110"/>
      <c r="BY47" s="110"/>
      <c r="BZ47" s="748"/>
      <c r="CA47" s="746"/>
      <c r="CB47" s="110"/>
      <c r="CC47" s="110"/>
      <c r="CD47" s="110"/>
      <c r="CE47" s="654"/>
      <c r="CF47" s="110"/>
      <c r="CG47" s="110"/>
      <c r="CH47" s="110"/>
      <c r="CI47" s="654"/>
      <c r="CJ47" s="110"/>
      <c r="CK47" s="110"/>
      <c r="CL47" s="748"/>
      <c r="CM47" s="875">
        <v>0</v>
      </c>
      <c r="CN47" s="110">
        <v>0</v>
      </c>
      <c r="CO47" s="327">
        <v>0</v>
      </c>
      <c r="CP47" s="327">
        <v>0</v>
      </c>
      <c r="CQ47" s="749"/>
      <c r="CR47" s="327"/>
      <c r="CS47" s="327">
        <v>4700</v>
      </c>
      <c r="CT47" s="751">
        <v>4700</v>
      </c>
      <c r="CU47" s="749"/>
      <c r="CV47" s="327"/>
      <c r="CW47" s="327">
        <v>212</v>
      </c>
      <c r="CX47" s="751"/>
      <c r="CY47" s="746"/>
      <c r="CZ47" s="327"/>
      <c r="DA47" s="327"/>
      <c r="DB47" s="751"/>
      <c r="DC47" s="746"/>
      <c r="DD47" s="1503"/>
      <c r="DE47" s="110">
        <v>0</v>
      </c>
      <c r="DF47" s="748"/>
      <c r="DG47" s="746"/>
      <c r="DH47" s="1503"/>
      <c r="DI47" s="110"/>
      <c r="DJ47" s="748"/>
    </row>
    <row r="48" spans="1:114" ht="12" hidden="1" customHeight="1" outlineLevel="1">
      <c r="A48" s="765" t="s">
        <v>127</v>
      </c>
      <c r="B48" s="707">
        <v>0</v>
      </c>
      <c r="C48" s="707">
        <v>0</v>
      </c>
      <c r="D48" s="707">
        <v>500</v>
      </c>
      <c r="E48" s="707">
        <v>0</v>
      </c>
      <c r="F48" s="875">
        <v>0</v>
      </c>
      <c r="G48" s="707">
        <v>0</v>
      </c>
      <c r="H48" s="707">
        <v>0</v>
      </c>
      <c r="I48" s="707">
        <v>0</v>
      </c>
      <c r="J48" s="875">
        <v>0</v>
      </c>
      <c r="K48" s="707">
        <v>0</v>
      </c>
      <c r="L48" s="707">
        <v>0</v>
      </c>
      <c r="M48" s="707">
        <v>0</v>
      </c>
      <c r="N48" s="875">
        <v>0</v>
      </c>
      <c r="O48" s="707">
        <v>0</v>
      </c>
      <c r="P48" s="707">
        <v>48</v>
      </c>
      <c r="Q48" s="707">
        <v>0</v>
      </c>
      <c r="R48" s="875">
        <v>0</v>
      </c>
      <c r="S48" s="707">
        <v>0</v>
      </c>
      <c r="T48" s="707">
        <v>0</v>
      </c>
      <c r="U48" s="707">
        <v>0</v>
      </c>
      <c r="V48" s="875">
        <f t="shared" si="137"/>
        <v>0</v>
      </c>
      <c r="W48" s="707">
        <f t="shared" si="138"/>
        <v>0</v>
      </c>
      <c r="X48" s="707">
        <f t="shared" si="138"/>
        <v>0</v>
      </c>
      <c r="Y48" s="874">
        <f t="shared" si="138"/>
        <v>0</v>
      </c>
      <c r="Z48" s="875">
        <f t="shared" si="139"/>
        <v>0</v>
      </c>
      <c r="AA48" s="707">
        <f t="shared" si="138"/>
        <v>0</v>
      </c>
      <c r="AB48" s="707">
        <f t="shared" si="138"/>
        <v>122</v>
      </c>
      <c r="AC48" s="874">
        <f t="shared" si="138"/>
        <v>-122</v>
      </c>
      <c r="AD48" s="875">
        <v>0</v>
      </c>
      <c r="AE48" s="707">
        <f t="shared" si="155"/>
        <v>0</v>
      </c>
      <c r="AF48" s="707">
        <f t="shared" si="140"/>
        <v>-22</v>
      </c>
      <c r="AG48" s="874">
        <f t="shared" si="140"/>
        <v>22</v>
      </c>
      <c r="AH48" s="885">
        <v>0</v>
      </c>
      <c r="AI48" s="707">
        <f t="shared" si="156"/>
        <v>0</v>
      </c>
      <c r="AJ48" s="707">
        <f t="shared" si="142"/>
        <v>0</v>
      </c>
      <c r="AK48" s="874">
        <f t="shared" si="142"/>
        <v>0</v>
      </c>
      <c r="AL48" s="885">
        <v>0</v>
      </c>
      <c r="AM48" s="707">
        <f t="shared" si="157"/>
        <v>0</v>
      </c>
      <c r="AN48" s="707">
        <f t="shared" si="144"/>
        <v>0</v>
      </c>
      <c r="AO48" s="874">
        <f t="shared" si="144"/>
        <v>0</v>
      </c>
      <c r="AP48" s="885">
        <v>0</v>
      </c>
      <c r="AQ48" s="707">
        <f t="shared" si="158"/>
        <v>0</v>
      </c>
      <c r="AR48" s="876">
        <v>0</v>
      </c>
      <c r="AS48" s="877">
        <v>0</v>
      </c>
      <c r="AT48" s="878">
        <v>0</v>
      </c>
      <c r="AU48" s="876">
        <v>0</v>
      </c>
      <c r="AV48" s="876">
        <v>0</v>
      </c>
      <c r="AW48" s="877">
        <v>0</v>
      </c>
      <c r="AX48" s="878">
        <v>0</v>
      </c>
      <c r="AY48" s="876">
        <v>0</v>
      </c>
      <c r="AZ48" s="876">
        <v>0</v>
      </c>
      <c r="BA48" s="877">
        <v>0</v>
      </c>
      <c r="BB48" s="766"/>
      <c r="BC48" s="748"/>
      <c r="BD48" s="656">
        <f t="shared" si="146"/>
        <v>500</v>
      </c>
      <c r="BE48" s="656">
        <f t="shared" si="147"/>
        <v>0</v>
      </c>
      <c r="BF48" s="746">
        <f t="shared" si="148"/>
        <v>0</v>
      </c>
      <c r="BG48" s="963">
        <f t="shared" si="149"/>
        <v>48</v>
      </c>
      <c r="BH48" s="964">
        <f t="shared" si="150"/>
        <v>0</v>
      </c>
      <c r="BI48" s="964">
        <f t="shared" si="159"/>
        <v>0</v>
      </c>
      <c r="BJ48" s="964">
        <f t="shared" si="160"/>
        <v>0</v>
      </c>
      <c r="BK48" s="964">
        <f t="shared" si="161"/>
        <v>0</v>
      </c>
      <c r="BL48" s="964">
        <f t="shared" si="162"/>
        <v>0</v>
      </c>
      <c r="BM48" s="964">
        <f t="shared" si="151"/>
        <v>0</v>
      </c>
      <c r="BN48" s="964">
        <f t="shared" si="152"/>
        <v>0</v>
      </c>
      <c r="BO48" s="964">
        <f t="shared" si="153"/>
        <v>0</v>
      </c>
      <c r="BP48" s="964">
        <f t="shared" si="154"/>
        <v>0</v>
      </c>
      <c r="BQ48" s="747"/>
      <c r="BS48" s="1384"/>
      <c r="BT48" s="1385"/>
      <c r="BU48" s="110"/>
      <c r="BV48" s="748"/>
      <c r="BW48" s="746"/>
      <c r="BX48" s="110"/>
      <c r="BY48" s="110"/>
      <c r="BZ48" s="748"/>
      <c r="CA48" s="746"/>
      <c r="CB48" s="110"/>
      <c r="CC48" s="110"/>
      <c r="CD48" s="110"/>
      <c r="CE48" s="654"/>
      <c r="CF48" s="110"/>
      <c r="CG48" s="110"/>
      <c r="CH48" s="110"/>
      <c r="CI48" s="654"/>
      <c r="CJ48" s="110"/>
      <c r="CK48" s="110"/>
      <c r="CL48" s="748"/>
      <c r="CM48" s="875">
        <v>0</v>
      </c>
      <c r="CN48" s="110">
        <v>0</v>
      </c>
      <c r="CO48" s="327">
        <v>0</v>
      </c>
      <c r="CP48" s="327">
        <v>0</v>
      </c>
      <c r="CQ48" s="749"/>
      <c r="CR48" s="327"/>
      <c r="CS48" s="327">
        <v>122</v>
      </c>
      <c r="CT48" s="751"/>
      <c r="CU48" s="749"/>
      <c r="CV48" s="327"/>
      <c r="CW48" s="327">
        <v>-22</v>
      </c>
      <c r="CX48" s="751"/>
      <c r="CY48" s="746"/>
      <c r="CZ48" s="327"/>
      <c r="DA48" s="327"/>
      <c r="DB48" s="751"/>
      <c r="DC48" s="746"/>
      <c r="DD48" s="1503"/>
      <c r="DE48" s="110"/>
      <c r="DF48" s="748"/>
      <c r="DG48" s="746"/>
      <c r="DH48" s="1503"/>
      <c r="DI48" s="110"/>
      <c r="DJ48" s="748"/>
    </row>
    <row r="49" spans="1:220" ht="12" customHeight="1" collapsed="1">
      <c r="A49" s="765" t="s">
        <v>102</v>
      </c>
      <c r="B49" s="707">
        <v>0</v>
      </c>
      <c r="C49" s="707">
        <v>0</v>
      </c>
      <c r="D49" s="707">
        <v>0</v>
      </c>
      <c r="E49" s="707">
        <v>0</v>
      </c>
      <c r="F49" s="875">
        <v>0</v>
      </c>
      <c r="G49" s="707">
        <v>0</v>
      </c>
      <c r="H49" s="707">
        <v>-500</v>
      </c>
      <c r="I49" s="707">
        <v>-12</v>
      </c>
      <c r="J49" s="875">
        <v>-13</v>
      </c>
      <c r="K49" s="707">
        <v>-12</v>
      </c>
      <c r="L49" s="707">
        <v>-13</v>
      </c>
      <c r="M49" s="707">
        <v>-12</v>
      </c>
      <c r="N49" s="875">
        <v>-13</v>
      </c>
      <c r="O49" s="707">
        <v>-12</v>
      </c>
      <c r="P49" s="707">
        <v>-13</v>
      </c>
      <c r="Q49" s="707">
        <v>-12</v>
      </c>
      <c r="R49" s="875">
        <v>-13</v>
      </c>
      <c r="S49" s="707">
        <v>-12</v>
      </c>
      <c r="T49" s="707">
        <v>-13</v>
      </c>
      <c r="U49" s="707">
        <v>-12</v>
      </c>
      <c r="V49" s="875">
        <f t="shared" si="137"/>
        <v>-13</v>
      </c>
      <c r="W49" s="707">
        <f t="shared" si="138"/>
        <v>0</v>
      </c>
      <c r="X49" s="707">
        <f t="shared" si="138"/>
        <v>-325</v>
      </c>
      <c r="Y49" s="874">
        <f t="shared" si="138"/>
        <v>0</v>
      </c>
      <c r="Z49" s="875">
        <f t="shared" si="139"/>
        <v>0</v>
      </c>
      <c r="AA49" s="707">
        <f t="shared" si="138"/>
        <v>0</v>
      </c>
      <c r="AB49" s="707">
        <f t="shared" si="138"/>
        <v>0</v>
      </c>
      <c r="AC49" s="874">
        <f t="shared" si="138"/>
        <v>0</v>
      </c>
      <c r="AD49" s="875">
        <v>0</v>
      </c>
      <c r="AE49" s="707">
        <f t="shared" si="155"/>
        <v>0</v>
      </c>
      <c r="AF49" s="707">
        <f t="shared" si="140"/>
        <v>0</v>
      </c>
      <c r="AG49" s="874">
        <f t="shared" si="140"/>
        <v>-1009</v>
      </c>
      <c r="AH49" s="885">
        <v>0</v>
      </c>
      <c r="AI49" s="707">
        <f t="shared" si="156"/>
        <v>0</v>
      </c>
      <c r="AJ49" s="707">
        <f t="shared" si="142"/>
        <v>0</v>
      </c>
      <c r="AK49" s="874">
        <f t="shared" si="142"/>
        <v>0</v>
      </c>
      <c r="AL49" s="885">
        <v>0</v>
      </c>
      <c r="AM49" s="707">
        <f t="shared" si="157"/>
        <v>0</v>
      </c>
      <c r="AN49" s="707">
        <f t="shared" si="144"/>
        <v>0</v>
      </c>
      <c r="AO49" s="874">
        <f t="shared" si="144"/>
        <v>-500</v>
      </c>
      <c r="AP49" s="885">
        <v>0</v>
      </c>
      <c r="AQ49" s="707">
        <f t="shared" si="158"/>
        <v>0</v>
      </c>
      <c r="AR49" s="876">
        <v>0</v>
      </c>
      <c r="AS49" s="877">
        <v>0</v>
      </c>
      <c r="AT49" s="878">
        <v>0</v>
      </c>
      <c r="AU49" s="876">
        <v>0</v>
      </c>
      <c r="AV49" s="876">
        <v>0</v>
      </c>
      <c r="AW49" s="877">
        <v>0</v>
      </c>
      <c r="AX49" s="878">
        <v>0</v>
      </c>
      <c r="AY49" s="876">
        <v>0</v>
      </c>
      <c r="AZ49" s="876">
        <v>0</v>
      </c>
      <c r="BA49" s="877">
        <v>0</v>
      </c>
      <c r="BB49" s="766"/>
      <c r="BC49" s="748"/>
      <c r="BD49" s="656">
        <f t="shared" si="146"/>
        <v>0</v>
      </c>
      <c r="BE49" s="656">
        <f t="shared" si="147"/>
        <v>-512</v>
      </c>
      <c r="BF49" s="746">
        <f t="shared" si="148"/>
        <v>-50</v>
      </c>
      <c r="BG49" s="963">
        <f t="shared" si="149"/>
        <v>-50</v>
      </c>
      <c r="BH49" s="964">
        <f t="shared" si="150"/>
        <v>-50</v>
      </c>
      <c r="BI49" s="964">
        <f t="shared" si="159"/>
        <v>-338</v>
      </c>
      <c r="BJ49" s="964">
        <f t="shared" si="160"/>
        <v>0</v>
      </c>
      <c r="BK49" s="964">
        <f t="shared" si="161"/>
        <v>-1009</v>
      </c>
      <c r="BL49" s="964">
        <f t="shared" si="162"/>
        <v>0</v>
      </c>
      <c r="BM49" s="964">
        <f t="shared" si="151"/>
        <v>-500</v>
      </c>
      <c r="BN49" s="964">
        <f t="shared" si="152"/>
        <v>0</v>
      </c>
      <c r="BO49" s="964">
        <f t="shared" si="153"/>
        <v>0</v>
      </c>
      <c r="BP49" s="964">
        <f t="shared" si="154"/>
        <v>0</v>
      </c>
      <c r="BQ49" s="747"/>
      <c r="BS49" s="1384"/>
      <c r="BT49" s="1385"/>
      <c r="BU49" s="110"/>
      <c r="BV49" s="748"/>
      <c r="BW49" s="746"/>
      <c r="BX49" s="110"/>
      <c r="BY49" s="110"/>
      <c r="BZ49" s="748"/>
      <c r="CA49" s="746"/>
      <c r="CB49" s="110"/>
      <c r="CC49" s="110"/>
      <c r="CD49" s="110"/>
      <c r="CE49" s="654"/>
      <c r="CF49" s="110"/>
      <c r="CG49" s="110"/>
      <c r="CH49" s="110"/>
      <c r="CI49" s="654"/>
      <c r="CJ49" s="110"/>
      <c r="CK49" s="110"/>
      <c r="CL49" s="748"/>
      <c r="CM49" s="875">
        <v>-13</v>
      </c>
      <c r="CN49" s="110">
        <v>-13</v>
      </c>
      <c r="CO49" s="327">
        <v>-338</v>
      </c>
      <c r="CP49" s="327">
        <v>-338</v>
      </c>
      <c r="CQ49" s="749">
        <v>0</v>
      </c>
      <c r="CR49" s="327">
        <v>0</v>
      </c>
      <c r="CS49" s="327"/>
      <c r="CT49" s="751"/>
      <c r="CU49" s="749"/>
      <c r="CV49" s="327"/>
      <c r="CW49" s="327"/>
      <c r="CX49" s="751">
        <v>-1009</v>
      </c>
      <c r="CY49" s="746"/>
      <c r="CZ49" s="327"/>
      <c r="DA49" s="327"/>
      <c r="DB49" s="751">
        <v>0</v>
      </c>
      <c r="DC49" s="746"/>
      <c r="DD49" s="1503"/>
      <c r="DE49" s="110"/>
      <c r="DF49" s="748">
        <v>-500</v>
      </c>
      <c r="DG49" s="746"/>
      <c r="DH49" s="1503"/>
      <c r="DI49" s="110"/>
      <c r="DJ49" s="748"/>
    </row>
    <row r="50" spans="1:220" ht="12" customHeight="1">
      <c r="A50" s="773" t="s">
        <v>103</v>
      </c>
      <c r="B50" s="707">
        <v>47</v>
      </c>
      <c r="C50" s="707">
        <v>38</v>
      </c>
      <c r="D50" s="707">
        <v>40</v>
      </c>
      <c r="E50" s="707">
        <v>72</v>
      </c>
      <c r="F50" s="875">
        <v>43</v>
      </c>
      <c r="G50" s="707">
        <v>43</v>
      </c>
      <c r="H50" s="707">
        <v>64</v>
      </c>
      <c r="I50" s="707">
        <v>76</v>
      </c>
      <c r="J50" s="875">
        <v>83</v>
      </c>
      <c r="K50" s="707">
        <v>67</v>
      </c>
      <c r="L50" s="707">
        <v>55</v>
      </c>
      <c r="M50" s="707">
        <v>90</v>
      </c>
      <c r="N50" s="875">
        <v>120</v>
      </c>
      <c r="O50" s="707">
        <v>34</v>
      </c>
      <c r="P50" s="707">
        <v>77</v>
      </c>
      <c r="Q50" s="707">
        <v>53</v>
      </c>
      <c r="R50" s="875">
        <v>63</v>
      </c>
      <c r="S50" s="707">
        <v>58</v>
      </c>
      <c r="T50" s="707">
        <v>39</v>
      </c>
      <c r="U50" s="707">
        <v>51</v>
      </c>
      <c r="V50" s="875">
        <f t="shared" si="137"/>
        <v>88</v>
      </c>
      <c r="W50" s="707">
        <f t="shared" si="138"/>
        <v>20</v>
      </c>
      <c r="X50" s="707">
        <f t="shared" si="138"/>
        <v>29</v>
      </c>
      <c r="Y50" s="874">
        <f t="shared" si="138"/>
        <v>59</v>
      </c>
      <c r="Z50" s="875">
        <f t="shared" si="139"/>
        <v>55</v>
      </c>
      <c r="AA50" s="707">
        <f t="shared" si="138"/>
        <v>20</v>
      </c>
      <c r="AB50" s="707">
        <f t="shared" si="138"/>
        <v>41</v>
      </c>
      <c r="AC50" s="874">
        <f t="shared" si="138"/>
        <v>46</v>
      </c>
      <c r="AD50" s="875">
        <v>60</v>
      </c>
      <c r="AE50" s="707">
        <f t="shared" si="155"/>
        <v>21</v>
      </c>
      <c r="AF50" s="707">
        <f t="shared" si="140"/>
        <v>69</v>
      </c>
      <c r="AG50" s="874">
        <f t="shared" si="140"/>
        <v>78</v>
      </c>
      <c r="AH50" s="885">
        <v>92</v>
      </c>
      <c r="AI50" s="707">
        <f t="shared" si="156"/>
        <v>77</v>
      </c>
      <c r="AJ50" s="707">
        <f t="shared" si="142"/>
        <v>-144</v>
      </c>
      <c r="AK50" s="874">
        <f t="shared" si="142"/>
        <v>257</v>
      </c>
      <c r="AL50" s="885">
        <f>85+96</f>
        <v>181</v>
      </c>
      <c r="AM50" s="707">
        <f t="shared" si="157"/>
        <v>38</v>
      </c>
      <c r="AN50" s="707">
        <f t="shared" si="144"/>
        <v>44</v>
      </c>
      <c r="AO50" s="874">
        <f t="shared" si="144"/>
        <v>135</v>
      </c>
      <c r="AP50" s="885">
        <v>0</v>
      </c>
      <c r="AQ50" s="707">
        <f t="shared" si="158"/>
        <v>91</v>
      </c>
      <c r="AR50" s="876">
        <v>0</v>
      </c>
      <c r="AS50" s="877">
        <v>0</v>
      </c>
      <c r="AT50" s="878">
        <v>0</v>
      </c>
      <c r="AU50" s="876">
        <v>0</v>
      </c>
      <c r="AV50" s="876">
        <v>0</v>
      </c>
      <c r="AW50" s="877">
        <v>0</v>
      </c>
      <c r="AX50" s="878">
        <v>0</v>
      </c>
      <c r="AY50" s="876">
        <v>0</v>
      </c>
      <c r="AZ50" s="876">
        <v>0</v>
      </c>
      <c r="BA50" s="877">
        <v>0</v>
      </c>
      <c r="BB50" s="766"/>
      <c r="BC50" s="748"/>
      <c r="BD50" s="656">
        <f t="shared" si="146"/>
        <v>197</v>
      </c>
      <c r="BE50" s="656">
        <f t="shared" si="147"/>
        <v>226</v>
      </c>
      <c r="BF50" s="746">
        <f t="shared" si="148"/>
        <v>295</v>
      </c>
      <c r="BG50" s="963">
        <f t="shared" si="149"/>
        <v>284</v>
      </c>
      <c r="BH50" s="964">
        <f t="shared" si="150"/>
        <v>211</v>
      </c>
      <c r="BI50" s="964">
        <f t="shared" si="159"/>
        <v>196</v>
      </c>
      <c r="BJ50" s="964">
        <f t="shared" si="160"/>
        <v>162</v>
      </c>
      <c r="BK50" s="964">
        <f t="shared" si="161"/>
        <v>228</v>
      </c>
      <c r="BL50" s="964">
        <f t="shared" si="162"/>
        <v>282</v>
      </c>
      <c r="BM50" s="964">
        <f t="shared" si="151"/>
        <v>398</v>
      </c>
      <c r="BN50" s="964">
        <f t="shared" si="152"/>
        <v>91</v>
      </c>
      <c r="BO50" s="964">
        <f t="shared" si="153"/>
        <v>0</v>
      </c>
      <c r="BP50" s="964">
        <f t="shared" si="154"/>
        <v>0</v>
      </c>
      <c r="BQ50" s="747"/>
      <c r="BS50" s="1384"/>
      <c r="BT50" s="1385"/>
      <c r="BU50" s="110"/>
      <c r="BV50" s="748"/>
      <c r="BW50" s="746"/>
      <c r="BX50" s="110"/>
      <c r="BY50" s="110"/>
      <c r="BZ50" s="748"/>
      <c r="CA50" s="746"/>
      <c r="CB50" s="110"/>
      <c r="CC50" s="110"/>
      <c r="CD50" s="110"/>
      <c r="CE50" s="654"/>
      <c r="CF50" s="110"/>
      <c r="CG50" s="110"/>
      <c r="CH50" s="110"/>
      <c r="CI50" s="654"/>
      <c r="CJ50" s="110"/>
      <c r="CK50" s="110"/>
      <c r="CL50" s="748"/>
      <c r="CM50" s="875">
        <v>88</v>
      </c>
      <c r="CN50" s="110">
        <v>108</v>
      </c>
      <c r="CO50" s="327">
        <v>137</v>
      </c>
      <c r="CP50" s="327">
        <v>196</v>
      </c>
      <c r="CQ50" s="749">
        <v>55</v>
      </c>
      <c r="CR50" s="327">
        <v>75</v>
      </c>
      <c r="CS50" s="327">
        <v>116</v>
      </c>
      <c r="CT50" s="751">
        <v>162</v>
      </c>
      <c r="CU50" s="749"/>
      <c r="CV50" s="327">
        <v>81</v>
      </c>
      <c r="CW50" s="327">
        <v>150</v>
      </c>
      <c r="CX50" s="751">
        <v>228</v>
      </c>
      <c r="CY50" s="746"/>
      <c r="CZ50" s="327">
        <v>169</v>
      </c>
      <c r="DA50" s="327">
        <f>95-70</f>
        <v>25</v>
      </c>
      <c r="DB50" s="751">
        <v>282</v>
      </c>
      <c r="DC50" s="746"/>
      <c r="DD50" s="1503">
        <v>219</v>
      </c>
      <c r="DE50" s="110">
        <v>263</v>
      </c>
      <c r="DF50" s="748">
        <v>398</v>
      </c>
      <c r="DG50" s="746"/>
      <c r="DH50" s="1503">
        <v>91</v>
      </c>
      <c r="DI50" s="110"/>
      <c r="DJ50" s="748"/>
    </row>
    <row r="51" spans="1:220" ht="12" customHeight="1">
      <c r="A51" s="773" t="s">
        <v>104</v>
      </c>
      <c r="B51" s="707">
        <v>-23</v>
      </c>
      <c r="C51" s="707">
        <v>-6</v>
      </c>
      <c r="D51" s="707">
        <v>-7</v>
      </c>
      <c r="E51" s="707">
        <v>-72</v>
      </c>
      <c r="F51" s="875">
        <v>-45</v>
      </c>
      <c r="G51" s="707">
        <v>-6</v>
      </c>
      <c r="H51" s="707">
        <v>-10</v>
      </c>
      <c r="I51" s="707">
        <v>-92</v>
      </c>
      <c r="J51" s="875">
        <v>-39</v>
      </c>
      <c r="K51" s="707">
        <v>-10</v>
      </c>
      <c r="L51" s="707">
        <v>-9</v>
      </c>
      <c r="M51" s="707">
        <v>-141</v>
      </c>
      <c r="N51" s="875">
        <v>-63</v>
      </c>
      <c r="O51" s="707">
        <v>-13</v>
      </c>
      <c r="P51" s="707">
        <v>-17</v>
      </c>
      <c r="Q51" s="707">
        <v>-158</v>
      </c>
      <c r="R51" s="875">
        <v>-71</v>
      </c>
      <c r="S51" s="707">
        <v>-33</v>
      </c>
      <c r="T51" s="707">
        <v>-24</v>
      </c>
      <c r="U51" s="707">
        <v>-116</v>
      </c>
      <c r="V51" s="875">
        <f t="shared" si="137"/>
        <v>-99</v>
      </c>
      <c r="W51" s="707">
        <f t="shared" si="138"/>
        <v>-69</v>
      </c>
      <c r="X51" s="707">
        <f t="shared" si="138"/>
        <v>-77</v>
      </c>
      <c r="Y51" s="874">
        <f t="shared" si="138"/>
        <v>-138</v>
      </c>
      <c r="Z51" s="875">
        <f t="shared" si="139"/>
        <v>-167</v>
      </c>
      <c r="AA51" s="707">
        <f t="shared" si="138"/>
        <v>-188</v>
      </c>
      <c r="AB51" s="707">
        <f t="shared" si="138"/>
        <v>-110</v>
      </c>
      <c r="AC51" s="874">
        <f t="shared" si="138"/>
        <v>-146</v>
      </c>
      <c r="AD51" s="875">
        <v>-125</v>
      </c>
      <c r="AE51" s="707">
        <f t="shared" si="155"/>
        <v>-134</v>
      </c>
      <c r="AF51" s="707">
        <f t="shared" si="140"/>
        <v>-117</v>
      </c>
      <c r="AG51" s="874">
        <f t="shared" si="140"/>
        <v>-257</v>
      </c>
      <c r="AH51" s="885">
        <v>-212</v>
      </c>
      <c r="AI51" s="707">
        <f t="shared" si="156"/>
        <v>-218</v>
      </c>
      <c r="AJ51" s="707">
        <f t="shared" si="142"/>
        <v>-1</v>
      </c>
      <c r="AK51" s="874">
        <f t="shared" si="142"/>
        <v>-571</v>
      </c>
      <c r="AL51" s="885">
        <v>-239</v>
      </c>
      <c r="AM51" s="707">
        <f t="shared" si="157"/>
        <v>-197</v>
      </c>
      <c r="AN51" s="707">
        <f t="shared" si="144"/>
        <v>-176</v>
      </c>
      <c r="AO51" s="874">
        <f t="shared" si="144"/>
        <v>-370</v>
      </c>
      <c r="AP51" s="885">
        <v>-244</v>
      </c>
      <c r="AQ51" s="707">
        <f t="shared" si="158"/>
        <v>-210</v>
      </c>
      <c r="AR51" s="876">
        <v>0</v>
      </c>
      <c r="AS51" s="877">
        <v>0</v>
      </c>
      <c r="AT51" s="878">
        <v>0</v>
      </c>
      <c r="AU51" s="876">
        <v>0</v>
      </c>
      <c r="AV51" s="876">
        <v>0</v>
      </c>
      <c r="AW51" s="877">
        <v>0</v>
      </c>
      <c r="AX51" s="878">
        <v>0</v>
      </c>
      <c r="AY51" s="876">
        <v>0</v>
      </c>
      <c r="AZ51" s="876">
        <v>0</v>
      </c>
      <c r="BA51" s="877">
        <v>0</v>
      </c>
      <c r="BB51" s="766"/>
      <c r="BC51" s="748"/>
      <c r="BD51" s="656">
        <f t="shared" si="146"/>
        <v>-108</v>
      </c>
      <c r="BE51" s="656">
        <f t="shared" si="147"/>
        <v>-153</v>
      </c>
      <c r="BF51" s="746">
        <f t="shared" si="148"/>
        <v>-199</v>
      </c>
      <c r="BG51" s="963">
        <f t="shared" si="149"/>
        <v>-251</v>
      </c>
      <c r="BH51" s="964">
        <f t="shared" si="150"/>
        <v>-244</v>
      </c>
      <c r="BI51" s="964">
        <f t="shared" si="159"/>
        <v>-383</v>
      </c>
      <c r="BJ51" s="964">
        <f t="shared" si="160"/>
        <v>-611</v>
      </c>
      <c r="BK51" s="964">
        <f t="shared" si="161"/>
        <v>-633</v>
      </c>
      <c r="BL51" s="964">
        <f t="shared" si="162"/>
        <v>-1002</v>
      </c>
      <c r="BM51" s="964">
        <f t="shared" si="151"/>
        <v>-982</v>
      </c>
      <c r="BN51" s="964">
        <f t="shared" si="152"/>
        <v>-454</v>
      </c>
      <c r="BO51" s="964">
        <f t="shared" si="153"/>
        <v>0</v>
      </c>
      <c r="BP51" s="964">
        <f t="shared" si="154"/>
        <v>0</v>
      </c>
      <c r="BQ51" s="747"/>
      <c r="BS51" s="1384"/>
      <c r="BT51" s="1385"/>
      <c r="BU51" s="110"/>
      <c r="BV51" s="748"/>
      <c r="BW51" s="746"/>
      <c r="BX51" s="110"/>
      <c r="BY51" s="110"/>
      <c r="BZ51" s="748"/>
      <c r="CA51" s="746"/>
      <c r="CB51" s="110"/>
      <c r="CC51" s="110"/>
      <c r="CD51" s="110"/>
      <c r="CE51" s="654"/>
      <c r="CF51" s="110"/>
      <c r="CG51" s="110"/>
      <c r="CH51" s="110"/>
      <c r="CI51" s="654"/>
      <c r="CJ51" s="110"/>
      <c r="CK51" s="110"/>
      <c r="CL51" s="748"/>
      <c r="CM51" s="875">
        <v>-99</v>
      </c>
      <c r="CN51" s="110">
        <v>-168</v>
      </c>
      <c r="CO51" s="327">
        <v>-245</v>
      </c>
      <c r="CP51" s="327">
        <v>-383</v>
      </c>
      <c r="CQ51" s="749">
        <v>-167</v>
      </c>
      <c r="CR51" s="327">
        <v>-355</v>
      </c>
      <c r="CS51" s="327">
        <v>-465</v>
      </c>
      <c r="CT51" s="751">
        <v>-611</v>
      </c>
      <c r="CU51" s="749"/>
      <c r="CV51" s="327">
        <v>-259</v>
      </c>
      <c r="CW51" s="327">
        <v>-376</v>
      </c>
      <c r="CX51" s="751">
        <v>-633</v>
      </c>
      <c r="CY51" s="746"/>
      <c r="CZ51" s="327">
        <v>-430</v>
      </c>
      <c r="DA51" s="327">
        <f>-25+226-632</f>
        <v>-431</v>
      </c>
      <c r="DB51" s="751">
        <v>-1002</v>
      </c>
      <c r="DC51" s="746"/>
      <c r="DD51" s="1503">
        <v>-436</v>
      </c>
      <c r="DE51" s="110">
        <v>-612</v>
      </c>
      <c r="DF51" s="748">
        <v>-982</v>
      </c>
      <c r="DG51" s="746"/>
      <c r="DH51" s="1503">
        <v>-454</v>
      </c>
      <c r="DI51" s="110"/>
      <c r="DJ51" s="748"/>
    </row>
    <row r="52" spans="1:220" ht="12" customHeight="1">
      <c r="A52" s="773" t="s">
        <v>105</v>
      </c>
      <c r="B52" s="707">
        <v>-1253</v>
      </c>
      <c r="C52" s="707">
        <v>-472</v>
      </c>
      <c r="D52" s="707">
        <v>-465</v>
      </c>
      <c r="E52" s="707">
        <v>-74</v>
      </c>
      <c r="F52" s="875">
        <v>-175</v>
      </c>
      <c r="G52" s="707">
        <v>-208</v>
      </c>
      <c r="H52" s="707">
        <v>-90</v>
      </c>
      <c r="I52" s="707">
        <v>-366</v>
      </c>
      <c r="J52" s="875">
        <v>-168</v>
      </c>
      <c r="K52" s="707">
        <v>-85</v>
      </c>
      <c r="L52" s="707">
        <v>-19</v>
      </c>
      <c r="M52" s="707">
        <v>0</v>
      </c>
      <c r="N52" s="875">
        <v>-95</v>
      </c>
      <c r="O52" s="707">
        <v>-179</v>
      </c>
      <c r="P52" s="707">
        <v>-134</v>
      </c>
      <c r="Q52" s="707">
        <v>-148</v>
      </c>
      <c r="R52" s="875">
        <v>-140</v>
      </c>
      <c r="S52" s="707">
        <v>-138</v>
      </c>
      <c r="T52" s="707">
        <v>-45</v>
      </c>
      <c r="U52" s="707">
        <v>0</v>
      </c>
      <c r="V52" s="875">
        <f t="shared" si="137"/>
        <v>0</v>
      </c>
      <c r="W52" s="707">
        <f t="shared" si="138"/>
        <v>-164</v>
      </c>
      <c r="X52" s="707">
        <f t="shared" si="138"/>
        <v>-378</v>
      </c>
      <c r="Y52" s="874">
        <f t="shared" si="138"/>
        <v>-463</v>
      </c>
      <c r="Z52" s="875">
        <f t="shared" si="139"/>
        <v>-335</v>
      </c>
      <c r="AA52" s="707">
        <f t="shared" si="138"/>
        <v>-539</v>
      </c>
      <c r="AB52" s="707">
        <f t="shared" si="138"/>
        <v>-463</v>
      </c>
      <c r="AC52" s="874">
        <f t="shared" si="138"/>
        <v>-524</v>
      </c>
      <c r="AD52" s="875">
        <v>-510</v>
      </c>
      <c r="AE52" s="707">
        <f t="shared" si="155"/>
        <v>-507</v>
      </c>
      <c r="AF52" s="707">
        <f t="shared" si="140"/>
        <v>-478</v>
      </c>
      <c r="AG52" s="874">
        <f t="shared" si="140"/>
        <v>-472</v>
      </c>
      <c r="AH52" s="885">
        <v>-584</v>
      </c>
      <c r="AI52" s="707">
        <f t="shared" si="156"/>
        <v>-551</v>
      </c>
      <c r="AJ52" s="707">
        <f t="shared" si="142"/>
        <v>-572</v>
      </c>
      <c r="AK52" s="874">
        <f t="shared" si="142"/>
        <v>-281</v>
      </c>
      <c r="AL52" s="885">
        <v>-557</v>
      </c>
      <c r="AM52" s="707">
        <f t="shared" si="157"/>
        <v>-717</v>
      </c>
      <c r="AN52" s="707">
        <f t="shared" si="144"/>
        <v>-752</v>
      </c>
      <c r="AO52" s="874">
        <f t="shared" si="144"/>
        <v>-746</v>
      </c>
      <c r="AP52" s="885">
        <v>-854</v>
      </c>
      <c r="AQ52" s="707">
        <f t="shared" si="158"/>
        <v>-933</v>
      </c>
      <c r="AR52" s="876">
        <v>0</v>
      </c>
      <c r="AS52" s="877">
        <v>0</v>
      </c>
      <c r="AT52" s="878">
        <v>0</v>
      </c>
      <c r="AU52" s="876">
        <v>0</v>
      </c>
      <c r="AV52" s="876">
        <v>0</v>
      </c>
      <c r="AW52" s="877">
        <v>0</v>
      </c>
      <c r="AX52" s="878">
        <v>0</v>
      </c>
      <c r="AY52" s="876">
        <v>0</v>
      </c>
      <c r="AZ52" s="876">
        <v>0</v>
      </c>
      <c r="BA52" s="877">
        <v>0</v>
      </c>
      <c r="BB52" s="766"/>
      <c r="BC52" s="748"/>
      <c r="BD52" s="656">
        <f t="shared" si="146"/>
        <v>-2264</v>
      </c>
      <c r="BE52" s="656">
        <f t="shared" si="147"/>
        <v>-839</v>
      </c>
      <c r="BF52" s="746">
        <f t="shared" si="148"/>
        <v>-272</v>
      </c>
      <c r="BG52" s="963">
        <f t="shared" si="149"/>
        <v>-556</v>
      </c>
      <c r="BH52" s="964">
        <f t="shared" si="150"/>
        <v>-323</v>
      </c>
      <c r="BI52" s="964">
        <f t="shared" si="159"/>
        <v>-1005</v>
      </c>
      <c r="BJ52" s="964">
        <f t="shared" si="160"/>
        <v>-1861</v>
      </c>
      <c r="BK52" s="964">
        <f t="shared" si="161"/>
        <v>-1967</v>
      </c>
      <c r="BL52" s="964">
        <f t="shared" si="162"/>
        <v>-1988</v>
      </c>
      <c r="BM52" s="964">
        <f t="shared" si="151"/>
        <v>-2772</v>
      </c>
      <c r="BN52" s="964">
        <f t="shared" si="152"/>
        <v>-1787</v>
      </c>
      <c r="BO52" s="964">
        <f t="shared" si="153"/>
        <v>0</v>
      </c>
      <c r="BP52" s="964">
        <f t="shared" si="154"/>
        <v>0</v>
      </c>
      <c r="BQ52" s="747"/>
      <c r="BS52" s="1384"/>
      <c r="BT52" s="1385"/>
      <c r="BU52" s="110"/>
      <c r="BV52" s="748"/>
      <c r="BW52" s="746"/>
      <c r="BX52" s="110"/>
      <c r="BY52" s="110"/>
      <c r="BZ52" s="748"/>
      <c r="CA52" s="746"/>
      <c r="CB52" s="110"/>
      <c r="CC52" s="110"/>
      <c r="CD52" s="110"/>
      <c r="CE52" s="654"/>
      <c r="CF52" s="110"/>
      <c r="CG52" s="110"/>
      <c r="CH52" s="110"/>
      <c r="CI52" s="654"/>
      <c r="CJ52" s="110"/>
      <c r="CK52" s="110"/>
      <c r="CL52" s="748"/>
      <c r="CM52" s="875">
        <v>0</v>
      </c>
      <c r="CN52" s="110">
        <v>-164</v>
      </c>
      <c r="CO52" s="327">
        <v>-542</v>
      </c>
      <c r="CP52" s="327">
        <v>-1005</v>
      </c>
      <c r="CQ52" s="749">
        <v>-335</v>
      </c>
      <c r="CR52" s="327">
        <v>-874</v>
      </c>
      <c r="CS52" s="327">
        <v>-1337</v>
      </c>
      <c r="CT52" s="751">
        <v>-1861</v>
      </c>
      <c r="CU52" s="749"/>
      <c r="CV52" s="327">
        <v>-1017</v>
      </c>
      <c r="CW52" s="327">
        <v>-1495</v>
      </c>
      <c r="CX52" s="751">
        <v>-1967</v>
      </c>
      <c r="CY52" s="746"/>
      <c r="CZ52" s="327">
        <v>-1135</v>
      </c>
      <c r="DA52" s="327">
        <v>-1707</v>
      </c>
      <c r="DB52" s="751">
        <v>-1988</v>
      </c>
      <c r="DC52" s="746"/>
      <c r="DD52" s="1503">
        <v>-1274</v>
      </c>
      <c r="DE52" s="110">
        <v>-2026</v>
      </c>
      <c r="DF52" s="748">
        <v>-2772</v>
      </c>
      <c r="DG52" s="746"/>
      <c r="DH52" s="1503">
        <v>-1787</v>
      </c>
      <c r="DI52" s="110"/>
      <c r="DJ52" s="748"/>
    </row>
    <row r="53" spans="1:220" ht="12" customHeight="1">
      <c r="A53" s="773" t="s">
        <v>106</v>
      </c>
      <c r="B53" s="707">
        <v>-82</v>
      </c>
      <c r="C53" s="707">
        <v>-79</v>
      </c>
      <c r="D53" s="707">
        <v>-77</v>
      </c>
      <c r="E53" s="707">
        <v>-80</v>
      </c>
      <c r="F53" s="875">
        <v>-89</v>
      </c>
      <c r="G53" s="707">
        <v>-88</v>
      </c>
      <c r="H53" s="707">
        <v>-88</v>
      </c>
      <c r="I53" s="707">
        <v>-88</v>
      </c>
      <c r="J53" s="875">
        <v>-105</v>
      </c>
      <c r="K53" s="707">
        <v>-100</v>
      </c>
      <c r="L53" s="707">
        <v>-100</v>
      </c>
      <c r="M53" s="707">
        <v>-102</v>
      </c>
      <c r="N53" s="875">
        <v>-129</v>
      </c>
      <c r="O53" s="707">
        <v>-122</v>
      </c>
      <c r="P53" s="707">
        <v>-123</v>
      </c>
      <c r="Q53" s="707">
        <v>-127</v>
      </c>
      <c r="R53" s="875">
        <v>-141</v>
      </c>
      <c r="S53" s="707">
        <v>-139</v>
      </c>
      <c r="T53" s="707">
        <v>-139</v>
      </c>
      <c r="U53" s="707">
        <v>-142</v>
      </c>
      <c r="V53" s="875">
        <f t="shared" si="137"/>
        <v>-158</v>
      </c>
      <c r="W53" s="707">
        <f t="shared" si="138"/>
        <v>-163</v>
      </c>
      <c r="X53" s="707">
        <f t="shared" si="138"/>
        <v>-161</v>
      </c>
      <c r="Y53" s="874">
        <f t="shared" si="138"/>
        <v>-164</v>
      </c>
      <c r="Z53" s="875">
        <f t="shared" si="139"/>
        <v>-190</v>
      </c>
      <c r="AA53" s="707">
        <f t="shared" si="138"/>
        <v>-195</v>
      </c>
      <c r="AB53" s="707">
        <f t="shared" si="138"/>
        <v>-195</v>
      </c>
      <c r="AC53" s="874">
        <f t="shared" si="138"/>
        <v>-194</v>
      </c>
      <c r="AD53" s="875">
        <v>-222</v>
      </c>
      <c r="AE53" s="707">
        <f t="shared" si="155"/>
        <v>-224</v>
      </c>
      <c r="AF53" s="707">
        <f t="shared" si="140"/>
        <v>-221</v>
      </c>
      <c r="AG53" s="874">
        <f t="shared" si="140"/>
        <v>-222</v>
      </c>
      <c r="AH53" s="885">
        <v>-260</v>
      </c>
      <c r="AI53" s="707">
        <f t="shared" si="156"/>
        <v>-256</v>
      </c>
      <c r="AJ53" s="707">
        <f t="shared" si="142"/>
        <v>-257</v>
      </c>
      <c r="AK53" s="874">
        <f t="shared" si="142"/>
        <v>-261</v>
      </c>
      <c r="AL53" s="885">
        <v>-296</v>
      </c>
      <c r="AM53" s="707">
        <f t="shared" si="157"/>
        <v>-300</v>
      </c>
      <c r="AN53" s="707">
        <f t="shared" si="144"/>
        <v>-292</v>
      </c>
      <c r="AO53" s="874">
        <f t="shared" si="144"/>
        <v>-301</v>
      </c>
      <c r="AP53" s="885">
        <v>-341</v>
      </c>
      <c r="AQ53" s="707">
        <f t="shared" si="158"/>
        <v>-341</v>
      </c>
      <c r="AR53" s="876">
        <v>0</v>
      </c>
      <c r="AS53" s="877">
        <v>0</v>
      </c>
      <c r="AT53" s="878">
        <v>0</v>
      </c>
      <c r="AU53" s="876">
        <v>0</v>
      </c>
      <c r="AV53" s="876">
        <v>0</v>
      </c>
      <c r="AW53" s="877">
        <v>0</v>
      </c>
      <c r="AX53" s="878">
        <v>0</v>
      </c>
      <c r="AY53" s="876">
        <v>0</v>
      </c>
      <c r="AZ53" s="876">
        <v>0</v>
      </c>
      <c r="BA53" s="877">
        <v>0</v>
      </c>
      <c r="BB53" s="766"/>
      <c r="BC53" s="748"/>
      <c r="BD53" s="656">
        <f t="shared" si="146"/>
        <v>-318</v>
      </c>
      <c r="BE53" s="656">
        <f t="shared" si="147"/>
        <v>-353</v>
      </c>
      <c r="BF53" s="746">
        <f t="shared" si="148"/>
        <v>-407</v>
      </c>
      <c r="BG53" s="963">
        <f t="shared" si="149"/>
        <v>-501</v>
      </c>
      <c r="BH53" s="964">
        <f t="shared" si="150"/>
        <v>-561</v>
      </c>
      <c r="BI53" s="964">
        <f t="shared" si="159"/>
        <v>-646</v>
      </c>
      <c r="BJ53" s="964">
        <f t="shared" si="160"/>
        <v>-774</v>
      </c>
      <c r="BK53" s="964">
        <f t="shared" si="161"/>
        <v>-889</v>
      </c>
      <c r="BL53" s="964">
        <f t="shared" si="162"/>
        <v>-1034</v>
      </c>
      <c r="BM53" s="964">
        <f t="shared" si="151"/>
        <v>-1189</v>
      </c>
      <c r="BN53" s="964">
        <f t="shared" si="152"/>
        <v>-682</v>
      </c>
      <c r="BO53" s="964">
        <f t="shared" si="153"/>
        <v>0</v>
      </c>
      <c r="BP53" s="964">
        <f t="shared" si="154"/>
        <v>0</v>
      </c>
      <c r="BQ53" s="747"/>
      <c r="BS53" s="1384"/>
      <c r="BT53" s="1385"/>
      <c r="BU53" s="110"/>
      <c r="BV53" s="748"/>
      <c r="BW53" s="746"/>
      <c r="BX53" s="110"/>
      <c r="BY53" s="110"/>
      <c r="BZ53" s="748"/>
      <c r="CA53" s="746"/>
      <c r="CB53" s="110"/>
      <c r="CC53" s="110"/>
      <c r="CD53" s="110"/>
      <c r="CE53" s="654"/>
      <c r="CF53" s="110"/>
      <c r="CG53" s="110"/>
      <c r="CH53" s="110"/>
      <c r="CI53" s="654"/>
      <c r="CJ53" s="110"/>
      <c r="CK53" s="110"/>
      <c r="CL53" s="748"/>
      <c r="CM53" s="875">
        <v>-158</v>
      </c>
      <c r="CN53" s="110">
        <v>-321</v>
      </c>
      <c r="CO53" s="327">
        <v>-482</v>
      </c>
      <c r="CP53" s="327">
        <v>-646</v>
      </c>
      <c r="CQ53" s="749">
        <v>-190</v>
      </c>
      <c r="CR53" s="327">
        <v>-385</v>
      </c>
      <c r="CS53" s="327">
        <v>-580</v>
      </c>
      <c r="CT53" s="751">
        <v>-774</v>
      </c>
      <c r="CU53" s="749"/>
      <c r="CV53" s="327">
        <v>-446</v>
      </c>
      <c r="CW53" s="327">
        <v>-667</v>
      </c>
      <c r="CX53" s="751">
        <v>-889</v>
      </c>
      <c r="CY53" s="746"/>
      <c r="CZ53" s="327">
        <v>-516</v>
      </c>
      <c r="DA53" s="327">
        <v>-773</v>
      </c>
      <c r="DB53" s="751">
        <v>-1034</v>
      </c>
      <c r="DC53" s="746"/>
      <c r="DD53" s="1503">
        <v>-596</v>
      </c>
      <c r="DE53" s="110">
        <v>-888</v>
      </c>
      <c r="DF53" s="748">
        <v>-1189</v>
      </c>
      <c r="DG53" s="746"/>
      <c r="DH53" s="1503">
        <v>-682</v>
      </c>
      <c r="DI53" s="110"/>
      <c r="DJ53" s="748"/>
    </row>
    <row r="54" spans="1:220" ht="12" customHeight="1">
      <c r="A54" s="765" t="s">
        <v>107</v>
      </c>
      <c r="B54" s="707">
        <v>0</v>
      </c>
      <c r="C54" s="707">
        <v>0</v>
      </c>
      <c r="D54" s="707">
        <v>0</v>
      </c>
      <c r="E54" s="707">
        <v>0</v>
      </c>
      <c r="F54" s="875">
        <v>0</v>
      </c>
      <c r="G54" s="707">
        <v>0</v>
      </c>
      <c r="H54" s="707">
        <v>0</v>
      </c>
      <c r="I54" s="707">
        <v>0</v>
      </c>
      <c r="J54" s="875">
        <v>0</v>
      </c>
      <c r="K54" s="707">
        <v>0</v>
      </c>
      <c r="L54" s="707">
        <v>0</v>
      </c>
      <c r="M54" s="707">
        <v>0</v>
      </c>
      <c r="N54" s="875">
        <v>71</v>
      </c>
      <c r="O54" s="707">
        <v>-71</v>
      </c>
      <c r="P54" s="707">
        <v>0</v>
      </c>
      <c r="Q54" s="707">
        <v>0</v>
      </c>
      <c r="R54" s="875">
        <v>-23</v>
      </c>
      <c r="S54" s="707">
        <v>48</v>
      </c>
      <c r="T54" s="707">
        <v>-72</v>
      </c>
      <c r="U54" s="707">
        <v>66</v>
      </c>
      <c r="V54" s="875">
        <f t="shared" si="137"/>
        <v>29</v>
      </c>
      <c r="W54" s="707">
        <f t="shared" si="138"/>
        <v>-58</v>
      </c>
      <c r="X54" s="707">
        <f t="shared" si="138"/>
        <v>-78</v>
      </c>
      <c r="Y54" s="874">
        <f t="shared" si="138"/>
        <v>109</v>
      </c>
      <c r="Z54" s="875">
        <f t="shared" si="139"/>
        <v>-151</v>
      </c>
      <c r="AA54" s="707">
        <f t="shared" si="138"/>
        <v>69</v>
      </c>
      <c r="AB54" s="707">
        <f t="shared" si="138"/>
        <v>164</v>
      </c>
      <c r="AC54" s="874">
        <f t="shared" si="138"/>
        <v>-138</v>
      </c>
      <c r="AD54" s="875">
        <v>-186</v>
      </c>
      <c r="AE54" s="707">
        <f t="shared" si="155"/>
        <v>-13</v>
      </c>
      <c r="AF54" s="707">
        <f t="shared" si="140"/>
        <v>3</v>
      </c>
      <c r="AG54" s="874">
        <f t="shared" si="140"/>
        <v>-1</v>
      </c>
      <c r="AH54" s="885">
        <v>2040</v>
      </c>
      <c r="AI54" s="707">
        <f t="shared" si="156"/>
        <v>881</v>
      </c>
      <c r="AJ54" s="707">
        <f t="shared" si="142"/>
        <v>-709</v>
      </c>
      <c r="AK54" s="874">
        <f t="shared" si="142"/>
        <v>1224</v>
      </c>
      <c r="AL54" s="885">
        <v>1672</v>
      </c>
      <c r="AM54" s="707">
        <f t="shared" si="157"/>
        <v>-2255</v>
      </c>
      <c r="AN54" s="707">
        <f t="shared" si="144"/>
        <v>1834</v>
      </c>
      <c r="AO54" s="874">
        <f t="shared" si="144"/>
        <v>1856</v>
      </c>
      <c r="AP54" s="885">
        <v>-3160</v>
      </c>
      <c r="AQ54" s="707">
        <f t="shared" si="158"/>
        <v>404</v>
      </c>
      <c r="AR54" s="876">
        <v>0</v>
      </c>
      <c r="AS54" s="877">
        <v>0</v>
      </c>
      <c r="AT54" s="878">
        <v>0</v>
      </c>
      <c r="AU54" s="876">
        <v>0</v>
      </c>
      <c r="AV54" s="876">
        <v>0</v>
      </c>
      <c r="AW54" s="877">
        <v>0</v>
      </c>
      <c r="AX54" s="878">
        <v>0</v>
      </c>
      <c r="AY54" s="876">
        <v>0</v>
      </c>
      <c r="AZ54" s="876">
        <v>0</v>
      </c>
      <c r="BA54" s="877">
        <v>0</v>
      </c>
      <c r="BB54" s="766"/>
      <c r="BC54" s="748"/>
      <c r="BD54" s="656">
        <f t="shared" si="146"/>
        <v>0</v>
      </c>
      <c r="BE54" s="656">
        <f t="shared" si="147"/>
        <v>0</v>
      </c>
      <c r="BF54" s="746">
        <f t="shared" si="148"/>
        <v>0</v>
      </c>
      <c r="BG54" s="963">
        <f t="shared" si="149"/>
        <v>0</v>
      </c>
      <c r="BH54" s="964">
        <f t="shared" si="150"/>
        <v>19</v>
      </c>
      <c r="BI54" s="964">
        <f t="shared" si="159"/>
        <v>2</v>
      </c>
      <c r="BJ54" s="964">
        <f t="shared" si="160"/>
        <v>-56</v>
      </c>
      <c r="BK54" s="964">
        <f t="shared" si="161"/>
        <v>-197</v>
      </c>
      <c r="BL54" s="964">
        <f t="shared" si="162"/>
        <v>3436</v>
      </c>
      <c r="BM54" s="964">
        <f t="shared" si="151"/>
        <v>3107</v>
      </c>
      <c r="BN54" s="964">
        <f t="shared" si="152"/>
        <v>-2756</v>
      </c>
      <c r="BO54" s="964">
        <f t="shared" si="153"/>
        <v>0</v>
      </c>
      <c r="BP54" s="964">
        <f t="shared" si="154"/>
        <v>0</v>
      </c>
      <c r="BQ54" s="747"/>
      <c r="BS54" s="1384"/>
      <c r="BT54" s="1385"/>
      <c r="BU54" s="110"/>
      <c r="BV54" s="748"/>
      <c r="BW54" s="746"/>
      <c r="BX54" s="110"/>
      <c r="BY54" s="110"/>
      <c r="BZ54" s="748"/>
      <c r="CA54" s="746"/>
      <c r="CB54" s="110"/>
      <c r="CC54" s="110"/>
      <c r="CD54" s="110"/>
      <c r="CE54" s="654"/>
      <c r="CF54" s="110"/>
      <c r="CG54" s="110"/>
      <c r="CH54" s="110"/>
      <c r="CI54" s="654"/>
      <c r="CJ54" s="110"/>
      <c r="CK54" s="110"/>
      <c r="CL54" s="748"/>
      <c r="CM54" s="875">
        <v>29</v>
      </c>
      <c r="CN54" s="110">
        <v>-29</v>
      </c>
      <c r="CO54" s="327">
        <v>-107</v>
      </c>
      <c r="CP54" s="327">
        <v>2</v>
      </c>
      <c r="CQ54" s="749">
        <v>-151</v>
      </c>
      <c r="CR54" s="327">
        <v>-82</v>
      </c>
      <c r="CS54" s="327">
        <v>82</v>
      </c>
      <c r="CT54" s="751">
        <v>-56</v>
      </c>
      <c r="CU54" s="749"/>
      <c r="CV54" s="327">
        <v>-199</v>
      </c>
      <c r="CW54" s="327">
        <v>-196</v>
      </c>
      <c r="CX54" s="751">
        <v>-197</v>
      </c>
      <c r="CY54" s="746"/>
      <c r="CZ54" s="327">
        <v>2921</v>
      </c>
      <c r="DA54" s="327">
        <v>2212</v>
      </c>
      <c r="DB54" s="751">
        <v>3436</v>
      </c>
      <c r="DC54" s="746"/>
      <c r="DD54" s="1503">
        <v>-583</v>
      </c>
      <c r="DE54" s="110">
        <v>1251</v>
      </c>
      <c r="DF54" s="748">
        <v>3107</v>
      </c>
      <c r="DG54" s="746"/>
      <c r="DH54" s="1503">
        <v>-2756</v>
      </c>
      <c r="DI54" s="110"/>
      <c r="DJ54" s="748"/>
    </row>
    <row r="55" spans="1:220" ht="12" customHeight="1">
      <c r="A55" s="765" t="s">
        <v>92</v>
      </c>
      <c r="B55" s="707">
        <v>0</v>
      </c>
      <c r="C55" s="707">
        <v>0</v>
      </c>
      <c r="D55" s="707">
        <v>-5</v>
      </c>
      <c r="E55" s="707">
        <v>-1</v>
      </c>
      <c r="F55" s="875">
        <v>0</v>
      </c>
      <c r="G55" s="707">
        <v>0</v>
      </c>
      <c r="H55" s="707">
        <v>0</v>
      </c>
      <c r="I55" s="707">
        <v>-1</v>
      </c>
      <c r="J55" s="875">
        <v>0</v>
      </c>
      <c r="K55" s="707">
        <v>0</v>
      </c>
      <c r="L55" s="707">
        <v>-1</v>
      </c>
      <c r="M55" s="707">
        <v>0</v>
      </c>
      <c r="N55" s="875">
        <v>-2</v>
      </c>
      <c r="O55" s="707">
        <v>-3</v>
      </c>
      <c r="P55" s="707">
        <v>-2</v>
      </c>
      <c r="Q55" s="707">
        <v>-1</v>
      </c>
      <c r="R55" s="875">
        <v>0</v>
      </c>
      <c r="S55" s="707">
        <v>-1</v>
      </c>
      <c r="T55" s="707">
        <v>0</v>
      </c>
      <c r="U55" s="707">
        <v>0</v>
      </c>
      <c r="V55" s="875">
        <f t="shared" si="137"/>
        <v>0</v>
      </c>
      <c r="W55" s="707">
        <f t="shared" si="138"/>
        <v>0</v>
      </c>
      <c r="X55" s="707">
        <f t="shared" si="138"/>
        <v>-2</v>
      </c>
      <c r="Y55" s="874">
        <f t="shared" si="138"/>
        <v>0</v>
      </c>
      <c r="Z55" s="875">
        <f t="shared" si="139"/>
        <v>0</v>
      </c>
      <c r="AA55" s="707">
        <f t="shared" si="138"/>
        <v>-9</v>
      </c>
      <c r="AB55" s="707">
        <f t="shared" si="138"/>
        <v>0</v>
      </c>
      <c r="AC55" s="874">
        <f t="shared" si="138"/>
        <v>-1</v>
      </c>
      <c r="AD55" s="875">
        <v>0</v>
      </c>
      <c r="AE55" s="707">
        <f t="shared" si="155"/>
        <v>335</v>
      </c>
      <c r="AF55" s="707">
        <f t="shared" si="140"/>
        <v>-336</v>
      </c>
      <c r="AG55" s="874">
        <f t="shared" si="140"/>
        <v>0</v>
      </c>
      <c r="AH55" s="885">
        <v>17</v>
      </c>
      <c r="AI55" s="707">
        <f t="shared" si="156"/>
        <v>-19</v>
      </c>
      <c r="AJ55" s="707">
        <f t="shared" si="142"/>
        <v>-1</v>
      </c>
      <c r="AK55" s="874">
        <f t="shared" si="142"/>
        <v>1</v>
      </c>
      <c r="AL55" s="885">
        <v>0</v>
      </c>
      <c r="AM55" s="707">
        <f t="shared" si="157"/>
        <v>-4</v>
      </c>
      <c r="AN55" s="707">
        <f t="shared" si="144"/>
        <v>0</v>
      </c>
      <c r="AO55" s="874">
        <f t="shared" si="144"/>
        <v>3</v>
      </c>
      <c r="AP55" s="885">
        <v>-1</v>
      </c>
      <c r="AQ55" s="707">
        <f t="shared" si="158"/>
        <v>-6</v>
      </c>
      <c r="AR55" s="876">
        <v>0</v>
      </c>
      <c r="AS55" s="877">
        <v>0</v>
      </c>
      <c r="AT55" s="878">
        <v>0</v>
      </c>
      <c r="AU55" s="876">
        <v>0</v>
      </c>
      <c r="AV55" s="876">
        <v>0</v>
      </c>
      <c r="AW55" s="877">
        <v>0</v>
      </c>
      <c r="AX55" s="878">
        <v>0</v>
      </c>
      <c r="AY55" s="876">
        <v>0</v>
      </c>
      <c r="AZ55" s="876">
        <v>0</v>
      </c>
      <c r="BA55" s="877">
        <v>0</v>
      </c>
      <c r="BB55" s="766"/>
      <c r="BC55" s="748"/>
      <c r="BD55" s="656">
        <f t="shared" si="146"/>
        <v>-6</v>
      </c>
      <c r="BE55" s="656">
        <f t="shared" si="147"/>
        <v>-1</v>
      </c>
      <c r="BF55" s="746">
        <f t="shared" si="148"/>
        <v>-1</v>
      </c>
      <c r="BG55" s="963">
        <f t="shared" si="149"/>
        <v>-8</v>
      </c>
      <c r="BH55" s="964">
        <f t="shared" si="150"/>
        <v>-1</v>
      </c>
      <c r="BI55" s="964">
        <f t="shared" si="159"/>
        <v>-2</v>
      </c>
      <c r="BJ55" s="964">
        <f t="shared" si="160"/>
        <v>-10</v>
      </c>
      <c r="BK55" s="964">
        <f t="shared" si="161"/>
        <v>-1</v>
      </c>
      <c r="BL55" s="964">
        <f t="shared" si="162"/>
        <v>-2</v>
      </c>
      <c r="BM55" s="964">
        <f t="shared" si="151"/>
        <v>-1</v>
      </c>
      <c r="BN55" s="964">
        <f t="shared" si="152"/>
        <v>-7</v>
      </c>
      <c r="BO55" s="964">
        <f t="shared" si="153"/>
        <v>0</v>
      </c>
      <c r="BP55" s="964">
        <f t="shared" si="154"/>
        <v>0</v>
      </c>
      <c r="BQ55" s="747"/>
      <c r="BS55" s="1384"/>
      <c r="BT55" s="1385"/>
      <c r="BU55" s="110"/>
      <c r="BV55" s="748"/>
      <c r="BW55" s="746"/>
      <c r="BX55" s="110"/>
      <c r="BY55" s="110"/>
      <c r="BZ55" s="748"/>
      <c r="CA55" s="746"/>
      <c r="CB55" s="110"/>
      <c r="CC55" s="110"/>
      <c r="CD55" s="110"/>
      <c r="CE55" s="654"/>
      <c r="CF55" s="110"/>
      <c r="CG55" s="110"/>
      <c r="CH55" s="110"/>
      <c r="CI55" s="654"/>
      <c r="CJ55" s="110"/>
      <c r="CK55" s="110"/>
      <c r="CL55" s="748"/>
      <c r="CM55" s="875">
        <v>0</v>
      </c>
      <c r="CN55" s="110">
        <v>0</v>
      </c>
      <c r="CO55" s="327">
        <f>-2-CN55-CM55</f>
        <v>-2</v>
      </c>
      <c r="CP55" s="327">
        <v>-2</v>
      </c>
      <c r="CQ55" s="749">
        <v>0</v>
      </c>
      <c r="CR55" s="327">
        <v>-9</v>
      </c>
      <c r="CS55" s="327">
        <v>-9</v>
      </c>
      <c r="CT55" s="751">
        <v>-10</v>
      </c>
      <c r="CU55" s="749"/>
      <c r="CV55" s="327">
        <f>336-1</f>
        <v>335</v>
      </c>
      <c r="CW55" s="327">
        <v>-1</v>
      </c>
      <c r="CX55" s="751">
        <v>-1</v>
      </c>
      <c r="CY55" s="746"/>
      <c r="CZ55" s="327">
        <v>-2</v>
      </c>
      <c r="DA55" s="327">
        <v>-3</v>
      </c>
      <c r="DB55" s="751">
        <v>-2</v>
      </c>
      <c r="DC55" s="746"/>
      <c r="DD55" s="1503">
        <v>-4</v>
      </c>
      <c r="DE55" s="110">
        <v>-4</v>
      </c>
      <c r="DF55" s="748">
        <v>-1</v>
      </c>
      <c r="DG55" s="746"/>
      <c r="DH55" s="1503">
        <v>-7</v>
      </c>
      <c r="DI55" s="110"/>
      <c r="DJ55" s="748"/>
    </row>
    <row r="56" spans="1:220" ht="12" customHeight="1">
      <c r="A56" s="758" t="s">
        <v>347</v>
      </c>
      <c r="B56" s="881">
        <f t="shared" ref="B56:U56" si="163">SUM(B45:B55)</f>
        <v>-961</v>
      </c>
      <c r="C56" s="881">
        <f t="shared" si="163"/>
        <v>-124</v>
      </c>
      <c r="D56" s="881">
        <f t="shared" si="163"/>
        <v>-759</v>
      </c>
      <c r="E56" s="881">
        <f t="shared" si="163"/>
        <v>-155</v>
      </c>
      <c r="F56" s="883">
        <f t="shared" si="163"/>
        <v>-166</v>
      </c>
      <c r="G56" s="881">
        <f t="shared" si="163"/>
        <v>-209</v>
      </c>
      <c r="H56" s="881">
        <f t="shared" si="163"/>
        <v>-774</v>
      </c>
      <c r="I56" s="881">
        <f t="shared" si="163"/>
        <v>-483</v>
      </c>
      <c r="J56" s="883">
        <f t="shared" si="163"/>
        <v>158</v>
      </c>
      <c r="K56" s="881">
        <f t="shared" si="163"/>
        <v>100</v>
      </c>
      <c r="L56" s="881">
        <f t="shared" si="163"/>
        <v>-727</v>
      </c>
      <c r="M56" s="881">
        <f t="shared" si="163"/>
        <v>-165</v>
      </c>
      <c r="N56" s="883">
        <f t="shared" si="163"/>
        <v>-111</v>
      </c>
      <c r="O56" s="881">
        <f t="shared" si="163"/>
        <v>-366</v>
      </c>
      <c r="P56" s="881">
        <f t="shared" si="163"/>
        <v>-164</v>
      </c>
      <c r="Q56" s="881">
        <f t="shared" si="163"/>
        <v>-393</v>
      </c>
      <c r="R56" s="883">
        <f t="shared" si="163"/>
        <v>-325</v>
      </c>
      <c r="S56" s="881">
        <f t="shared" si="163"/>
        <v>-217</v>
      </c>
      <c r="T56" s="881">
        <f t="shared" si="163"/>
        <v>-254</v>
      </c>
      <c r="U56" s="881">
        <f t="shared" si="163"/>
        <v>2830</v>
      </c>
      <c r="V56" s="883">
        <f>SUM(V45:V55)</f>
        <v>-1153</v>
      </c>
      <c r="W56" s="881">
        <f t="shared" ref="W56:AO56" si="164">SUM(W45:W55)</f>
        <v>-434</v>
      </c>
      <c r="X56" s="881">
        <f t="shared" si="164"/>
        <v>-992</v>
      </c>
      <c r="Y56" s="882">
        <f t="shared" ref="Y56" si="165">SUM(Y45:Y55)</f>
        <v>-597</v>
      </c>
      <c r="Z56" s="883">
        <f>SUM(Z45:Z55)</f>
        <v>-786</v>
      </c>
      <c r="AA56" s="881">
        <f t="shared" ref="AA56:AC56" si="166">SUM(AA45:AA55)</f>
        <v>3858</v>
      </c>
      <c r="AB56" s="881">
        <f t="shared" si="166"/>
        <v>-443</v>
      </c>
      <c r="AC56" s="882">
        <f t="shared" si="166"/>
        <v>-897</v>
      </c>
      <c r="AD56" s="883">
        <f t="shared" si="164"/>
        <v>-912</v>
      </c>
      <c r="AE56" s="881">
        <f t="shared" si="164"/>
        <v>-442</v>
      </c>
      <c r="AF56" s="881">
        <f t="shared" si="164"/>
        <v>-1549</v>
      </c>
      <c r="AG56" s="882">
        <f t="shared" si="164"/>
        <v>-1365</v>
      </c>
      <c r="AH56" s="892">
        <f t="shared" si="164"/>
        <v>849</v>
      </c>
      <c r="AI56" s="881">
        <f t="shared" ref="AI56:AK56" si="167">SUM(AI45:AI55)</f>
        <v>-16</v>
      </c>
      <c r="AJ56" s="881">
        <f t="shared" si="167"/>
        <v>-1684</v>
      </c>
      <c r="AK56" s="882">
        <f t="shared" si="167"/>
        <v>454</v>
      </c>
      <c r="AL56" s="892">
        <f t="shared" si="164"/>
        <v>761</v>
      </c>
      <c r="AM56" s="881">
        <f t="shared" si="164"/>
        <v>-3260</v>
      </c>
      <c r="AN56" s="881">
        <f t="shared" si="164"/>
        <v>847</v>
      </c>
      <c r="AO56" s="882">
        <f t="shared" si="164"/>
        <v>142</v>
      </c>
      <c r="AP56" s="892">
        <f t="shared" ref="AP56:AQ56" si="168">SUM(AP45:AP55)</f>
        <v>-4372</v>
      </c>
      <c r="AQ56" s="881">
        <f t="shared" si="168"/>
        <v>-1037</v>
      </c>
      <c r="AR56" s="881">
        <f t="shared" ref="AR56:AS56" si="169">SUM(AR45:AR55)</f>
        <v>0</v>
      </c>
      <c r="AS56" s="882">
        <f t="shared" si="169"/>
        <v>0</v>
      </c>
      <c r="AT56" s="883">
        <f t="shared" ref="AT56:AW56" si="170">SUM(AT45:AT55)</f>
        <v>0</v>
      </c>
      <c r="AU56" s="881">
        <f t="shared" si="170"/>
        <v>0</v>
      </c>
      <c r="AV56" s="881">
        <f t="shared" si="170"/>
        <v>0</v>
      </c>
      <c r="AW56" s="882">
        <f t="shared" si="170"/>
        <v>0</v>
      </c>
      <c r="AX56" s="883">
        <f t="shared" ref="AX56:BA56" si="171">SUM(AX45:AX55)</f>
        <v>0</v>
      </c>
      <c r="AY56" s="881">
        <f t="shared" si="171"/>
        <v>0</v>
      </c>
      <c r="AZ56" s="881">
        <f t="shared" si="171"/>
        <v>0</v>
      </c>
      <c r="BA56" s="882">
        <f t="shared" si="171"/>
        <v>0</v>
      </c>
      <c r="BB56" s="766"/>
      <c r="BC56" s="760"/>
      <c r="BD56" s="668">
        <f t="shared" si="146"/>
        <v>-1999</v>
      </c>
      <c r="BE56" s="668">
        <f t="shared" si="147"/>
        <v>-1632</v>
      </c>
      <c r="BF56" s="759">
        <f t="shared" si="148"/>
        <v>-634</v>
      </c>
      <c r="BG56" s="961">
        <f t="shared" si="149"/>
        <v>-1034</v>
      </c>
      <c r="BH56" s="962">
        <f t="shared" si="150"/>
        <v>2034</v>
      </c>
      <c r="BI56" s="958">
        <f t="shared" si="159"/>
        <v>-3176</v>
      </c>
      <c r="BJ56" s="958">
        <f t="shared" si="160"/>
        <v>1732</v>
      </c>
      <c r="BK56" s="958">
        <f t="shared" si="161"/>
        <v>-4268</v>
      </c>
      <c r="BL56" s="958">
        <f t="shared" si="162"/>
        <v>-397</v>
      </c>
      <c r="BM56" s="958">
        <f t="shared" si="151"/>
        <v>-1510</v>
      </c>
      <c r="BN56" s="958">
        <f t="shared" si="152"/>
        <v>-5409</v>
      </c>
      <c r="BO56" s="958">
        <f t="shared" si="153"/>
        <v>0</v>
      </c>
      <c r="BP56" s="958">
        <f t="shared" si="154"/>
        <v>0</v>
      </c>
      <c r="BQ56" s="747"/>
      <c r="BR56" s="1389"/>
      <c r="BS56" s="1390">
        <f t="shared" ref="BS56:DF56" si="172">SUM(BS45:BS55)</f>
        <v>0</v>
      </c>
      <c r="BT56" s="193">
        <f t="shared" si="172"/>
        <v>0</v>
      </c>
      <c r="BU56" s="211">
        <f t="shared" si="172"/>
        <v>0</v>
      </c>
      <c r="BV56" s="753">
        <f t="shared" si="172"/>
        <v>0</v>
      </c>
      <c r="BW56" s="752">
        <f t="shared" si="172"/>
        <v>0</v>
      </c>
      <c r="BX56" s="211">
        <f t="shared" si="172"/>
        <v>0</v>
      </c>
      <c r="BY56" s="211">
        <f t="shared" si="172"/>
        <v>0</v>
      </c>
      <c r="BZ56" s="753">
        <f t="shared" si="172"/>
        <v>0</v>
      </c>
      <c r="CA56" s="752">
        <f t="shared" si="172"/>
        <v>0</v>
      </c>
      <c r="CB56" s="211">
        <f t="shared" si="172"/>
        <v>0</v>
      </c>
      <c r="CC56" s="211">
        <f t="shared" si="172"/>
        <v>0</v>
      </c>
      <c r="CD56" s="753">
        <f t="shared" si="172"/>
        <v>0</v>
      </c>
      <c r="CE56" s="752">
        <f t="shared" si="172"/>
        <v>0</v>
      </c>
      <c r="CF56" s="211">
        <f t="shared" si="172"/>
        <v>0</v>
      </c>
      <c r="CG56" s="211">
        <f t="shared" si="172"/>
        <v>0</v>
      </c>
      <c r="CH56" s="211">
        <f t="shared" si="172"/>
        <v>0</v>
      </c>
      <c r="CI56" s="661">
        <f t="shared" si="172"/>
        <v>0</v>
      </c>
      <c r="CJ56" s="211">
        <f t="shared" si="172"/>
        <v>0</v>
      </c>
      <c r="CK56" s="211">
        <f t="shared" si="172"/>
        <v>0</v>
      </c>
      <c r="CL56" s="753">
        <f t="shared" si="172"/>
        <v>0</v>
      </c>
      <c r="CM56" s="880">
        <f t="shared" si="172"/>
        <v>-1153</v>
      </c>
      <c r="CN56" s="211">
        <f t="shared" si="172"/>
        <v>-1587</v>
      </c>
      <c r="CO56" s="324">
        <f t="shared" si="172"/>
        <v>-2579</v>
      </c>
      <c r="CP56" s="324">
        <f t="shared" ref="CP56" si="173">SUM(CP45:CP55)</f>
        <v>-3176</v>
      </c>
      <c r="CQ56" s="755">
        <f t="shared" si="172"/>
        <v>-786</v>
      </c>
      <c r="CR56" s="324">
        <f t="shared" si="172"/>
        <v>3072</v>
      </c>
      <c r="CS56" s="324">
        <f t="shared" si="172"/>
        <v>2629</v>
      </c>
      <c r="CT56" s="757">
        <f t="shared" si="172"/>
        <v>1732</v>
      </c>
      <c r="CU56" s="755">
        <f t="shared" si="172"/>
        <v>0</v>
      </c>
      <c r="CV56" s="324">
        <f t="shared" si="172"/>
        <v>-1355</v>
      </c>
      <c r="CW56" s="324">
        <f t="shared" si="172"/>
        <v>-2904</v>
      </c>
      <c r="CX56" s="757">
        <f t="shared" si="172"/>
        <v>-4269</v>
      </c>
      <c r="CY56" s="752">
        <f t="shared" si="172"/>
        <v>0</v>
      </c>
      <c r="CZ56" s="324">
        <f>SUM(CZ45:CZ55)</f>
        <v>833</v>
      </c>
      <c r="DA56" s="211">
        <f t="shared" si="172"/>
        <v>-851</v>
      </c>
      <c r="DB56" s="757">
        <f>SUM(DB45:DB55)</f>
        <v>-397</v>
      </c>
      <c r="DC56" s="752">
        <f t="shared" si="172"/>
        <v>0</v>
      </c>
      <c r="DD56" s="1504">
        <f>SUM(DD45:DD55)</f>
        <v>-2499</v>
      </c>
      <c r="DE56" s="211">
        <f t="shared" si="172"/>
        <v>-1652</v>
      </c>
      <c r="DF56" s="753">
        <f t="shared" si="172"/>
        <v>-1510</v>
      </c>
      <c r="DG56" s="752">
        <f t="shared" ref="DG56" si="174">SUM(DG45:DG55)</f>
        <v>0</v>
      </c>
      <c r="DH56" s="1504">
        <f>SUM(DH45:DH55)</f>
        <v>-5409</v>
      </c>
      <c r="DI56" s="211"/>
      <c r="DJ56" s="753"/>
    </row>
    <row r="57" spans="1:220" ht="12" customHeight="1">
      <c r="A57" s="740"/>
      <c r="B57" s="707"/>
      <c r="C57" s="707"/>
      <c r="D57" s="707"/>
      <c r="E57" s="707"/>
      <c r="F57" s="875"/>
      <c r="G57" s="707"/>
      <c r="H57" s="707"/>
      <c r="I57" s="707"/>
      <c r="J57" s="875"/>
      <c r="K57" s="707"/>
      <c r="L57" s="707"/>
      <c r="M57" s="707"/>
      <c r="N57" s="875"/>
      <c r="O57" s="707"/>
      <c r="P57" s="707"/>
      <c r="Q57" s="707"/>
      <c r="R57" s="875"/>
      <c r="S57" s="707"/>
      <c r="T57" s="707"/>
      <c r="U57" s="896"/>
      <c r="V57" s="875"/>
      <c r="W57" s="707"/>
      <c r="X57" s="707"/>
      <c r="Y57" s="874"/>
      <c r="Z57" s="875"/>
      <c r="AA57" s="707"/>
      <c r="AB57" s="707"/>
      <c r="AC57" s="874"/>
      <c r="AD57" s="875"/>
      <c r="AE57" s="707"/>
      <c r="AF57" s="707"/>
      <c r="AG57" s="874"/>
      <c r="AH57" s="885"/>
      <c r="AI57" s="707"/>
      <c r="AJ57" s="707"/>
      <c r="AK57" s="874"/>
      <c r="AL57" s="875"/>
      <c r="AM57" s="707"/>
      <c r="AN57" s="707"/>
      <c r="AO57" s="874"/>
      <c r="AP57" s="875"/>
      <c r="AQ57" s="707"/>
      <c r="AR57" s="707"/>
      <c r="AS57" s="874"/>
      <c r="AT57" s="875"/>
      <c r="AU57" s="707"/>
      <c r="AV57" s="707"/>
      <c r="AW57" s="874"/>
      <c r="AX57" s="875"/>
      <c r="AY57" s="707"/>
      <c r="AZ57" s="707"/>
      <c r="BA57" s="874"/>
      <c r="BB57" s="766"/>
      <c r="BC57" s="440"/>
      <c r="BD57" s="741"/>
      <c r="BE57" s="741"/>
      <c r="BF57" s="438"/>
      <c r="BG57" s="963"/>
      <c r="BH57" s="964"/>
      <c r="BI57" s="957"/>
      <c r="BJ57" s="957"/>
      <c r="BK57" s="957"/>
      <c r="BL57" s="957"/>
      <c r="BM57" s="957"/>
      <c r="BN57" s="957"/>
      <c r="BO57" s="957"/>
      <c r="BP57" s="957"/>
      <c r="BS57" s="1382"/>
      <c r="BT57" s="1383"/>
      <c r="BU57" s="439"/>
      <c r="BV57" s="440"/>
      <c r="BW57" s="438"/>
      <c r="BX57" s="439"/>
      <c r="BY57" s="439"/>
      <c r="BZ57" s="440"/>
      <c r="CA57" s="438"/>
      <c r="CB57" s="439"/>
      <c r="CC57" s="439"/>
      <c r="CD57" s="440"/>
      <c r="CE57" s="438"/>
      <c r="CF57" s="439"/>
      <c r="CG57" s="439"/>
      <c r="CH57" s="440"/>
      <c r="CI57" s="438"/>
      <c r="CJ57" s="439"/>
      <c r="CK57" s="439"/>
      <c r="CL57" s="440"/>
      <c r="CM57" s="875"/>
      <c r="CN57" s="439"/>
      <c r="CO57" s="414"/>
      <c r="CP57" s="414"/>
      <c r="CQ57" s="743"/>
      <c r="CR57" s="439"/>
      <c r="CS57" s="414"/>
      <c r="CT57" s="440"/>
      <c r="CU57" s="743"/>
      <c r="CV57" s="414"/>
      <c r="CW57" s="414"/>
      <c r="CX57" s="744"/>
      <c r="CY57" s="438"/>
      <c r="CZ57" s="414"/>
      <c r="DA57" s="439"/>
      <c r="DB57" s="440"/>
      <c r="DC57" s="438"/>
      <c r="DD57" s="1505"/>
      <c r="DE57" s="439"/>
      <c r="DF57" s="440"/>
      <c r="DG57" s="438"/>
      <c r="DH57" s="1505"/>
      <c r="DI57" s="439"/>
      <c r="DJ57" s="440"/>
    </row>
    <row r="58" spans="1:220" ht="12" customHeight="1">
      <c r="A58" s="774" t="s">
        <v>348</v>
      </c>
      <c r="B58" s="707">
        <v>-1</v>
      </c>
      <c r="C58" s="707">
        <v>-10</v>
      </c>
      <c r="D58" s="707">
        <v>17</v>
      </c>
      <c r="E58" s="707">
        <v>-8</v>
      </c>
      <c r="F58" s="875">
        <v>-5</v>
      </c>
      <c r="G58" s="707">
        <v>4</v>
      </c>
      <c r="H58" s="707">
        <v>-5</v>
      </c>
      <c r="I58" s="707">
        <v>15</v>
      </c>
      <c r="J58" s="875">
        <v>-5</v>
      </c>
      <c r="K58" s="707">
        <v>8</v>
      </c>
      <c r="L58" s="707">
        <v>-10</v>
      </c>
      <c r="M58" s="707">
        <v>-4</v>
      </c>
      <c r="N58" s="875">
        <v>-4</v>
      </c>
      <c r="O58" s="707">
        <v>2</v>
      </c>
      <c r="P58" s="707">
        <v>-4</v>
      </c>
      <c r="Q58" s="707">
        <v>3</v>
      </c>
      <c r="R58" s="875">
        <v>0</v>
      </c>
      <c r="S58" s="707">
        <v>-2</v>
      </c>
      <c r="T58" s="707">
        <v>-10</v>
      </c>
      <c r="U58" s="706">
        <v>6</v>
      </c>
      <c r="V58" s="875">
        <v>-1</v>
      </c>
      <c r="W58" s="707">
        <f t="shared" ref="W58" si="175">+CN58-CM58</f>
        <v>11</v>
      </c>
      <c r="X58" s="707">
        <f t="shared" ref="X58:Y58" si="176">+CO58-CN58</f>
        <v>4</v>
      </c>
      <c r="Y58" s="874">
        <f t="shared" si="176"/>
        <v>-1</v>
      </c>
      <c r="Z58" s="875">
        <f>CQ58</f>
        <v>-2</v>
      </c>
      <c r="AA58" s="707">
        <f t="shared" ref="AA58:AC58" si="177">+CR58-CQ58</f>
        <v>0</v>
      </c>
      <c r="AB58" s="707">
        <f t="shared" si="177"/>
        <v>-16</v>
      </c>
      <c r="AC58" s="874">
        <f t="shared" si="177"/>
        <v>-4</v>
      </c>
      <c r="AD58" s="875">
        <v>-16</v>
      </c>
      <c r="AE58" s="707">
        <f t="shared" ref="AE58" si="178">+CV58-AD58</f>
        <v>15</v>
      </c>
      <c r="AF58" s="707">
        <f t="shared" ref="AF58:AG58" si="179">+CW58-CV58</f>
        <v>3</v>
      </c>
      <c r="AG58" s="874">
        <f t="shared" si="179"/>
        <v>-2</v>
      </c>
      <c r="AH58" s="885">
        <v>-17</v>
      </c>
      <c r="AI58" s="707">
        <f t="shared" ref="AI58" si="180">+CZ58-AH58</f>
        <v>13</v>
      </c>
      <c r="AJ58" s="707">
        <f t="shared" ref="AJ58:AK58" si="181">+DA58-CZ58</f>
        <v>-8</v>
      </c>
      <c r="AK58" s="874">
        <f t="shared" si="181"/>
        <v>-1</v>
      </c>
      <c r="AL58" s="878">
        <v>0</v>
      </c>
      <c r="AM58" s="707">
        <f t="shared" ref="AM58" si="182">+DD58-AL58</f>
        <v>-12</v>
      </c>
      <c r="AN58" s="707">
        <f t="shared" ref="AN58:AO58" si="183">+DE58-DD58</f>
        <v>16</v>
      </c>
      <c r="AO58" s="874">
        <f t="shared" si="183"/>
        <v>-1</v>
      </c>
      <c r="AP58" s="875">
        <v>-1</v>
      </c>
      <c r="AQ58" s="707">
        <f t="shared" ref="AQ58" si="184">+DH58-AP58</f>
        <v>7</v>
      </c>
      <c r="AR58" s="876">
        <v>0</v>
      </c>
      <c r="AS58" s="877">
        <v>0</v>
      </c>
      <c r="AT58" s="878">
        <v>0</v>
      </c>
      <c r="AU58" s="876">
        <v>0</v>
      </c>
      <c r="AV58" s="876">
        <v>0</v>
      </c>
      <c r="AW58" s="877">
        <v>0</v>
      </c>
      <c r="AX58" s="878">
        <v>0</v>
      </c>
      <c r="AY58" s="876">
        <v>0</v>
      </c>
      <c r="AZ58" s="876">
        <v>0</v>
      </c>
      <c r="BA58" s="877">
        <v>0</v>
      </c>
      <c r="BB58" s="766"/>
      <c r="BC58" s="748"/>
      <c r="BD58" s="656">
        <f t="shared" ref="BD58:BD59" si="185">+SUM(B58:E58)</f>
        <v>-2</v>
      </c>
      <c r="BE58" s="656">
        <f t="shared" ref="BE58:BE59" si="186">+SUM(F58:I58)</f>
        <v>9</v>
      </c>
      <c r="BF58" s="746">
        <f t="shared" ref="BF58:BF59" si="187">+SUM(J58:M58)</f>
        <v>-11</v>
      </c>
      <c r="BG58" s="963">
        <f t="shared" ref="BG58:BG59" si="188">SUM(N58:Q58)</f>
        <v>-3</v>
      </c>
      <c r="BH58" s="964">
        <f t="shared" ref="BH58:BH59" si="189">SUM(R58:U58)</f>
        <v>-6</v>
      </c>
      <c r="BI58" s="957">
        <f t="shared" ref="BI58:BI59" si="190">SUM(V58:Y58)</f>
        <v>13</v>
      </c>
      <c r="BJ58" s="957">
        <f t="shared" ref="BJ58:BJ59" si="191">SUM(Z58:AC58)</f>
        <v>-22</v>
      </c>
      <c r="BK58" s="957">
        <f t="shared" ref="BK58:BK59" si="192">SUM(AD58:AG58)</f>
        <v>0</v>
      </c>
      <c r="BL58" s="957">
        <f t="shared" ref="BL58:BL59" si="193">+SUM(AH58:AK58)</f>
        <v>-13</v>
      </c>
      <c r="BM58" s="957">
        <f>+SUM(AL58:AO58)</f>
        <v>3</v>
      </c>
      <c r="BN58" s="957">
        <f>+SUM(AP58:AS58)</f>
        <v>6</v>
      </c>
      <c r="BO58" s="957">
        <f>+SUM(AT58:AW58)</f>
        <v>0</v>
      </c>
      <c r="BP58" s="957">
        <f>+SUM(AX58:BA58)</f>
        <v>0</v>
      </c>
      <c r="BS58" s="1384"/>
      <c r="BT58" s="1385"/>
      <c r="BU58" s="110"/>
      <c r="BV58" s="748"/>
      <c r="BW58" s="746"/>
      <c r="BX58" s="110"/>
      <c r="BY58" s="110"/>
      <c r="BZ58" s="748"/>
      <c r="CA58" s="746"/>
      <c r="CB58" s="110"/>
      <c r="CC58" s="110"/>
      <c r="CD58" s="748"/>
      <c r="CE58" s="746"/>
      <c r="CF58" s="110"/>
      <c r="CG58" s="110"/>
      <c r="CH58" s="748"/>
      <c r="CI58" s="746"/>
      <c r="CJ58" s="110"/>
      <c r="CK58" s="110"/>
      <c r="CL58" s="748"/>
      <c r="CM58" s="875">
        <v>-1</v>
      </c>
      <c r="CN58" s="110">
        <v>10</v>
      </c>
      <c r="CO58" s="327">
        <v>14</v>
      </c>
      <c r="CP58" s="327">
        <v>13</v>
      </c>
      <c r="CQ58" s="749">
        <v>-2</v>
      </c>
      <c r="CR58" s="110">
        <v>-2</v>
      </c>
      <c r="CS58" s="327">
        <v>-18</v>
      </c>
      <c r="CT58" s="751">
        <v>-22</v>
      </c>
      <c r="CU58" s="749"/>
      <c r="CV58" s="327">
        <v>-1</v>
      </c>
      <c r="CW58" s="327">
        <v>2</v>
      </c>
      <c r="CX58" s="751">
        <v>0</v>
      </c>
      <c r="CY58" s="746"/>
      <c r="CZ58" s="327">
        <v>-4</v>
      </c>
      <c r="DA58" s="110">
        <v>-12</v>
      </c>
      <c r="DB58" s="748">
        <v>-13</v>
      </c>
      <c r="DC58" s="746"/>
      <c r="DD58" s="1503">
        <v>-12</v>
      </c>
      <c r="DE58" s="110">
        <v>4</v>
      </c>
      <c r="DF58" s="748">
        <v>3</v>
      </c>
      <c r="DG58" s="746"/>
      <c r="DH58" s="1503">
        <v>6</v>
      </c>
      <c r="DI58" s="110"/>
      <c r="DJ58" s="748"/>
    </row>
    <row r="59" spans="1:220" s="288" customFormat="1" ht="12" customHeight="1">
      <c r="A59" s="775" t="s">
        <v>349</v>
      </c>
      <c r="B59" s="719">
        <f t="shared" ref="B59:AO59" si="194">B29+B42+B56+B58</f>
        <v>-334</v>
      </c>
      <c r="C59" s="719">
        <f t="shared" si="194"/>
        <v>45621</v>
      </c>
      <c r="D59" s="719">
        <f t="shared" si="194"/>
        <v>955</v>
      </c>
      <c r="E59" s="897">
        <f t="shared" si="194"/>
        <v>-651</v>
      </c>
      <c r="F59" s="880">
        <f t="shared" si="194"/>
        <v>-278</v>
      </c>
      <c r="G59" s="719">
        <f t="shared" si="194"/>
        <v>32</v>
      </c>
      <c r="H59" s="719">
        <f t="shared" si="194"/>
        <v>958</v>
      </c>
      <c r="I59" s="897">
        <f t="shared" si="194"/>
        <v>-821</v>
      </c>
      <c r="J59" s="880">
        <f t="shared" si="194"/>
        <v>-53</v>
      </c>
      <c r="K59" s="719">
        <f t="shared" si="194"/>
        <v>52</v>
      </c>
      <c r="L59" s="719">
        <f t="shared" si="194"/>
        <v>1133</v>
      </c>
      <c r="M59" s="897">
        <f t="shared" si="194"/>
        <v>-202</v>
      </c>
      <c r="N59" s="880">
        <f t="shared" si="194"/>
        <v>-309</v>
      </c>
      <c r="O59" s="719">
        <f t="shared" si="194"/>
        <v>-13</v>
      </c>
      <c r="P59" s="719">
        <f t="shared" si="194"/>
        <v>1820</v>
      </c>
      <c r="Q59" s="897">
        <f t="shared" si="194"/>
        <v>-777</v>
      </c>
      <c r="R59" s="880">
        <f t="shared" si="194"/>
        <v>-509</v>
      </c>
      <c r="S59" s="719">
        <f t="shared" si="194"/>
        <v>59</v>
      </c>
      <c r="T59" s="719">
        <f t="shared" si="194"/>
        <v>1658</v>
      </c>
      <c r="U59" s="897">
        <f t="shared" si="194"/>
        <v>3137</v>
      </c>
      <c r="V59" s="880">
        <f t="shared" si="194"/>
        <v>-1239</v>
      </c>
      <c r="W59" s="719">
        <f t="shared" si="194"/>
        <v>-3280</v>
      </c>
      <c r="X59" s="719">
        <f t="shared" si="194"/>
        <v>1134</v>
      </c>
      <c r="Y59" s="879">
        <f t="shared" ref="Y59:AB59" si="195">Y29+Y42+Y56+Y58</f>
        <v>-493</v>
      </c>
      <c r="Z59" s="880">
        <f t="shared" si="195"/>
        <v>153</v>
      </c>
      <c r="AA59" s="719">
        <f t="shared" si="195"/>
        <v>-1535</v>
      </c>
      <c r="AB59" s="719">
        <f t="shared" si="195"/>
        <v>2433</v>
      </c>
      <c r="AC59" s="879">
        <f t="shared" ref="AC59" si="196">AC29+AC42+AC56+AC58</f>
        <v>-873</v>
      </c>
      <c r="AD59" s="880">
        <f t="shared" si="194"/>
        <v>-856</v>
      </c>
      <c r="AE59" s="719">
        <f t="shared" si="194"/>
        <v>-591</v>
      </c>
      <c r="AF59" s="719">
        <f t="shared" si="194"/>
        <v>2201</v>
      </c>
      <c r="AG59" s="879">
        <f t="shared" si="194"/>
        <v>-898</v>
      </c>
      <c r="AH59" s="880">
        <f t="shared" si="194"/>
        <v>945</v>
      </c>
      <c r="AI59" s="719">
        <f t="shared" ref="AI59:AK59" si="197">AI29+AI42+AI56+AI58</f>
        <v>644</v>
      </c>
      <c r="AJ59" s="719">
        <f t="shared" si="197"/>
        <v>2040</v>
      </c>
      <c r="AK59" s="879">
        <f t="shared" si="197"/>
        <v>618</v>
      </c>
      <c r="AL59" s="880">
        <f t="shared" si="194"/>
        <v>935</v>
      </c>
      <c r="AM59" s="719">
        <f t="shared" si="194"/>
        <v>-2692</v>
      </c>
      <c r="AN59" s="719">
        <f t="shared" si="194"/>
        <v>4842</v>
      </c>
      <c r="AO59" s="879">
        <f t="shared" si="194"/>
        <v>-703</v>
      </c>
      <c r="AP59" s="880">
        <f t="shared" ref="AP59:AQ59" si="198">AP29+AP42+AP56+AP58</f>
        <v>-2538</v>
      </c>
      <c r="AQ59" s="719">
        <f t="shared" si="198"/>
        <v>-160</v>
      </c>
      <c r="AR59" s="719">
        <f t="shared" ref="AR59:AS59" si="199">AR29+AR42+AR56+AR58</f>
        <v>4543.7456437109295</v>
      </c>
      <c r="AS59" s="879">
        <f t="shared" si="199"/>
        <v>1260.457368232675</v>
      </c>
      <c r="AT59" s="880">
        <f t="shared" ref="AT59:AW59" si="200">AT29+AT42+AT56+AT58</f>
        <v>1072.5063042454647</v>
      </c>
      <c r="AU59" s="719">
        <f t="shared" si="200"/>
        <v>864.13790027272546</v>
      </c>
      <c r="AV59" s="719">
        <f t="shared" si="200"/>
        <v>5000.7130426521999</v>
      </c>
      <c r="AW59" s="879">
        <f t="shared" si="200"/>
        <v>1006.5439275024501</v>
      </c>
      <c r="AX59" s="880">
        <f t="shared" ref="AX59:BA59" si="201">AX29+AX42+AX56+AX58</f>
        <v>1454.8937728383194</v>
      </c>
      <c r="AY59" s="719">
        <f t="shared" si="201"/>
        <v>929.67988945448633</v>
      </c>
      <c r="AZ59" s="719">
        <f t="shared" si="201"/>
        <v>5412.455755434743</v>
      </c>
      <c r="BA59" s="879">
        <f t="shared" si="201"/>
        <v>1181.3974749168181</v>
      </c>
      <c r="BB59" s="285"/>
      <c r="BC59" s="753"/>
      <c r="BD59" s="662">
        <f t="shared" si="185"/>
        <v>45591</v>
      </c>
      <c r="BE59" s="662">
        <f t="shared" si="186"/>
        <v>-109</v>
      </c>
      <c r="BF59" s="752">
        <f t="shared" si="187"/>
        <v>930</v>
      </c>
      <c r="BG59" s="965">
        <f t="shared" si="188"/>
        <v>721</v>
      </c>
      <c r="BH59" s="966">
        <f t="shared" si="189"/>
        <v>4345</v>
      </c>
      <c r="BI59" s="967">
        <f t="shared" si="190"/>
        <v>-3878</v>
      </c>
      <c r="BJ59" s="967">
        <f t="shared" si="191"/>
        <v>178</v>
      </c>
      <c r="BK59" s="967">
        <f t="shared" si="192"/>
        <v>-144</v>
      </c>
      <c r="BL59" s="967">
        <f t="shared" si="193"/>
        <v>4247</v>
      </c>
      <c r="BM59" s="967">
        <f>+SUM(AL59:AO59)</f>
        <v>2382</v>
      </c>
      <c r="BN59" s="967">
        <f>+SUM(AP59:AS59)</f>
        <v>3106.2030119436045</v>
      </c>
      <c r="BO59" s="967">
        <f>+SUM(AT59:AW59)</f>
        <v>7943.9011746728402</v>
      </c>
      <c r="BP59" s="967">
        <f>+SUM(AX59:BA59)</f>
        <v>8978.4268926443656</v>
      </c>
      <c r="BQ59" s="754"/>
      <c r="BR59" s="1391"/>
      <c r="BS59" s="193">
        <f t="shared" ref="BS59:CO59" si="202">+BS58+BS56+BS42+BS29</f>
        <v>0</v>
      </c>
      <c r="BT59" s="193">
        <f t="shared" si="202"/>
        <v>0</v>
      </c>
      <c r="BU59" s="211">
        <f t="shared" si="202"/>
        <v>0</v>
      </c>
      <c r="BV59" s="672">
        <f t="shared" si="202"/>
        <v>0</v>
      </c>
      <c r="BW59" s="211">
        <f t="shared" si="202"/>
        <v>0</v>
      </c>
      <c r="BX59" s="211">
        <f t="shared" si="202"/>
        <v>0</v>
      </c>
      <c r="BY59" s="211">
        <f t="shared" si="202"/>
        <v>0</v>
      </c>
      <c r="BZ59" s="672">
        <f t="shared" si="202"/>
        <v>0</v>
      </c>
      <c r="CA59" s="211">
        <f t="shared" si="202"/>
        <v>0</v>
      </c>
      <c r="CB59" s="211">
        <f t="shared" si="202"/>
        <v>0</v>
      </c>
      <c r="CC59" s="211">
        <f t="shared" si="202"/>
        <v>0</v>
      </c>
      <c r="CD59" s="672">
        <f t="shared" si="202"/>
        <v>0</v>
      </c>
      <c r="CE59" s="211">
        <f t="shared" si="202"/>
        <v>0</v>
      </c>
      <c r="CF59" s="211">
        <f t="shared" si="202"/>
        <v>0</v>
      </c>
      <c r="CG59" s="211">
        <f t="shared" si="202"/>
        <v>0</v>
      </c>
      <c r="CH59" s="672">
        <f t="shared" si="202"/>
        <v>0</v>
      </c>
      <c r="CI59" s="211">
        <f t="shared" si="202"/>
        <v>0</v>
      </c>
      <c r="CJ59" s="211">
        <f t="shared" si="202"/>
        <v>0</v>
      </c>
      <c r="CK59" s="211">
        <f t="shared" si="202"/>
        <v>0</v>
      </c>
      <c r="CL59" s="753">
        <f t="shared" si="202"/>
        <v>0</v>
      </c>
      <c r="CM59" s="880">
        <f t="shared" si="202"/>
        <v>-1239</v>
      </c>
      <c r="CN59" s="211">
        <f t="shared" si="202"/>
        <v>-4519</v>
      </c>
      <c r="CO59" s="324">
        <f t="shared" si="202"/>
        <v>-3385</v>
      </c>
      <c r="CP59" s="324">
        <f t="shared" ref="CP59:CT59" si="203">+CP58+CP56+CP42+CP29</f>
        <v>-3878</v>
      </c>
      <c r="CQ59" s="324">
        <f t="shared" si="203"/>
        <v>153</v>
      </c>
      <c r="CR59" s="211">
        <f t="shared" si="203"/>
        <v>-1382</v>
      </c>
      <c r="CS59" s="324">
        <f t="shared" si="203"/>
        <v>1051</v>
      </c>
      <c r="CT59" s="324">
        <f t="shared" si="203"/>
        <v>178</v>
      </c>
      <c r="CU59" s="755"/>
      <c r="CV59" s="324"/>
      <c r="CW59" s="324"/>
      <c r="CX59" s="757"/>
      <c r="CY59" s="752"/>
      <c r="CZ59" s="211"/>
      <c r="DA59" s="211"/>
      <c r="DB59" s="753"/>
      <c r="DC59" s="752"/>
      <c r="DD59" s="211"/>
      <c r="DE59" s="211"/>
      <c r="DF59" s="753"/>
      <c r="DG59" s="752"/>
      <c r="DH59" s="211"/>
      <c r="DI59" s="211"/>
      <c r="DJ59" s="753"/>
    </row>
    <row r="60" spans="1:220" ht="12" customHeight="1">
      <c r="A60" s="776"/>
      <c r="B60" s="707"/>
      <c r="C60" s="707"/>
      <c r="D60" s="707"/>
      <c r="E60" s="718"/>
      <c r="F60" s="875"/>
      <c r="G60" s="707"/>
      <c r="H60" s="707"/>
      <c r="I60" s="718"/>
      <c r="J60" s="875"/>
      <c r="K60" s="707"/>
      <c r="L60" s="707"/>
      <c r="M60" s="718"/>
      <c r="N60" s="875"/>
      <c r="O60" s="707"/>
      <c r="P60" s="707"/>
      <c r="Q60" s="718"/>
      <c r="R60" s="875"/>
      <c r="S60" s="707"/>
      <c r="T60" s="707"/>
      <c r="U60" s="718"/>
      <c r="V60" s="875"/>
      <c r="W60" s="707"/>
      <c r="X60" s="707"/>
      <c r="Y60" s="874"/>
      <c r="Z60" s="875"/>
      <c r="AA60" s="707"/>
      <c r="AB60" s="707"/>
      <c r="AC60" s="874"/>
      <c r="AD60" s="875"/>
      <c r="AE60" s="707"/>
      <c r="AF60" s="707"/>
      <c r="AG60" s="874"/>
      <c r="AH60" s="875"/>
      <c r="AI60" s="707"/>
      <c r="AJ60" s="707"/>
      <c r="AK60" s="874"/>
      <c r="AL60" s="875"/>
      <c r="AM60" s="707"/>
      <c r="AN60" s="707"/>
      <c r="AO60" s="874"/>
      <c r="AP60" s="875"/>
      <c r="AQ60" s="707"/>
      <c r="AR60" s="707"/>
      <c r="AS60" s="874"/>
      <c r="AT60" s="875"/>
      <c r="AU60" s="707"/>
      <c r="AV60" s="707"/>
      <c r="AW60" s="874"/>
      <c r="AX60" s="875"/>
      <c r="AY60" s="707"/>
      <c r="AZ60" s="707"/>
      <c r="BA60" s="874"/>
      <c r="BB60" s="766"/>
      <c r="BC60" s="440"/>
      <c r="BD60" s="741"/>
      <c r="BE60" s="741"/>
      <c r="BF60" s="438"/>
      <c r="BG60" s="968"/>
      <c r="BH60" s="957"/>
      <c r="BI60" s="957"/>
      <c r="BJ60" s="957"/>
      <c r="BK60" s="957"/>
      <c r="BL60" s="957"/>
      <c r="BM60" s="957"/>
      <c r="BN60" s="957"/>
      <c r="BO60" s="957"/>
      <c r="BP60" s="957"/>
      <c r="BS60" s="1382"/>
      <c r="BT60" s="1383"/>
      <c r="BU60" s="439"/>
      <c r="BV60" s="440"/>
      <c r="BW60" s="438"/>
      <c r="BX60" s="439"/>
      <c r="BY60" s="439"/>
      <c r="BZ60" s="440"/>
      <c r="CA60" s="438"/>
      <c r="CB60" s="439"/>
      <c r="CC60" s="439"/>
      <c r="CD60" s="440"/>
      <c r="CE60" s="743"/>
      <c r="CF60" s="414"/>
      <c r="CG60" s="414"/>
      <c r="CH60" s="744"/>
      <c r="CI60" s="743"/>
      <c r="CJ60" s="414"/>
      <c r="CK60" s="414"/>
      <c r="CL60" s="744"/>
      <c r="CM60" s="743"/>
      <c r="CN60" s="414"/>
      <c r="CO60" s="414"/>
      <c r="CP60" s="744"/>
      <c r="CQ60" s="743"/>
      <c r="CR60" s="414"/>
      <c r="CS60" s="414"/>
      <c r="CT60" s="744"/>
      <c r="CU60" s="743"/>
      <c r="CV60" s="414"/>
      <c r="CW60" s="414"/>
      <c r="CX60" s="744"/>
      <c r="CY60" s="743"/>
      <c r="CZ60" s="414"/>
      <c r="DA60" s="414"/>
      <c r="DB60" s="744"/>
      <c r="DC60" s="743"/>
      <c r="DD60" s="414"/>
      <c r="DE60" s="414"/>
      <c r="DF60" s="744"/>
      <c r="DG60" s="743"/>
      <c r="DH60" s="414"/>
      <c r="DI60" s="414"/>
      <c r="DJ60" s="744"/>
    </row>
    <row r="61" spans="1:220" ht="12" customHeight="1">
      <c r="A61" s="774" t="s">
        <v>350</v>
      </c>
      <c r="B61" s="884">
        <v>808</v>
      </c>
      <c r="C61" s="707">
        <f t="shared" ref="C61:AQ61" si="204">B62</f>
        <v>474</v>
      </c>
      <c r="D61" s="707">
        <f t="shared" si="204"/>
        <v>46095</v>
      </c>
      <c r="E61" s="718">
        <f t="shared" si="204"/>
        <v>47050</v>
      </c>
      <c r="F61" s="707">
        <f t="shared" si="204"/>
        <v>46399</v>
      </c>
      <c r="G61" s="707">
        <f t="shared" si="204"/>
        <v>46121</v>
      </c>
      <c r="H61" s="707">
        <f t="shared" si="204"/>
        <v>46153</v>
      </c>
      <c r="I61" s="718">
        <f t="shared" si="204"/>
        <v>47111</v>
      </c>
      <c r="J61" s="707">
        <f t="shared" si="204"/>
        <v>46290</v>
      </c>
      <c r="K61" s="707">
        <f t="shared" si="204"/>
        <v>46237</v>
      </c>
      <c r="L61" s="707">
        <f t="shared" si="204"/>
        <v>46289</v>
      </c>
      <c r="M61" s="718">
        <f t="shared" si="204"/>
        <v>47422</v>
      </c>
      <c r="N61" s="707">
        <f t="shared" si="204"/>
        <v>47220</v>
      </c>
      <c r="O61" s="707">
        <f t="shared" si="204"/>
        <v>46911</v>
      </c>
      <c r="P61" s="707">
        <f t="shared" si="204"/>
        <v>46898</v>
      </c>
      <c r="Q61" s="718">
        <f t="shared" si="204"/>
        <v>48718</v>
      </c>
      <c r="R61" s="707">
        <f t="shared" si="204"/>
        <v>47941</v>
      </c>
      <c r="S61" s="707">
        <f t="shared" si="204"/>
        <v>47432</v>
      </c>
      <c r="T61" s="707">
        <f t="shared" si="204"/>
        <v>47491</v>
      </c>
      <c r="U61" s="718">
        <f t="shared" si="204"/>
        <v>49149</v>
      </c>
      <c r="V61" s="707">
        <f t="shared" si="204"/>
        <v>52286</v>
      </c>
      <c r="W61" s="707">
        <f t="shared" si="204"/>
        <v>51047</v>
      </c>
      <c r="X61" s="707">
        <f t="shared" si="204"/>
        <v>47767</v>
      </c>
      <c r="Y61" s="874">
        <f t="shared" si="204"/>
        <v>48901</v>
      </c>
      <c r="Z61" s="707">
        <f t="shared" si="204"/>
        <v>48408</v>
      </c>
      <c r="AA61" s="707">
        <f t="shared" si="204"/>
        <v>48561</v>
      </c>
      <c r="AB61" s="707">
        <f t="shared" si="204"/>
        <v>47026</v>
      </c>
      <c r="AC61" s="874">
        <f t="shared" si="204"/>
        <v>49459</v>
      </c>
      <c r="AD61" s="875">
        <f t="shared" si="204"/>
        <v>48586</v>
      </c>
      <c r="AE61" s="707">
        <f t="shared" si="204"/>
        <v>47730</v>
      </c>
      <c r="AF61" s="707">
        <f t="shared" si="204"/>
        <v>47139</v>
      </c>
      <c r="AG61" s="874">
        <f t="shared" si="204"/>
        <v>49340</v>
      </c>
      <c r="AH61" s="875">
        <f t="shared" si="204"/>
        <v>48442</v>
      </c>
      <c r="AI61" s="707">
        <f t="shared" si="204"/>
        <v>49387</v>
      </c>
      <c r="AJ61" s="707">
        <f t="shared" si="204"/>
        <v>50031</v>
      </c>
      <c r="AK61" s="874">
        <f t="shared" si="204"/>
        <v>52071</v>
      </c>
      <c r="AL61" s="875">
        <f t="shared" si="204"/>
        <v>52689</v>
      </c>
      <c r="AM61" s="707">
        <f t="shared" si="204"/>
        <v>53624</v>
      </c>
      <c r="AN61" s="707">
        <f t="shared" si="204"/>
        <v>50932</v>
      </c>
      <c r="AO61" s="874">
        <f t="shared" si="204"/>
        <v>55774</v>
      </c>
      <c r="AP61" s="875">
        <f t="shared" si="204"/>
        <v>55071</v>
      </c>
      <c r="AQ61" s="707">
        <f t="shared" si="204"/>
        <v>52533</v>
      </c>
      <c r="AR61" s="707">
        <f t="shared" ref="AR61" si="205">AQ62</f>
        <v>52373</v>
      </c>
      <c r="AS61" s="874">
        <f t="shared" ref="AS61" si="206">AR62</f>
        <v>56916.745643710929</v>
      </c>
      <c r="AT61" s="875">
        <f t="shared" ref="AT61" si="207">AS62</f>
        <v>58177.203011943602</v>
      </c>
      <c r="AU61" s="707">
        <f t="shared" ref="AU61" si="208">AT62</f>
        <v>59249.709316189066</v>
      </c>
      <c r="AV61" s="707">
        <f t="shared" ref="AV61" si="209">AU62</f>
        <v>60113.847216461792</v>
      </c>
      <c r="AW61" s="874">
        <f t="shared" ref="AW61" si="210">AV62</f>
        <v>65114.56025911399</v>
      </c>
      <c r="AX61" s="875">
        <f t="shared" ref="AX61" si="211">AW62</f>
        <v>66121.104186616445</v>
      </c>
      <c r="AY61" s="707">
        <f t="shared" ref="AY61" si="212">AX62</f>
        <v>67575.997959454762</v>
      </c>
      <c r="AZ61" s="707">
        <f t="shared" ref="AZ61" si="213">AY62</f>
        <v>68505.677848909254</v>
      </c>
      <c r="BA61" s="874">
        <f t="shared" ref="BA61" si="214">AZ62</f>
        <v>73918.133604343995</v>
      </c>
      <c r="BB61" s="766"/>
      <c r="BC61" s="748"/>
      <c r="BD61" s="777">
        <f t="shared" ref="BD61:BJ61" si="215">BC62</f>
        <v>0</v>
      </c>
      <c r="BE61" s="777">
        <f t="shared" si="215"/>
        <v>45591</v>
      </c>
      <c r="BF61" s="777">
        <f t="shared" si="215"/>
        <v>45482</v>
      </c>
      <c r="BG61" s="968">
        <f t="shared" si="215"/>
        <v>46412</v>
      </c>
      <c r="BH61" s="957">
        <f t="shared" si="215"/>
        <v>47133</v>
      </c>
      <c r="BI61" s="957">
        <f t="shared" si="215"/>
        <v>52286</v>
      </c>
      <c r="BJ61" s="957">
        <f t="shared" si="215"/>
        <v>48408</v>
      </c>
      <c r="BK61" s="957">
        <f t="shared" ref="BK61:BP61" si="216">BJ62</f>
        <v>48586</v>
      </c>
      <c r="BL61" s="957">
        <f t="shared" si="216"/>
        <v>48442</v>
      </c>
      <c r="BM61" s="957">
        <f t="shared" si="216"/>
        <v>52689</v>
      </c>
      <c r="BN61" s="957">
        <f t="shared" si="216"/>
        <v>55071</v>
      </c>
      <c r="BO61" s="957">
        <f t="shared" si="216"/>
        <v>58177.203011943602</v>
      </c>
      <c r="BP61" s="957">
        <f t="shared" si="216"/>
        <v>66121.104186616445</v>
      </c>
      <c r="BS61" s="1384"/>
      <c r="BT61" s="1385"/>
      <c r="BU61" s="110"/>
      <c r="BV61" s="748"/>
      <c r="BW61" s="746"/>
      <c r="BX61" s="110"/>
      <c r="BY61" s="110"/>
      <c r="BZ61" s="748"/>
      <c r="CA61" s="746"/>
      <c r="CB61" s="110"/>
      <c r="CC61" s="110"/>
      <c r="CD61" s="748"/>
      <c r="CE61" s="749"/>
      <c r="CF61" s="327"/>
      <c r="CG61" s="327"/>
      <c r="CH61" s="751"/>
      <c r="CI61" s="749"/>
      <c r="CJ61" s="327"/>
      <c r="CK61" s="327"/>
      <c r="CL61" s="751"/>
      <c r="CM61" s="749"/>
      <c r="CN61" s="327"/>
      <c r="CO61" s="327"/>
      <c r="CP61" s="751"/>
      <c r="CQ61" s="749"/>
      <c r="CR61" s="327"/>
      <c r="CS61" s="327"/>
      <c r="CT61" s="751"/>
      <c r="CU61" s="749"/>
      <c r="CV61" s="327"/>
      <c r="CW61" s="327"/>
      <c r="CX61" s="751"/>
      <c r="CY61" s="749"/>
      <c r="CZ61" s="327"/>
      <c r="DA61" s="327"/>
      <c r="DB61" s="751"/>
      <c r="DC61" s="749"/>
      <c r="DD61" s="327"/>
      <c r="DE61" s="327">
        <v>7099</v>
      </c>
      <c r="DF61" s="751">
        <v>7099</v>
      </c>
      <c r="DG61" s="749"/>
      <c r="DH61" s="327"/>
      <c r="DI61" s="327"/>
      <c r="DJ61" s="751"/>
    </row>
    <row r="62" spans="1:220" ht="12" customHeight="1">
      <c r="A62" s="778" t="s">
        <v>351</v>
      </c>
      <c r="B62" s="898">
        <f t="shared" ref="B62:AO62" si="217">B61+B59</f>
        <v>474</v>
      </c>
      <c r="C62" s="898">
        <f t="shared" si="217"/>
        <v>46095</v>
      </c>
      <c r="D62" s="898">
        <f t="shared" si="217"/>
        <v>47050</v>
      </c>
      <c r="E62" s="898">
        <f t="shared" si="217"/>
        <v>46399</v>
      </c>
      <c r="F62" s="899">
        <f t="shared" si="217"/>
        <v>46121</v>
      </c>
      <c r="G62" s="898">
        <f t="shared" si="217"/>
        <v>46153</v>
      </c>
      <c r="H62" s="898">
        <f t="shared" si="217"/>
        <v>47111</v>
      </c>
      <c r="I62" s="898">
        <f t="shared" si="217"/>
        <v>46290</v>
      </c>
      <c r="J62" s="899">
        <f t="shared" si="217"/>
        <v>46237</v>
      </c>
      <c r="K62" s="898">
        <f t="shared" si="217"/>
        <v>46289</v>
      </c>
      <c r="L62" s="898">
        <f t="shared" si="217"/>
        <v>47422</v>
      </c>
      <c r="M62" s="898">
        <f t="shared" si="217"/>
        <v>47220</v>
      </c>
      <c r="N62" s="899">
        <f t="shared" si="217"/>
        <v>46911</v>
      </c>
      <c r="O62" s="898">
        <f t="shared" si="217"/>
        <v>46898</v>
      </c>
      <c r="P62" s="898">
        <f t="shared" si="217"/>
        <v>48718</v>
      </c>
      <c r="Q62" s="898">
        <f t="shared" si="217"/>
        <v>47941</v>
      </c>
      <c r="R62" s="899">
        <f t="shared" si="217"/>
        <v>47432</v>
      </c>
      <c r="S62" s="898">
        <f t="shared" si="217"/>
        <v>47491</v>
      </c>
      <c r="T62" s="898">
        <f t="shared" si="217"/>
        <v>49149</v>
      </c>
      <c r="U62" s="900">
        <f t="shared" si="217"/>
        <v>52286</v>
      </c>
      <c r="V62" s="899">
        <f t="shared" si="217"/>
        <v>51047</v>
      </c>
      <c r="W62" s="898">
        <f t="shared" si="217"/>
        <v>47767</v>
      </c>
      <c r="X62" s="898">
        <f t="shared" si="217"/>
        <v>48901</v>
      </c>
      <c r="Y62" s="901">
        <f t="shared" ref="Y62:AB62" si="218">Y61+Y59</f>
        <v>48408</v>
      </c>
      <c r="Z62" s="899">
        <f t="shared" si="218"/>
        <v>48561</v>
      </c>
      <c r="AA62" s="898">
        <f t="shared" si="218"/>
        <v>47026</v>
      </c>
      <c r="AB62" s="898">
        <f t="shared" si="218"/>
        <v>49459</v>
      </c>
      <c r="AC62" s="901">
        <f t="shared" si="217"/>
        <v>48586</v>
      </c>
      <c r="AD62" s="899">
        <f t="shared" si="217"/>
        <v>47730</v>
      </c>
      <c r="AE62" s="898">
        <f t="shared" si="217"/>
        <v>47139</v>
      </c>
      <c r="AF62" s="898">
        <f t="shared" si="217"/>
        <v>49340</v>
      </c>
      <c r="AG62" s="901">
        <f t="shared" si="217"/>
        <v>48442</v>
      </c>
      <c r="AH62" s="899">
        <f t="shared" si="217"/>
        <v>49387</v>
      </c>
      <c r="AI62" s="898">
        <f t="shared" si="217"/>
        <v>50031</v>
      </c>
      <c r="AJ62" s="898">
        <f t="shared" ref="AJ62:AK62" si="219">AJ61+AJ59</f>
        <v>52071</v>
      </c>
      <c r="AK62" s="901">
        <f t="shared" si="219"/>
        <v>52689</v>
      </c>
      <c r="AL62" s="899">
        <f t="shared" si="217"/>
        <v>53624</v>
      </c>
      <c r="AM62" s="898">
        <f t="shared" si="217"/>
        <v>50932</v>
      </c>
      <c r="AN62" s="898">
        <f t="shared" si="217"/>
        <v>55774</v>
      </c>
      <c r="AO62" s="901">
        <f t="shared" si="217"/>
        <v>55071</v>
      </c>
      <c r="AP62" s="899">
        <f t="shared" ref="AP62:AQ62" si="220">AP61+AP59</f>
        <v>52533</v>
      </c>
      <c r="AQ62" s="898">
        <f t="shared" si="220"/>
        <v>52373</v>
      </c>
      <c r="AR62" s="898">
        <f t="shared" ref="AR62:AS62" si="221">AR61+AR59</f>
        <v>56916.745643710929</v>
      </c>
      <c r="AS62" s="901">
        <f t="shared" si="221"/>
        <v>58177.203011943602</v>
      </c>
      <c r="AT62" s="899">
        <f t="shared" ref="AT62:AW62" si="222">AT61+AT59</f>
        <v>59249.709316189066</v>
      </c>
      <c r="AU62" s="898">
        <f t="shared" si="222"/>
        <v>60113.847216461792</v>
      </c>
      <c r="AV62" s="898">
        <f t="shared" si="222"/>
        <v>65114.56025911399</v>
      </c>
      <c r="AW62" s="901">
        <f t="shared" si="222"/>
        <v>66121.104186616445</v>
      </c>
      <c r="AX62" s="899">
        <f t="shared" ref="AX62:BA62" si="223">AX61+AX59</f>
        <v>67575.997959454762</v>
      </c>
      <c r="AY62" s="898">
        <f t="shared" si="223"/>
        <v>68505.677848909254</v>
      </c>
      <c r="AZ62" s="898">
        <f t="shared" si="223"/>
        <v>73918.133604343995</v>
      </c>
      <c r="BA62" s="901">
        <f t="shared" si="223"/>
        <v>75099.531079260807</v>
      </c>
      <c r="BB62" s="414"/>
      <c r="BC62" s="782"/>
      <c r="BD62" s="783">
        <f t="shared" ref="BD62:BF62" si="224">BD61+BD59</f>
        <v>45591</v>
      </c>
      <c r="BE62" s="783">
        <f t="shared" si="224"/>
        <v>45482</v>
      </c>
      <c r="BF62" s="783">
        <f t="shared" si="224"/>
        <v>46412</v>
      </c>
      <c r="BG62" s="969">
        <f>BG61+BG59</f>
        <v>47133</v>
      </c>
      <c r="BH62" s="969">
        <f>U62</f>
        <v>52286</v>
      </c>
      <c r="BI62" s="969">
        <f>Y62</f>
        <v>48408</v>
      </c>
      <c r="BJ62" s="969">
        <f>AC62</f>
        <v>48586</v>
      </c>
      <c r="BK62" s="969">
        <f>AG62</f>
        <v>48442</v>
      </c>
      <c r="BL62" s="969">
        <f>AK62</f>
        <v>52689</v>
      </c>
      <c r="BM62" s="969">
        <f>+AO62</f>
        <v>55071</v>
      </c>
      <c r="BN62" s="969">
        <f>+AS62</f>
        <v>58177.203011943602</v>
      </c>
      <c r="BO62" s="969">
        <f>+AW62</f>
        <v>66121.104186616445</v>
      </c>
      <c r="BP62" s="969">
        <f>+BA62</f>
        <v>75099.531079260807</v>
      </c>
      <c r="BS62" s="1392"/>
      <c r="BT62" s="1393"/>
      <c r="BU62" s="779"/>
      <c r="BV62" s="781"/>
      <c r="BW62" s="780"/>
      <c r="BX62" s="779"/>
      <c r="BY62" s="779"/>
      <c r="BZ62" s="781"/>
      <c r="CA62" s="780"/>
      <c r="CB62" s="779"/>
      <c r="CC62" s="779"/>
      <c r="CD62" s="781"/>
      <c r="CE62" s="784"/>
      <c r="CF62" s="785"/>
      <c r="CG62" s="785"/>
      <c r="CH62" s="786"/>
      <c r="CI62" s="784"/>
      <c r="CJ62" s="785"/>
      <c r="CK62" s="785"/>
      <c r="CL62" s="786"/>
      <c r="CM62" s="784"/>
      <c r="CN62" s="785"/>
      <c r="CO62" s="785"/>
      <c r="CP62" s="786"/>
      <c r="CQ62" s="784"/>
      <c r="CR62" s="785"/>
      <c r="CS62" s="785"/>
      <c r="CT62" s="786"/>
      <c r="CU62" s="784"/>
      <c r="CV62" s="785"/>
      <c r="CW62" s="785"/>
      <c r="CX62" s="786"/>
      <c r="CY62" s="784"/>
      <c r="CZ62" s="785"/>
      <c r="DA62" s="785"/>
      <c r="DB62" s="786"/>
      <c r="DC62" s="784"/>
      <c r="DD62" s="785"/>
      <c r="DE62" s="785">
        <v>10184</v>
      </c>
      <c r="DF62" s="786">
        <v>9481</v>
      </c>
      <c r="DG62" s="784"/>
      <c r="DH62" s="785"/>
      <c r="DI62" s="785"/>
      <c r="DJ62" s="786"/>
    </row>
    <row r="63" spans="1:220">
      <c r="A63" s="787"/>
      <c r="B63" s="788"/>
      <c r="C63" s="200"/>
      <c r="D63" s="200"/>
      <c r="E63" s="200"/>
      <c r="F63" s="200"/>
      <c r="G63" s="200"/>
      <c r="H63" s="200"/>
      <c r="I63" s="200"/>
      <c r="J63" s="200"/>
      <c r="K63" s="200"/>
      <c r="L63" s="200"/>
      <c r="M63" s="200"/>
      <c r="N63" s="384"/>
      <c r="O63" s="384"/>
      <c r="P63" s="384"/>
      <c r="Q63" s="384"/>
      <c r="R63" s="384"/>
      <c r="S63" s="384"/>
      <c r="T63" s="384"/>
      <c r="U63" s="384"/>
      <c r="V63" s="1230"/>
      <c r="W63" s="1204"/>
      <c r="X63" s="1204"/>
      <c r="Y63" s="1204"/>
      <c r="Z63" s="1230"/>
      <c r="AA63" s="1204"/>
      <c r="AB63" s="1204"/>
      <c r="AC63" s="1204"/>
      <c r="AD63" s="1204"/>
      <c r="AE63" s="1204"/>
      <c r="AF63" s="1204"/>
      <c r="AG63" s="1204"/>
      <c r="AH63" s="1204"/>
      <c r="AI63" s="1204"/>
      <c r="AJ63" s="1204"/>
      <c r="AK63" s="1204"/>
      <c r="AL63" s="1204"/>
      <c r="AM63" s="1204"/>
      <c r="AN63" s="1204"/>
      <c r="AO63" s="1204"/>
      <c r="AP63" s="1204"/>
      <c r="AQ63" s="1204"/>
      <c r="AR63" s="1204"/>
      <c r="AS63" s="1204"/>
      <c r="AT63" s="1204"/>
      <c r="AU63" s="1204"/>
      <c r="AV63" s="1204"/>
      <c r="AW63" s="1204"/>
      <c r="AX63" s="1204"/>
      <c r="AY63" s="1204"/>
      <c r="AZ63" s="1204"/>
      <c r="BA63" s="1204"/>
      <c r="BB63" s="200"/>
      <c r="BC63" s="200"/>
      <c r="BD63" s="200"/>
      <c r="BE63" s="200"/>
      <c r="BF63" s="200"/>
      <c r="BG63" s="200"/>
      <c r="BH63" s="200"/>
      <c r="BI63" s="1204"/>
      <c r="BJ63" s="1204"/>
      <c r="BK63" s="1204"/>
      <c r="BL63" s="1204"/>
      <c r="BM63" s="1204"/>
      <c r="BN63" s="1204"/>
      <c r="BO63" s="1204"/>
      <c r="BP63" s="1204"/>
      <c r="BQ63" s="384"/>
      <c r="BR63" s="1389"/>
      <c r="BS63" s="1389"/>
      <c r="BT63" s="1389"/>
      <c r="BU63" s="384"/>
      <c r="BV63" s="384"/>
      <c r="BW63" s="384"/>
      <c r="BX63" s="384"/>
      <c r="BY63" s="384"/>
      <c r="BZ63" s="384"/>
      <c r="CA63" s="384"/>
      <c r="CB63" s="384"/>
      <c r="CC63" s="384"/>
      <c r="CD63" s="384"/>
      <c r="CE63" s="384"/>
      <c r="CF63" s="384"/>
      <c r="CG63" s="384"/>
      <c r="CH63" s="384"/>
      <c r="CI63" s="384"/>
      <c r="CJ63" s="384"/>
      <c r="CK63" s="384"/>
      <c r="CL63" s="384"/>
      <c r="CM63" s="384"/>
      <c r="CN63" s="384"/>
      <c r="CO63" s="384"/>
      <c r="CP63" s="384"/>
      <c r="CQ63" s="384"/>
      <c r="CR63" s="384"/>
      <c r="CS63" s="384"/>
      <c r="CT63" s="384"/>
      <c r="CU63" s="384"/>
      <c r="CV63" s="384"/>
      <c r="CW63" s="384"/>
      <c r="CX63" s="384"/>
      <c r="CY63" s="384"/>
      <c r="CZ63" s="384"/>
      <c r="DA63" s="384"/>
      <c r="DB63" s="384"/>
      <c r="DC63" s="384"/>
      <c r="DD63" s="384"/>
      <c r="DE63" s="384"/>
      <c r="DF63" s="384"/>
      <c r="DG63" s="384"/>
      <c r="DH63" s="384"/>
      <c r="DI63" s="384"/>
      <c r="DJ63" s="384"/>
      <c r="DK63" s="384"/>
      <c r="DL63" s="384"/>
      <c r="DM63" s="384"/>
      <c r="DN63" s="384"/>
      <c r="DO63" s="384"/>
      <c r="DP63" s="384"/>
      <c r="DQ63" s="384"/>
      <c r="DR63" s="384"/>
      <c r="DS63" s="384"/>
      <c r="DT63" s="384"/>
      <c r="DU63" s="384"/>
      <c r="DV63" s="384"/>
      <c r="DW63" s="384"/>
      <c r="DX63" s="384"/>
      <c r="DY63" s="384"/>
      <c r="DZ63" s="384"/>
      <c r="EA63" s="384"/>
      <c r="EB63" s="384"/>
      <c r="EC63" s="384"/>
      <c r="ED63" s="384"/>
      <c r="EE63" s="384"/>
      <c r="EF63" s="384"/>
      <c r="EG63" s="384"/>
      <c r="EH63" s="384"/>
      <c r="EI63" s="384"/>
      <c r="EJ63" s="384"/>
      <c r="EK63" s="384"/>
      <c r="EL63" s="384"/>
      <c r="EM63" s="384"/>
      <c r="EN63" s="384"/>
      <c r="EO63" s="384"/>
      <c r="EP63" s="384"/>
      <c r="EQ63" s="384"/>
      <c r="ER63" s="384"/>
      <c r="ES63" s="384"/>
      <c r="ET63" s="384"/>
      <c r="EU63" s="384"/>
      <c r="EV63" s="384"/>
      <c r="EW63" s="384"/>
      <c r="EX63" s="384"/>
      <c r="EY63" s="384"/>
      <c r="EZ63" s="384"/>
      <c r="FA63" s="384"/>
      <c r="FB63" s="384"/>
      <c r="FC63" s="384"/>
      <c r="FD63" s="384"/>
      <c r="FE63" s="384"/>
      <c r="FF63" s="384"/>
      <c r="FG63" s="384"/>
      <c r="FH63" s="384"/>
      <c r="FI63" s="384"/>
      <c r="FJ63" s="384"/>
      <c r="FK63" s="384"/>
      <c r="FL63" s="384"/>
      <c r="FM63" s="384"/>
      <c r="FN63" s="384"/>
      <c r="FO63" s="384"/>
      <c r="FP63" s="384"/>
      <c r="FQ63" s="384"/>
      <c r="FR63" s="384"/>
      <c r="FS63" s="384"/>
      <c r="FT63" s="384"/>
      <c r="FU63" s="384"/>
      <c r="FV63" s="384"/>
      <c r="FW63" s="384"/>
      <c r="FX63" s="384"/>
      <c r="FY63" s="384"/>
      <c r="FZ63" s="384"/>
      <c r="GA63" s="384"/>
      <c r="GB63" s="384"/>
      <c r="GC63" s="384"/>
      <c r="GD63" s="384"/>
      <c r="GE63" s="384"/>
      <c r="GF63" s="384"/>
      <c r="GG63" s="384"/>
      <c r="GH63" s="384"/>
      <c r="GI63" s="384"/>
      <c r="GJ63" s="384"/>
      <c r="GK63" s="384"/>
      <c r="GL63" s="384"/>
      <c r="GM63" s="384"/>
      <c r="GN63" s="384"/>
      <c r="GO63" s="384"/>
      <c r="GP63" s="384"/>
      <c r="GQ63" s="384"/>
      <c r="GR63" s="384"/>
      <c r="GS63" s="384"/>
      <c r="GT63" s="384"/>
      <c r="GU63" s="384"/>
      <c r="GV63" s="384"/>
      <c r="GW63" s="384"/>
      <c r="GX63" s="384"/>
      <c r="GY63" s="384"/>
      <c r="GZ63" s="384"/>
      <c r="HA63" s="384"/>
      <c r="HB63" s="384"/>
      <c r="HC63" s="384"/>
      <c r="HD63" s="384"/>
      <c r="HE63" s="384"/>
      <c r="HF63" s="384"/>
      <c r="HG63" s="384"/>
      <c r="HH63" s="384"/>
      <c r="HI63" s="384"/>
      <c r="HJ63" s="384"/>
      <c r="HK63" s="384"/>
      <c r="HL63" s="384"/>
    </row>
    <row r="64" spans="1:220" ht="12" hidden="1" outlineLevel="1">
      <c r="A64" s="789" t="s">
        <v>352</v>
      </c>
      <c r="B64" s="790"/>
      <c r="C64" s="791"/>
      <c r="D64" s="791"/>
      <c r="E64" s="791"/>
      <c r="F64" s="790"/>
      <c r="G64" s="791"/>
      <c r="H64" s="791"/>
      <c r="I64" s="791"/>
      <c r="J64" s="790"/>
      <c r="K64" s="791"/>
      <c r="L64" s="791"/>
      <c r="M64" s="791"/>
      <c r="N64" s="792"/>
      <c r="O64" s="793"/>
      <c r="P64" s="793"/>
      <c r="Q64" s="793"/>
      <c r="R64" s="792"/>
      <c r="S64" s="793"/>
      <c r="T64" s="793"/>
      <c r="U64" s="793"/>
      <c r="V64" s="792"/>
      <c r="W64" s="793"/>
      <c r="X64" s="793"/>
      <c r="Y64" s="793"/>
      <c r="Z64" s="792"/>
      <c r="AA64" s="793"/>
      <c r="AB64" s="793"/>
      <c r="AC64" s="793"/>
      <c r="AD64" s="792"/>
      <c r="AE64" s="793"/>
      <c r="AF64" s="793"/>
      <c r="AG64" s="794"/>
      <c r="AH64" s="795"/>
      <c r="AI64" s="793"/>
      <c r="AJ64" s="793"/>
      <c r="AK64" s="794"/>
      <c r="AL64" s="795"/>
      <c r="AM64" s="793"/>
      <c r="AN64" s="793"/>
      <c r="AO64" s="794"/>
      <c r="AP64" s="795"/>
      <c r="AQ64" s="793"/>
      <c r="AR64" s="793"/>
      <c r="AS64" s="794"/>
      <c r="AT64" s="795"/>
      <c r="AU64" s="793"/>
      <c r="AV64" s="793"/>
      <c r="AW64" s="794"/>
      <c r="AX64" s="795"/>
      <c r="AY64" s="793"/>
      <c r="AZ64" s="793"/>
      <c r="BA64" s="794"/>
      <c r="BB64" s="796"/>
      <c r="BC64" s="797"/>
      <c r="BD64" s="797"/>
      <c r="BE64" s="797"/>
      <c r="BF64" s="797"/>
      <c r="BG64" s="798"/>
      <c r="BH64" s="798"/>
      <c r="BI64" s="798"/>
      <c r="BJ64" s="798"/>
      <c r="BK64" s="798"/>
      <c r="BL64" s="798"/>
      <c r="BM64" s="798"/>
      <c r="BN64" s="798"/>
      <c r="BO64" s="798"/>
      <c r="BP64" s="798"/>
      <c r="BQ64" s="384"/>
      <c r="BR64" s="1389"/>
      <c r="BS64" s="1394"/>
      <c r="BT64" s="1395"/>
      <c r="BU64" s="800"/>
      <c r="BV64" s="801"/>
      <c r="BW64" s="799"/>
      <c r="BX64" s="800"/>
      <c r="BY64" s="800"/>
      <c r="BZ64" s="801"/>
      <c r="CA64" s="799"/>
      <c r="CB64" s="800"/>
      <c r="CC64" s="800"/>
      <c r="CD64" s="801"/>
      <c r="CE64" s="795"/>
      <c r="CF64" s="793"/>
      <c r="CG64" s="793"/>
      <c r="CH64" s="794"/>
      <c r="CI64" s="793"/>
      <c r="CJ64" s="793"/>
      <c r="CK64" s="793"/>
      <c r="CL64" s="794"/>
      <c r="CM64" s="793"/>
      <c r="CN64" s="802"/>
      <c r="CO64" s="793"/>
      <c r="CP64" s="794"/>
      <c r="CQ64" s="793"/>
      <c r="CR64" s="793"/>
      <c r="CS64" s="793"/>
      <c r="CT64" s="794"/>
      <c r="CU64" s="793"/>
      <c r="CV64" s="793"/>
      <c r="CW64" s="793"/>
      <c r="CX64" s="794"/>
      <c r="CY64" s="793"/>
      <c r="CZ64" s="793"/>
      <c r="DA64" s="793"/>
      <c r="DB64" s="794"/>
      <c r="DC64" s="793"/>
      <c r="DD64" s="793"/>
      <c r="DE64" s="793"/>
      <c r="DF64" s="794"/>
      <c r="DG64" s="793"/>
      <c r="DH64" s="793"/>
      <c r="DI64" s="793"/>
      <c r="DJ64" s="794"/>
      <c r="DK64" s="384"/>
      <c r="DL64" s="384"/>
      <c r="DM64" s="384"/>
      <c r="DN64" s="384"/>
      <c r="DO64" s="384"/>
      <c r="DP64" s="384"/>
      <c r="DQ64" s="384"/>
      <c r="DR64" s="384"/>
      <c r="DS64" s="384"/>
      <c r="DT64" s="384"/>
      <c r="DU64" s="384"/>
      <c r="DV64" s="384"/>
      <c r="DW64" s="384"/>
      <c r="DX64" s="384"/>
      <c r="DY64" s="384"/>
      <c r="DZ64" s="384"/>
      <c r="EA64" s="384"/>
      <c r="EB64" s="384"/>
      <c r="EC64" s="384"/>
      <c r="ED64" s="384"/>
      <c r="EE64" s="384"/>
      <c r="EF64" s="384"/>
      <c r="EG64" s="384"/>
      <c r="EH64" s="384"/>
      <c r="EI64" s="384"/>
      <c r="EJ64" s="384"/>
      <c r="EK64" s="384"/>
      <c r="EL64" s="384"/>
      <c r="EM64" s="384"/>
      <c r="EN64" s="384"/>
      <c r="EO64" s="384"/>
      <c r="EP64" s="384"/>
      <c r="EQ64" s="384"/>
      <c r="ER64" s="384"/>
      <c r="ES64" s="384"/>
      <c r="ET64" s="384"/>
      <c r="EU64" s="384"/>
      <c r="EV64" s="384"/>
      <c r="EW64" s="384"/>
      <c r="EX64" s="384"/>
      <c r="EY64" s="384"/>
      <c r="EZ64" s="384"/>
      <c r="FA64" s="384"/>
      <c r="FB64" s="384"/>
      <c r="FC64" s="384"/>
      <c r="FD64" s="384"/>
      <c r="FE64" s="384"/>
      <c r="FF64" s="384"/>
      <c r="FG64" s="384"/>
      <c r="FH64" s="384"/>
      <c r="FI64" s="384"/>
      <c r="FJ64" s="384"/>
      <c r="FK64" s="384"/>
      <c r="FL64" s="384"/>
      <c r="FM64" s="384"/>
      <c r="FN64" s="384"/>
      <c r="FO64" s="384"/>
      <c r="FP64" s="384"/>
      <c r="FQ64" s="384"/>
      <c r="FR64" s="384"/>
      <c r="FS64" s="384"/>
      <c r="FT64" s="384"/>
      <c r="FU64" s="384"/>
      <c r="FV64" s="384"/>
      <c r="FW64" s="384"/>
      <c r="FX64" s="384"/>
      <c r="FY64" s="384"/>
      <c r="FZ64" s="384"/>
      <c r="GA64" s="384"/>
      <c r="GB64" s="384"/>
      <c r="GC64" s="384"/>
      <c r="GD64" s="384"/>
      <c r="GE64" s="384"/>
      <c r="GF64" s="384"/>
      <c r="GG64" s="384"/>
      <c r="GH64" s="384"/>
      <c r="GI64" s="384"/>
      <c r="GJ64" s="384"/>
      <c r="GK64" s="384"/>
      <c r="GL64" s="384"/>
      <c r="GM64" s="384"/>
      <c r="GN64" s="384"/>
      <c r="GO64" s="384"/>
      <c r="GP64" s="384"/>
      <c r="GQ64" s="384"/>
      <c r="GR64" s="384"/>
      <c r="GS64" s="384"/>
      <c r="GT64" s="384"/>
      <c r="GU64" s="384"/>
      <c r="GV64" s="384"/>
      <c r="GW64" s="384"/>
      <c r="GX64" s="384"/>
      <c r="GY64" s="384"/>
      <c r="GZ64" s="384"/>
      <c r="HA64" s="384"/>
      <c r="HB64" s="384"/>
      <c r="HC64" s="384"/>
      <c r="HD64" s="384"/>
      <c r="HE64" s="384"/>
      <c r="HF64" s="384"/>
      <c r="HG64" s="384"/>
      <c r="HH64" s="384"/>
      <c r="HI64" s="384"/>
      <c r="HJ64" s="384"/>
      <c r="HK64" s="384"/>
      <c r="HL64" s="384"/>
    </row>
    <row r="65" spans="1:220" ht="12" hidden="1" outlineLevel="1">
      <c r="A65" s="765" t="s">
        <v>353</v>
      </c>
      <c r="B65" s="788"/>
      <c r="C65" s="200"/>
      <c r="D65" s="200"/>
      <c r="E65" s="200"/>
      <c r="F65" s="746"/>
      <c r="G65" s="110"/>
      <c r="H65" s="110"/>
      <c r="I65" s="110"/>
      <c r="J65" s="746"/>
      <c r="K65" s="110"/>
      <c r="L65" s="110"/>
      <c r="M65" s="110"/>
      <c r="N65" s="746">
        <f>+CE65</f>
        <v>0</v>
      </c>
      <c r="O65" s="110">
        <f>+CF65-CE65</f>
        <v>0</v>
      </c>
      <c r="P65" s="110">
        <f>+CG65-CF65</f>
        <v>0</v>
      </c>
      <c r="Q65" s="110">
        <f>+CH65-CG65</f>
        <v>0</v>
      </c>
      <c r="R65" s="746">
        <f>+CI65</f>
        <v>0</v>
      </c>
      <c r="S65" s="110">
        <f>+CJ65-CI65</f>
        <v>0</v>
      </c>
      <c r="T65" s="110">
        <f>+CK65-CJ65</f>
        <v>0</v>
      </c>
      <c r="U65" s="748">
        <f>+CL65-CK65</f>
        <v>0</v>
      </c>
      <c r="V65" s="746">
        <f>+CM65</f>
        <v>0</v>
      </c>
      <c r="W65" s="384">
        <f t="shared" ref="W65:W66" si="225">+CN65-CM65</f>
        <v>0</v>
      </c>
      <c r="X65" s="384"/>
      <c r="Y65" s="384"/>
      <c r="Z65" s="746">
        <f>+CQ65</f>
        <v>0</v>
      </c>
      <c r="AA65" s="384">
        <f t="shared" ref="AA65:AA66" si="226">+CR65-CQ65</f>
        <v>0</v>
      </c>
      <c r="AB65" s="384"/>
      <c r="AC65" s="384"/>
      <c r="AD65" s="803"/>
      <c r="AE65" s="384"/>
      <c r="AF65" s="384"/>
      <c r="AG65" s="804"/>
      <c r="AH65" s="803"/>
      <c r="AI65" s="384"/>
      <c r="AJ65" s="384"/>
      <c r="AK65" s="804"/>
      <c r="AL65" s="803"/>
      <c r="AM65" s="384"/>
      <c r="AN65" s="384"/>
      <c r="AO65" s="804"/>
      <c r="AP65" s="803"/>
      <c r="AQ65" s="384"/>
      <c r="AR65" s="384"/>
      <c r="AS65" s="804"/>
      <c r="AT65" s="803"/>
      <c r="AU65" s="384"/>
      <c r="AV65" s="384"/>
      <c r="AW65" s="804"/>
      <c r="AX65" s="803"/>
      <c r="AY65" s="384"/>
      <c r="AZ65" s="384"/>
      <c r="BA65" s="804"/>
      <c r="BB65" s="796"/>
      <c r="BC65" s="805"/>
      <c r="BD65" s="805"/>
      <c r="BE65" s="805"/>
      <c r="BF65" s="805"/>
      <c r="BG65" s="670">
        <f>SUM(N65:Q65)</f>
        <v>0</v>
      </c>
      <c r="BH65" s="751">
        <f>SUM(R65:U65)</f>
        <v>0</v>
      </c>
      <c r="BI65" s="751">
        <f>SUM(V65:Y65)</f>
        <v>0</v>
      </c>
      <c r="BJ65" s="751">
        <f>SUM(Z65:AC65)</f>
        <v>0</v>
      </c>
      <c r="BK65" s="806">
        <f>SUM(AD65:AG65)</f>
        <v>0</v>
      </c>
      <c r="BL65" s="796">
        <f t="shared" ref="BL65:BL66" si="227">+SUM(AH65:AK65)</f>
        <v>0</v>
      </c>
      <c r="BM65" s="796">
        <f>+SUM(AL65:AO65)</f>
        <v>0</v>
      </c>
      <c r="BN65" s="796">
        <f>+SUM(AP65:AS65)</f>
        <v>0</v>
      </c>
      <c r="BO65" s="796">
        <f>+SUM(AT65:AW65)</f>
        <v>0</v>
      </c>
      <c r="BP65" s="796">
        <f>+SUM(AX65:BA65)</f>
        <v>0</v>
      </c>
      <c r="BQ65" s="384"/>
      <c r="BR65" s="1389"/>
      <c r="BS65" s="1396"/>
      <c r="BT65" s="1397"/>
      <c r="BU65" s="808"/>
      <c r="BV65" s="809"/>
      <c r="BW65" s="807"/>
      <c r="BX65" s="808"/>
      <c r="BY65" s="808"/>
      <c r="BZ65" s="809"/>
      <c r="CA65" s="808"/>
      <c r="CB65" s="808"/>
      <c r="CC65" s="808"/>
      <c r="CD65" s="809"/>
      <c r="CE65" s="750"/>
      <c r="CF65" s="327"/>
      <c r="CG65" s="110"/>
      <c r="CH65" s="203"/>
      <c r="CI65" s="110"/>
      <c r="CJ65" s="110"/>
      <c r="CK65" s="110"/>
      <c r="CL65" s="203"/>
      <c r="CM65" s="110"/>
      <c r="CN65" s="110"/>
      <c r="CO65" s="327"/>
      <c r="CP65" s="806"/>
      <c r="CQ65" s="384"/>
      <c r="CR65" s="384"/>
      <c r="CS65" s="384"/>
      <c r="CT65" s="804"/>
      <c r="CU65" s="384"/>
      <c r="CV65" s="384"/>
      <c r="CW65" s="384"/>
      <c r="CX65" s="804"/>
      <c r="CY65" s="384"/>
      <c r="CZ65" s="384"/>
      <c r="DA65" s="384"/>
      <c r="DB65" s="804"/>
      <c r="DC65" s="384"/>
      <c r="DD65" s="384"/>
      <c r="DE65" s="384"/>
      <c r="DF65" s="804"/>
      <c r="DG65" s="384"/>
      <c r="DH65" s="384"/>
      <c r="DI65" s="384"/>
      <c r="DJ65" s="804"/>
      <c r="DK65" s="384"/>
      <c r="DL65" s="384"/>
      <c r="DM65" s="384"/>
      <c r="DN65" s="384"/>
      <c r="DO65" s="384"/>
      <c r="DP65" s="384"/>
      <c r="DQ65" s="384"/>
      <c r="DR65" s="384"/>
      <c r="DS65" s="384"/>
      <c r="DT65" s="384"/>
      <c r="DU65" s="384"/>
      <c r="DV65" s="384"/>
      <c r="DW65" s="384"/>
      <c r="DX65" s="384"/>
      <c r="DY65" s="384"/>
      <c r="DZ65" s="384"/>
      <c r="EA65" s="384"/>
      <c r="EB65" s="384"/>
      <c r="EC65" s="384"/>
      <c r="ED65" s="384"/>
      <c r="EE65" s="384"/>
      <c r="EF65" s="384"/>
      <c r="EG65" s="384"/>
      <c r="EH65" s="384"/>
      <c r="EI65" s="384"/>
      <c r="EJ65" s="384"/>
      <c r="EK65" s="384"/>
      <c r="EL65" s="384"/>
      <c r="EM65" s="384"/>
      <c r="EN65" s="384"/>
      <c r="EO65" s="384"/>
      <c r="EP65" s="384"/>
      <c r="EQ65" s="384"/>
      <c r="ER65" s="384"/>
      <c r="ES65" s="384"/>
      <c r="ET65" s="384"/>
      <c r="EU65" s="384"/>
      <c r="EV65" s="384"/>
      <c r="EW65" s="384"/>
      <c r="EX65" s="384"/>
      <c r="EY65" s="384"/>
      <c r="EZ65" s="384"/>
      <c r="FA65" s="384"/>
      <c r="FB65" s="384"/>
      <c r="FC65" s="384"/>
      <c r="FD65" s="384"/>
      <c r="FE65" s="384"/>
      <c r="FF65" s="384"/>
      <c r="FG65" s="384"/>
      <c r="FH65" s="384"/>
      <c r="FI65" s="384"/>
      <c r="FJ65" s="384"/>
      <c r="FK65" s="384"/>
      <c r="FL65" s="384"/>
      <c r="FM65" s="384"/>
      <c r="FN65" s="384"/>
      <c r="FO65" s="384"/>
      <c r="FP65" s="384"/>
      <c r="FQ65" s="384"/>
      <c r="FR65" s="384"/>
      <c r="FS65" s="384"/>
      <c r="FT65" s="384"/>
      <c r="FU65" s="384"/>
      <c r="FV65" s="384"/>
      <c r="FW65" s="384"/>
      <c r="FX65" s="384"/>
      <c r="FY65" s="384"/>
      <c r="FZ65" s="384"/>
      <c r="GA65" s="384"/>
      <c r="GB65" s="384"/>
      <c r="GC65" s="384"/>
      <c r="GD65" s="384"/>
      <c r="GE65" s="384"/>
      <c r="GF65" s="384"/>
      <c r="GG65" s="384"/>
      <c r="GH65" s="384"/>
      <c r="GI65" s="384"/>
      <c r="GJ65" s="384"/>
      <c r="GK65" s="384"/>
      <c r="GL65" s="384"/>
      <c r="GM65" s="384"/>
      <c r="GN65" s="384"/>
      <c r="GO65" s="384"/>
      <c r="GP65" s="384"/>
      <c r="GQ65" s="384"/>
      <c r="GR65" s="384"/>
      <c r="GS65" s="384"/>
      <c r="GT65" s="384"/>
      <c r="GU65" s="384"/>
      <c r="GV65" s="384"/>
      <c r="GW65" s="384"/>
      <c r="GX65" s="384"/>
      <c r="GY65" s="384"/>
      <c r="GZ65" s="384"/>
      <c r="HA65" s="384"/>
      <c r="HB65" s="384"/>
      <c r="HC65" s="384"/>
      <c r="HD65" s="384"/>
      <c r="HE65" s="384"/>
      <c r="HF65" s="384"/>
      <c r="HG65" s="384"/>
      <c r="HH65" s="384"/>
      <c r="HI65" s="384"/>
      <c r="HJ65" s="384"/>
      <c r="HK65" s="384"/>
      <c r="HL65" s="384"/>
    </row>
    <row r="66" spans="1:220" ht="12" hidden="1" outlineLevel="1">
      <c r="A66" s="810" t="s">
        <v>354</v>
      </c>
      <c r="B66" s="811"/>
      <c r="C66" s="812"/>
      <c r="D66" s="812"/>
      <c r="E66" s="812"/>
      <c r="F66" s="813"/>
      <c r="G66" s="814"/>
      <c r="H66" s="814"/>
      <c r="I66" s="814"/>
      <c r="J66" s="813"/>
      <c r="K66" s="814"/>
      <c r="L66" s="814"/>
      <c r="M66" s="814"/>
      <c r="N66" s="813">
        <f t="shared" ref="N66" si="228">+CE66</f>
        <v>0</v>
      </c>
      <c r="O66" s="814">
        <f t="shared" ref="O66:Q66" si="229">+CF66-CE66</f>
        <v>0</v>
      </c>
      <c r="P66" s="814">
        <f t="shared" si="229"/>
        <v>0</v>
      </c>
      <c r="Q66" s="814">
        <f t="shared" si="229"/>
        <v>0</v>
      </c>
      <c r="R66" s="813">
        <f t="shared" ref="R66" si="230">+CI66</f>
        <v>0</v>
      </c>
      <c r="S66" s="814">
        <f t="shared" ref="S66:U66" si="231">+CJ66-CI66</f>
        <v>0</v>
      </c>
      <c r="T66" s="814">
        <f t="shared" si="231"/>
        <v>0</v>
      </c>
      <c r="U66" s="815">
        <f t="shared" si="231"/>
        <v>0</v>
      </c>
      <c r="V66" s="813">
        <f t="shared" ref="V66" si="232">+CM66</f>
        <v>0</v>
      </c>
      <c r="W66" s="817">
        <f t="shared" si="225"/>
        <v>0</v>
      </c>
      <c r="X66" s="817"/>
      <c r="Y66" s="817"/>
      <c r="Z66" s="813">
        <f t="shared" ref="Z66" si="233">+CQ66</f>
        <v>0</v>
      </c>
      <c r="AA66" s="817">
        <f t="shared" si="226"/>
        <v>0</v>
      </c>
      <c r="AB66" s="817"/>
      <c r="AC66" s="817"/>
      <c r="AD66" s="816"/>
      <c r="AE66" s="817"/>
      <c r="AF66" s="817"/>
      <c r="AG66" s="818"/>
      <c r="AH66" s="816"/>
      <c r="AI66" s="817"/>
      <c r="AJ66" s="817"/>
      <c r="AK66" s="818"/>
      <c r="AL66" s="816"/>
      <c r="AM66" s="817"/>
      <c r="AN66" s="817"/>
      <c r="AO66" s="818"/>
      <c r="AP66" s="816"/>
      <c r="AQ66" s="817"/>
      <c r="AR66" s="817"/>
      <c r="AS66" s="818"/>
      <c r="AT66" s="816"/>
      <c r="AU66" s="817"/>
      <c r="AV66" s="817"/>
      <c r="AW66" s="818"/>
      <c r="AX66" s="816"/>
      <c r="AY66" s="817"/>
      <c r="AZ66" s="817"/>
      <c r="BA66" s="818"/>
      <c r="BB66" s="796"/>
      <c r="BC66" s="819"/>
      <c r="BD66" s="819"/>
      <c r="BE66" s="819"/>
      <c r="BF66" s="819"/>
      <c r="BG66" s="820">
        <f t="shared" ref="BG66" si="234">SUM(N66:Q66)</f>
        <v>0</v>
      </c>
      <c r="BH66" s="821">
        <f t="shared" ref="BH66" si="235">SUM(R66:U66)</f>
        <v>0</v>
      </c>
      <c r="BI66" s="821">
        <f t="shared" ref="BI66" si="236">SUM(V66:Y66)</f>
        <v>0</v>
      </c>
      <c r="BJ66" s="821">
        <f t="shared" ref="BJ66" si="237">SUM(Z66:AC66)</f>
        <v>0</v>
      </c>
      <c r="BK66" s="822">
        <f t="shared" ref="BK66" si="238">SUM(AD66:AG66)</f>
        <v>0</v>
      </c>
      <c r="BL66" s="823">
        <f t="shared" si="227"/>
        <v>0</v>
      </c>
      <c r="BM66" s="823">
        <f>+SUM(AL66:AO66)</f>
        <v>0</v>
      </c>
      <c r="BN66" s="823">
        <f>+SUM(AP66:AS66)</f>
        <v>0</v>
      </c>
      <c r="BO66" s="823">
        <f>+SUM(AT66:AW66)</f>
        <v>0</v>
      </c>
      <c r="BP66" s="823">
        <f>+SUM(AX66:BA66)</f>
        <v>0</v>
      </c>
      <c r="BQ66" s="384"/>
      <c r="BR66" s="1389"/>
      <c r="BS66" s="1398"/>
      <c r="BT66" s="1399"/>
      <c r="BU66" s="825"/>
      <c r="BV66" s="826"/>
      <c r="BW66" s="824"/>
      <c r="BX66" s="825"/>
      <c r="BY66" s="825"/>
      <c r="BZ66" s="826"/>
      <c r="CA66" s="825"/>
      <c r="CB66" s="825"/>
      <c r="CC66" s="825"/>
      <c r="CD66" s="826"/>
      <c r="CE66" s="827"/>
      <c r="CF66" s="828"/>
      <c r="CG66" s="814"/>
      <c r="CH66" s="829"/>
      <c r="CI66" s="814"/>
      <c r="CJ66" s="814"/>
      <c r="CK66" s="814"/>
      <c r="CL66" s="829"/>
      <c r="CM66" s="814"/>
      <c r="CN66" s="814"/>
      <c r="CO66" s="828"/>
      <c r="CP66" s="822"/>
      <c r="CQ66" s="817"/>
      <c r="CR66" s="817"/>
      <c r="CS66" s="817"/>
      <c r="CT66" s="818"/>
      <c r="CU66" s="817"/>
      <c r="CV66" s="817"/>
      <c r="CW66" s="817"/>
      <c r="CX66" s="818"/>
      <c r="CY66" s="817"/>
      <c r="CZ66" s="817"/>
      <c r="DA66" s="817"/>
      <c r="DB66" s="818"/>
      <c r="DC66" s="817"/>
      <c r="DD66" s="817"/>
      <c r="DE66" s="817"/>
      <c r="DF66" s="818"/>
      <c r="DG66" s="817"/>
      <c r="DH66" s="817"/>
      <c r="DI66" s="817"/>
      <c r="DJ66" s="818"/>
      <c r="DK66" s="384"/>
      <c r="DL66" s="384"/>
      <c r="DM66" s="384"/>
      <c r="DN66" s="384"/>
      <c r="DO66" s="384"/>
      <c r="DP66" s="384"/>
      <c r="DQ66" s="384"/>
      <c r="DR66" s="384"/>
      <c r="DS66" s="384"/>
      <c r="DT66" s="384"/>
      <c r="DU66" s="384"/>
      <c r="DV66" s="384"/>
      <c r="DW66" s="384"/>
      <c r="DX66" s="384"/>
      <c r="DY66" s="384"/>
      <c r="DZ66" s="384"/>
      <c r="EA66" s="384"/>
      <c r="EB66" s="384"/>
      <c r="EC66" s="384"/>
      <c r="ED66" s="384"/>
      <c r="EE66" s="384"/>
      <c r="EF66" s="384"/>
      <c r="EG66" s="384"/>
      <c r="EH66" s="384"/>
      <c r="EI66" s="384"/>
      <c r="EJ66" s="384"/>
      <c r="EK66" s="384"/>
      <c r="EL66" s="384"/>
      <c r="EM66" s="384"/>
      <c r="EN66" s="384"/>
      <c r="EO66" s="384"/>
      <c r="EP66" s="384"/>
      <c r="EQ66" s="384"/>
      <c r="ER66" s="384"/>
      <c r="ES66" s="384"/>
      <c r="ET66" s="384"/>
      <c r="EU66" s="384"/>
      <c r="EV66" s="384"/>
      <c r="EW66" s="384"/>
      <c r="EX66" s="384"/>
      <c r="EY66" s="384"/>
      <c r="EZ66" s="384"/>
      <c r="FA66" s="384"/>
      <c r="FB66" s="384"/>
      <c r="FC66" s="384"/>
      <c r="FD66" s="384"/>
      <c r="FE66" s="384"/>
      <c r="FF66" s="384"/>
      <c r="FG66" s="384"/>
      <c r="FH66" s="384"/>
      <c r="FI66" s="384"/>
      <c r="FJ66" s="384"/>
      <c r="FK66" s="384"/>
      <c r="FL66" s="384"/>
      <c r="FM66" s="384"/>
      <c r="FN66" s="384"/>
      <c r="FO66" s="384"/>
      <c r="FP66" s="384"/>
      <c r="FQ66" s="384"/>
      <c r="FR66" s="384"/>
      <c r="FS66" s="384"/>
      <c r="FT66" s="384"/>
      <c r="FU66" s="384"/>
      <c r="FV66" s="384"/>
      <c r="FW66" s="384"/>
      <c r="FX66" s="384"/>
      <c r="FY66" s="384"/>
      <c r="FZ66" s="384"/>
      <c r="GA66" s="384"/>
      <c r="GB66" s="384"/>
      <c r="GC66" s="384"/>
      <c r="GD66" s="384"/>
      <c r="GE66" s="384"/>
      <c r="GF66" s="384"/>
      <c r="GG66" s="384"/>
      <c r="GH66" s="384"/>
      <c r="GI66" s="384"/>
      <c r="GJ66" s="384"/>
      <c r="GK66" s="384"/>
      <c r="GL66" s="384"/>
      <c r="GM66" s="384"/>
      <c r="GN66" s="384"/>
      <c r="GO66" s="384"/>
      <c r="GP66" s="384"/>
      <c r="GQ66" s="384"/>
      <c r="GR66" s="384"/>
      <c r="GS66" s="384"/>
      <c r="GT66" s="384"/>
      <c r="GU66" s="384"/>
      <c r="GV66" s="384"/>
      <c r="GW66" s="384"/>
      <c r="GX66" s="384"/>
      <c r="GY66" s="384"/>
      <c r="GZ66" s="384"/>
      <c r="HA66" s="384"/>
      <c r="HB66" s="384"/>
      <c r="HC66" s="384"/>
      <c r="HD66" s="384"/>
      <c r="HE66" s="384"/>
      <c r="HF66" s="384"/>
      <c r="HG66" s="384"/>
      <c r="HH66" s="384"/>
      <c r="HI66" s="384"/>
      <c r="HJ66" s="384"/>
      <c r="HK66" s="384"/>
      <c r="HL66" s="384"/>
    </row>
    <row r="67" spans="1:220" hidden="1" outlineLevel="1">
      <c r="A67" s="787"/>
      <c r="B67" s="788"/>
      <c r="C67" s="200"/>
      <c r="D67" s="200"/>
      <c r="E67" s="200"/>
      <c r="F67" s="200"/>
      <c r="G67" s="200"/>
      <c r="H67" s="200"/>
      <c r="I67" s="200"/>
      <c r="J67" s="200"/>
      <c r="K67" s="200"/>
      <c r="L67" s="200"/>
      <c r="M67" s="200"/>
      <c r="N67" s="384"/>
      <c r="O67" s="384"/>
      <c r="P67" s="384"/>
      <c r="Q67" s="384"/>
      <c r="R67" s="384"/>
      <c r="S67" s="384"/>
      <c r="T67" s="384"/>
      <c r="U67" s="384"/>
      <c r="V67" s="384"/>
      <c r="W67" s="384"/>
      <c r="X67" s="384"/>
      <c r="Y67" s="384"/>
      <c r="Z67" s="384"/>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84"/>
      <c r="AX67" s="384"/>
      <c r="AY67" s="384"/>
      <c r="AZ67" s="384"/>
      <c r="BA67" s="384"/>
      <c r="BB67" s="384"/>
      <c r="BC67" s="200"/>
      <c r="BD67" s="200"/>
      <c r="BE67" s="200"/>
      <c r="BF67" s="200"/>
      <c r="BG67" s="384"/>
      <c r="BH67" s="384"/>
      <c r="BI67" s="384"/>
      <c r="BJ67" s="384"/>
      <c r="BK67" s="384"/>
      <c r="BL67" s="384"/>
      <c r="BM67" s="384"/>
      <c r="BN67" s="384"/>
      <c r="BO67" s="384"/>
      <c r="BP67" s="384"/>
      <c r="BQ67" s="384"/>
      <c r="BR67" s="1389"/>
      <c r="BS67" s="1389"/>
      <c r="BT67" s="1389"/>
      <c r="BU67" s="384"/>
      <c r="BV67" s="384"/>
      <c r="BW67" s="384"/>
      <c r="BX67" s="384"/>
      <c r="BY67" s="384"/>
      <c r="BZ67" s="384"/>
      <c r="CA67" s="384"/>
      <c r="CB67" s="384"/>
      <c r="CC67" s="384"/>
      <c r="CD67" s="384"/>
      <c r="CE67" s="384"/>
      <c r="CF67" s="384"/>
      <c r="CG67" s="384"/>
      <c r="CH67" s="384"/>
      <c r="CI67" s="384"/>
      <c r="CJ67" s="384"/>
      <c r="CK67" s="384"/>
      <c r="CL67" s="384"/>
      <c r="CM67" s="384"/>
      <c r="CN67" s="384"/>
      <c r="CO67" s="384"/>
      <c r="CP67" s="384"/>
      <c r="CQ67" s="384"/>
      <c r="CR67" s="384"/>
      <c r="CS67" s="384"/>
      <c r="CT67" s="384"/>
      <c r="CU67" s="384"/>
      <c r="CV67" s="384"/>
      <c r="CW67" s="384"/>
      <c r="CX67" s="384"/>
      <c r="CY67" s="384"/>
      <c r="CZ67" s="384"/>
      <c r="DA67" s="384"/>
      <c r="DB67" s="384"/>
      <c r="DC67" s="384"/>
      <c r="DD67" s="384"/>
      <c r="DE67" s="384"/>
      <c r="DF67" s="384"/>
      <c r="DG67" s="384"/>
      <c r="DH67" s="384"/>
      <c r="DI67" s="384"/>
      <c r="DJ67" s="384"/>
      <c r="DK67" s="384"/>
      <c r="DL67" s="384"/>
      <c r="DM67" s="384"/>
      <c r="DN67" s="384"/>
      <c r="DO67" s="384"/>
      <c r="DP67" s="384"/>
      <c r="DQ67" s="384"/>
      <c r="DR67" s="384"/>
      <c r="DS67" s="384"/>
      <c r="DT67" s="384"/>
      <c r="DU67" s="384"/>
      <c r="DV67" s="384"/>
      <c r="DW67" s="384"/>
      <c r="DX67" s="384"/>
      <c r="DY67" s="384"/>
      <c r="DZ67" s="384"/>
      <c r="EA67" s="384"/>
      <c r="EB67" s="384"/>
      <c r="EC67" s="384"/>
      <c r="ED67" s="384"/>
      <c r="EE67" s="384"/>
      <c r="EF67" s="384"/>
      <c r="EG67" s="384"/>
      <c r="EH67" s="384"/>
      <c r="EI67" s="384"/>
      <c r="EJ67" s="384"/>
      <c r="EK67" s="384"/>
      <c r="EL67" s="384"/>
      <c r="EM67" s="384"/>
      <c r="EN67" s="384"/>
      <c r="EO67" s="384"/>
      <c r="EP67" s="384"/>
      <c r="EQ67" s="384"/>
      <c r="ER67" s="384"/>
      <c r="ES67" s="384"/>
      <c r="ET67" s="384"/>
      <c r="EU67" s="384"/>
      <c r="EV67" s="384"/>
      <c r="EW67" s="384"/>
      <c r="EX67" s="384"/>
      <c r="EY67" s="384"/>
      <c r="EZ67" s="384"/>
      <c r="FA67" s="384"/>
      <c r="FB67" s="384"/>
      <c r="FC67" s="384"/>
      <c r="FD67" s="384"/>
      <c r="FE67" s="384"/>
      <c r="FF67" s="384"/>
      <c r="FG67" s="384"/>
      <c r="FH67" s="384"/>
      <c r="FI67" s="384"/>
      <c r="FJ67" s="384"/>
      <c r="FK67" s="384"/>
      <c r="FL67" s="384"/>
      <c r="FM67" s="384"/>
      <c r="FN67" s="384"/>
      <c r="FO67" s="384"/>
      <c r="FP67" s="384"/>
      <c r="FQ67" s="384"/>
      <c r="FR67" s="384"/>
      <c r="FS67" s="384"/>
      <c r="FT67" s="384"/>
      <c r="FU67" s="384"/>
      <c r="FV67" s="384"/>
      <c r="FW67" s="384"/>
      <c r="FX67" s="384"/>
      <c r="FY67" s="384"/>
      <c r="FZ67" s="384"/>
      <c r="GA67" s="384"/>
      <c r="GB67" s="384"/>
      <c r="GC67" s="384"/>
      <c r="GD67" s="384"/>
      <c r="GE67" s="384"/>
      <c r="GF67" s="384"/>
      <c r="GG67" s="384"/>
      <c r="GH67" s="384"/>
      <c r="GI67" s="384"/>
      <c r="GJ67" s="384"/>
      <c r="GK67" s="384"/>
      <c r="GL67" s="384"/>
      <c r="GM67" s="384"/>
      <c r="GN67" s="384"/>
      <c r="GO67" s="384"/>
      <c r="GP67" s="384"/>
      <c r="GQ67" s="384"/>
      <c r="GR67" s="384"/>
      <c r="GS67" s="384"/>
      <c r="GT67" s="384"/>
      <c r="GU67" s="384"/>
      <c r="GV67" s="384"/>
      <c r="GW67" s="384"/>
      <c r="GX67" s="384"/>
      <c r="GY67" s="384"/>
      <c r="GZ67" s="384"/>
      <c r="HA67" s="384"/>
      <c r="HB67" s="384"/>
      <c r="HC67" s="384"/>
      <c r="HD67" s="384"/>
      <c r="HE67" s="384"/>
      <c r="HF67" s="384"/>
      <c r="HG67" s="384"/>
      <c r="HH67" s="384"/>
      <c r="HI67" s="384"/>
      <c r="HJ67" s="384"/>
      <c r="HK67" s="384"/>
      <c r="HL67" s="384"/>
    </row>
    <row r="68" spans="1:220" s="167" customFormat="1" ht="12" collapsed="1">
      <c r="A68" s="830" t="s">
        <v>216</v>
      </c>
      <c r="B68" s="902">
        <f t="shared" ref="B68:U68" si="239">B29+B37+B36</f>
        <v>-258</v>
      </c>
      <c r="C68" s="902">
        <f t="shared" si="239"/>
        <v>45754</v>
      </c>
      <c r="D68" s="902">
        <f t="shared" si="239"/>
        <v>1557</v>
      </c>
      <c r="E68" s="903">
        <f t="shared" si="239"/>
        <v>-354</v>
      </c>
      <c r="F68" s="904">
        <f t="shared" si="239"/>
        <v>-291</v>
      </c>
      <c r="G68" s="902">
        <f t="shared" si="239"/>
        <v>246</v>
      </c>
      <c r="H68" s="902">
        <f t="shared" si="239"/>
        <v>1756</v>
      </c>
      <c r="I68" s="903">
        <f t="shared" si="239"/>
        <v>-342</v>
      </c>
      <c r="J68" s="904">
        <f t="shared" si="239"/>
        <v>-128</v>
      </c>
      <c r="K68" s="902">
        <f t="shared" si="239"/>
        <v>225</v>
      </c>
      <c r="L68" s="902">
        <f t="shared" si="239"/>
        <v>1955</v>
      </c>
      <c r="M68" s="903">
        <f t="shared" si="239"/>
        <v>-64</v>
      </c>
      <c r="N68" s="904">
        <f t="shared" si="239"/>
        <v>-178</v>
      </c>
      <c r="O68" s="902">
        <f t="shared" si="239"/>
        <v>296</v>
      </c>
      <c r="P68" s="902">
        <f t="shared" si="239"/>
        <v>2199</v>
      </c>
      <c r="Q68" s="903">
        <f t="shared" si="239"/>
        <v>-148</v>
      </c>
      <c r="R68" s="904">
        <f t="shared" si="239"/>
        <v>-165</v>
      </c>
      <c r="S68" s="902">
        <f t="shared" si="239"/>
        <v>287</v>
      </c>
      <c r="T68" s="902">
        <f t="shared" si="239"/>
        <v>1898</v>
      </c>
      <c r="U68" s="902">
        <f t="shared" si="239"/>
        <v>257</v>
      </c>
      <c r="V68" s="904">
        <f>V29+V37+V36</f>
        <v>7</v>
      </c>
      <c r="W68" s="902">
        <f t="shared" ref="W68:AM68" si="240">W29+W37+W36</f>
        <v>246</v>
      </c>
      <c r="X68" s="902">
        <f t="shared" si="240"/>
        <v>2354</v>
      </c>
      <c r="Y68" s="1248">
        <f t="shared" si="240"/>
        <v>518</v>
      </c>
      <c r="Z68" s="904">
        <f>Z29+Z37+Z36</f>
        <v>103</v>
      </c>
      <c r="AA68" s="902">
        <f t="shared" ref="AA68" si="241">AA29+AA37+AA36</f>
        <v>20</v>
      </c>
      <c r="AB68" s="902">
        <f>AB29+AB37+AB36</f>
        <v>3259</v>
      </c>
      <c r="AC68" s="903">
        <f t="shared" si="240"/>
        <v>278</v>
      </c>
      <c r="AD68" s="904">
        <f t="shared" si="240"/>
        <v>251</v>
      </c>
      <c r="AE68" s="902">
        <f t="shared" si="240"/>
        <v>229</v>
      </c>
      <c r="AF68" s="902">
        <f t="shared" si="240"/>
        <v>3504</v>
      </c>
      <c r="AG68" s="903">
        <f t="shared" si="240"/>
        <v>802</v>
      </c>
      <c r="AH68" s="904">
        <f t="shared" si="240"/>
        <v>-181</v>
      </c>
      <c r="AI68" s="902">
        <f t="shared" si="240"/>
        <v>550</v>
      </c>
      <c r="AJ68" s="902">
        <f t="shared" si="240"/>
        <v>3890</v>
      </c>
      <c r="AK68" s="903">
        <f t="shared" ref="AK68" si="242">AK29+AK37+AK36</f>
        <v>375</v>
      </c>
      <c r="AL68" s="1299">
        <f t="shared" si="240"/>
        <v>329</v>
      </c>
      <c r="AM68" s="1300">
        <f t="shared" si="240"/>
        <v>1038</v>
      </c>
      <c r="AN68" s="902">
        <f t="shared" ref="AN68:AP68" si="243">AN29+AN37+AN36</f>
        <v>4360</v>
      </c>
      <c r="AO68" s="903">
        <f t="shared" si="243"/>
        <v>356</v>
      </c>
      <c r="AP68" s="1299">
        <f t="shared" si="243"/>
        <v>599</v>
      </c>
      <c r="AQ68" s="1300">
        <f>AQ29+AQ37+AQ36</f>
        <v>1524</v>
      </c>
      <c r="AR68" s="1300">
        <f>AR29+AR37+AR36</f>
        <v>4543.7456437109295</v>
      </c>
      <c r="AS68" s="1248">
        <f t="shared" ref="AS68" si="244">AS29+AS37+AS36</f>
        <v>1260.457368232675</v>
      </c>
      <c r="AT68" s="1299">
        <f t="shared" ref="AT68:AW68" si="245">AT29+AT37+AT36</f>
        <v>1072.5063042454647</v>
      </c>
      <c r="AU68" s="1300">
        <f t="shared" si="245"/>
        <v>864.13790027272546</v>
      </c>
      <c r="AV68" s="1300">
        <f t="shared" si="245"/>
        <v>5000.7130426521999</v>
      </c>
      <c r="AW68" s="1248">
        <f t="shared" si="245"/>
        <v>1006.5439275024501</v>
      </c>
      <c r="AX68" s="1299">
        <f t="shared" ref="AX68:BA68" si="246">AX29+AX37+AX36</f>
        <v>1454.8937728383194</v>
      </c>
      <c r="AY68" s="1300">
        <f t="shared" si="246"/>
        <v>929.67988945448633</v>
      </c>
      <c r="AZ68" s="1300">
        <f t="shared" si="246"/>
        <v>5412.455755434743</v>
      </c>
      <c r="BA68" s="1248">
        <f t="shared" si="246"/>
        <v>1181.3974749168181</v>
      </c>
      <c r="BB68" s="439"/>
      <c r="BC68" s="831"/>
      <c r="BD68" s="922">
        <f t="shared" ref="BD68" si="247">+SUM(B68:E68)</f>
        <v>46699</v>
      </c>
      <c r="BE68" s="922">
        <f t="shared" ref="BE68" si="248">+SUM(F68:I68)</f>
        <v>1369</v>
      </c>
      <c r="BF68" s="922">
        <f t="shared" ref="BF68" si="249">+SUM(J68:M68)</f>
        <v>1988</v>
      </c>
      <c r="BG68" s="922">
        <f t="shared" ref="BG68:BG69" si="250">SUM(N68:Q68)</f>
        <v>2169</v>
      </c>
      <c r="BH68" s="922">
        <f t="shared" ref="BH68" si="251">SUM(R68:U68)</f>
        <v>2277</v>
      </c>
      <c r="BI68" s="922">
        <f t="shared" ref="BI68:BI69" si="252">SUM(V68:Y68)</f>
        <v>3125</v>
      </c>
      <c r="BJ68" s="922">
        <f t="shared" ref="BJ68" si="253">SUM(Z68:AC68)</f>
        <v>3660</v>
      </c>
      <c r="BK68" s="1664">
        <f t="shared" ref="BK68" si="254">SUM(AD68:AG68)</f>
        <v>4786</v>
      </c>
      <c r="BL68" s="1248">
        <f t="shared" ref="BL68:BL69" si="255">+SUM(AH68:AK68)</f>
        <v>4634</v>
      </c>
      <c r="BM68" s="1657">
        <f>+SUM(AL68:AO68)</f>
        <v>6083</v>
      </c>
      <c r="BN68" s="1361">
        <f>+SUM(AP68:AS68)</f>
        <v>7927.203011943604</v>
      </c>
      <c r="BO68" s="1361">
        <f>+SUM(AT68:AW68)</f>
        <v>7943.9011746728402</v>
      </c>
      <c r="BP68" s="1361">
        <f>+SUM(AX68:BA68)</f>
        <v>8978.4268926443656</v>
      </c>
      <c r="BR68" s="166"/>
      <c r="BS68" s="1400"/>
      <c r="BT68" s="1400"/>
      <c r="BU68" s="832"/>
      <c r="BV68" s="832"/>
      <c r="BW68" s="832"/>
      <c r="BX68" s="832"/>
      <c r="BY68" s="832"/>
      <c r="BZ68" s="832"/>
      <c r="CA68" s="832"/>
      <c r="CB68" s="832"/>
      <c r="CC68" s="832"/>
      <c r="CD68" s="832"/>
      <c r="CE68" s="832"/>
      <c r="CF68" s="832"/>
      <c r="CG68" s="832"/>
      <c r="CH68" s="832"/>
    </row>
    <row r="69" spans="1:220" s="334" customFormat="1" ht="12" hidden="1" customHeight="1" outlineLevel="1">
      <c r="A69" s="833" t="s">
        <v>337</v>
      </c>
      <c r="B69" s="333"/>
      <c r="C69" s="333"/>
      <c r="D69" s="333"/>
      <c r="E69" s="333"/>
      <c r="F69" s="834"/>
      <c r="G69" s="333"/>
      <c r="H69" s="333"/>
      <c r="I69" s="333"/>
      <c r="J69" s="834"/>
      <c r="K69" s="333"/>
      <c r="L69" s="333"/>
      <c r="M69" s="333"/>
      <c r="N69" s="920" cm="1">
        <f t="array" ref="N69">_xll.FDS("INTU-US","FE_ESTIMATE(FCF,MEAN,QTR_ROLL,"&amp;'Income Statement'!N2&amp;",NOW,,,'')")</f>
        <v>-178</v>
      </c>
      <c r="O69" s="632" cm="1">
        <f t="array" ref="O69">_xll.FDS("INTU-US","FE_ESTIMATE(FCF,MEAN,QTR_ROLL,"&amp;'Income Statement'!O2&amp;",NOW,,,'')")</f>
        <v>296.77499999999998</v>
      </c>
      <c r="P69" s="632" cm="1">
        <f t="array" ref="P69">_xll.FDS("INTU-US","FE_ESTIMATE(FCF,MEAN,QTR_ROLL,"&amp;'Income Statement'!P2&amp;",NOW,,,'')")</f>
        <v>2199.7750000000001</v>
      </c>
      <c r="Q69" s="632" cm="1">
        <f t="array" ref="Q69">_xll.FDS("INTU-US","FE_ESTIMATE(FCF,MEAN,QTR_ROLL,"&amp;'Income Statement'!Q2&amp;",NOW,,,'')")</f>
        <v>-148</v>
      </c>
      <c r="R69" s="921" cm="1">
        <f t="array" ref="R69">_xll.FDS("INTU-US","FE_ESTIMATE(FCF,MEAN,QTR_ROLL,"&amp;'Income Statement'!R2&amp;",NOW,,,'')")</f>
        <v>-164.7</v>
      </c>
      <c r="S69" s="632" cm="1">
        <f t="array" ref="S69">_xll.FDS("INTU-US","FE_ESTIMATE(FCF,MEAN,QTR_ROLL,"&amp;'Income Statement'!S2&amp;",NOW,,,'')")</f>
        <v>283</v>
      </c>
      <c r="T69" s="632" cm="1">
        <f t="array" ref="T69">_xll.FDS("INTU-US","FE_ESTIMATE(FCF,MEAN,QTR_ROLL,"&amp;'Income Statement'!T2&amp;",NOW,,,'')")</f>
        <v>1894.5</v>
      </c>
      <c r="U69" s="632" cm="1">
        <f t="array" ref="U69">_xll.FDS("INTU-US","FE_ESTIMATE(FCF,MEAN,QTR_ROLL,"&amp;'Income Statement'!U2&amp;",NOW,,,'')")</f>
        <v>258.8</v>
      </c>
      <c r="V69" s="921" cm="1">
        <f t="array" ref="V69">_xll.FDS("INTU-US","FE_ESTIMATE(FCF,MEAN,QTR_ROLL,"&amp;'Income Statement'!V2&amp;",NOW,,,'')")</f>
        <v>7</v>
      </c>
      <c r="W69" s="632" cm="1">
        <f t="array" ref="W69">_xll.FDS("INTU-US","FE_ESTIMATE(FCF,MEAN,QTR_ROLL,"&amp;'Income Statement'!W2&amp;",NOW,,,'')")</f>
        <v>244.38333</v>
      </c>
      <c r="X69" s="632" cm="1">
        <f t="array" ref="X69">_xll.FDS("INTU-US","FE_ESTIMATE(FCF,MEAN,QTR_ROLL,"&amp;'Income Statement'!X2&amp;",NOW,,,'')")</f>
        <v>2510.6</v>
      </c>
      <c r="Y69" s="633" cm="1">
        <f t="array" ref="Y69">_xll.FDS("INTU-US","FE_ESTIMATE(FCF,MEAN,QTR_ROLL,"&amp;'Income Statement'!Y2&amp;",NOW,,,'')")</f>
        <v>521.71669999999995</v>
      </c>
      <c r="Z69" s="921" cm="1">
        <f t="array" ref="Z69">_xll.FDS("INTU-US","FE_ESTIMATE(FCF,MEAN,QTR_ROLL,"&amp;'Income Statement'!Z2&amp;",NOW,,,'')")</f>
        <v>239.66667000000001</v>
      </c>
      <c r="AA69" s="632" cm="1">
        <f t="array" ref="AA69">_xll.FDS("INTU-US","FE_ESTIMATE(FCF,MEAN,QTR_ROLL,"&amp;'Income Statement'!AA2&amp;",NOW,,,'')")</f>
        <v>18.8</v>
      </c>
      <c r="AB69" s="632" cm="1">
        <f t="array" ref="AB69">_xll.FDS("INTU-US","FE_ESTIMATE(FCF,MEAN,QTR_ROLL,"&amp;'Income Statement'!AB2&amp;",NOW,,,'')")</f>
        <v>3253.5</v>
      </c>
      <c r="AC69" s="633" cm="1">
        <f t="array" ref="AC69">_xll.FDS("INTU-US","FE_ESTIMATE(FCF,MEAN,QTR_ROLL,"&amp;'Income Statement'!AC2&amp;",NOW,,,'')")</f>
        <v>272.75</v>
      </c>
      <c r="AD69" s="921" cm="1">
        <f t="array" ref="AD69">_xll.FDS("INTU-US","FE_ESTIMATE(FCF,MEAN,QTR_ROLL,"&amp;'Income Statement'!AD2&amp;",NOW,,,'')")</f>
        <v>210.6</v>
      </c>
      <c r="AE69" s="632" cm="1">
        <f t="array" ref="AE69">_xll.FDS("INTU-US","FE_ESTIMATE(FCF,MEAN,QTR_ROLL,"&amp;'Income Statement'!AE2&amp;",NOW,,,'')")</f>
        <v>224.4</v>
      </c>
      <c r="AF69" s="632" cm="1">
        <f t="array" ref="AF69">_xll.FDS("INTU-US","FE_ESTIMATE(FCF,MEAN,QTR_ROLL,"&amp;'Income Statement'!AF2&amp;",NOW,,,'')")</f>
        <v>3540.8332999999998</v>
      </c>
      <c r="AG69" s="633" cm="1">
        <f t="array" ref="AG69">_xll.FDS("INTU-US","FE_ESTIMATE(FCF,MEAN,QTR_ROLL,"&amp;'Income Statement'!AG2&amp;",NOW,,,'')")</f>
        <v>797.6</v>
      </c>
      <c r="AH69" s="921" cm="1">
        <f t="array" ref="AH69">_xll.FDS("INTU-US","FE_ESTIMATE(FCF,MEAN,QTR_ROLL,"&amp;'Income Statement'!AH2&amp;",NOW,,,'')")</f>
        <v>-140.85714999999999</v>
      </c>
      <c r="AI69" s="632" cm="1">
        <f t="array" ref="AI69">_xll.FDS("INTU-US","FE_ESTIMATE(FCF,MEAN,QTR_ROLL,"&amp;'Income Statement'!AI2&amp;",NOW,,,'')")</f>
        <v>562.42859999999996</v>
      </c>
      <c r="AJ69" s="632" cm="1">
        <f t="array" ref="AJ69">_xll.FDS("INTU-US","FE_ESTIMATE(FCF,MEAN,QTR_ROLL,"&amp;'Income Statement'!AJ2&amp;",NOW,,,'')")</f>
        <v>3868</v>
      </c>
      <c r="AK69" s="633" cm="1">
        <f t="array" ref="AK69">_xll.FDS("INTU-US","FE_ESTIMATE(FCF,MEAN,QTR_ROLL,"&amp;'Income Statement'!AK2&amp;",NOW,,,'')")</f>
        <v>401.16665999999998</v>
      </c>
      <c r="AL69" s="921" cm="1">
        <f t="array" ref="AL69">_xll.FDS("INTU-US","FE_ESTIMATE(FCF,MEAN,QTR_ROLL,"&amp;'Income Statement'!AL2&amp;",NOW,,,'')")</f>
        <v>329</v>
      </c>
      <c r="AM69" s="632" cm="1">
        <f t="array" ref="AM69">_xll.FDS("INTU-US","FE_ESTIMATE(FCF,MEAN,QTR_ROLL,"&amp;'Income Statement'!AM2&amp;",NOW,,,'')")</f>
        <v>940.92993000000001</v>
      </c>
      <c r="AN69" s="632" cm="1">
        <f t="array" ref="AN69">_xll.FDS("INTU-US","FE_ESTIMATE(FCF,MEAN,QTR_ROLL,"&amp;'Income Statement'!AN2&amp;",NOW,,,'')")</f>
        <v>4281.2866000000004</v>
      </c>
      <c r="AO69" s="633" cm="1">
        <f t="array" ref="AO69">_xll.FDS("INTU-US","FE_ESTIMATE(FCF,MEAN,QTR_ROLL,"&amp;'Income Statement'!AO2&amp;",NOW,,,'')")</f>
        <v>651.53314</v>
      </c>
      <c r="AP69" s="921" cm="1">
        <f t="array" ref="AP69">_xll.FDS("INTU-US","FE_ESTIMATE(FCF,MEAN,QTR_ROLL,"&amp;'Income Statement'!AP2&amp;",NOW,,,'')")</f>
        <v>558.29999999999995</v>
      </c>
      <c r="AQ69" s="632" cm="1">
        <f t="array" ref="AQ69">_xll.FDS("INTU-US","FE_ESTIMATE(FCF,MEAN,QTR_ROLL,"&amp;'Income Statement'!AQ2&amp;",NOW,,,'')")</f>
        <v>1162.4000000000001</v>
      </c>
      <c r="AR69" s="632" cm="1">
        <f t="array" ref="AR69">_xll.FDS("INTU-US","FE_ESTIMATE(FCF,MEAN,QTR_ROLL,"&amp;'Income Statement'!AR2&amp;",NOW,,,'')")</f>
        <v>4193.6499999999996</v>
      </c>
      <c r="AS69" s="633" cm="1">
        <f t="array" ref="AS69">_xll.FDS("INTU-US","FE_ESTIMATE(FCF,MEAN,QTR_ROLL,"&amp;'Income Statement'!AS2&amp;",NOW,,,'')")</f>
        <v>1202.825</v>
      </c>
      <c r="AT69" s="921" cm="1">
        <f t="array" ref="AT69">_xll.FDS("INTU-US","FE_ESTIMATE(FCF,MEAN,QTR_ROLL,"&amp;'Income Statement'!AT2&amp;",NOW,,,'')")</f>
        <v>688.25</v>
      </c>
      <c r="AU69" s="632" cm="1">
        <f t="array" ref="AU69">_xll.FDS("INTU-US","FE_ESTIMATE(FCF,MEAN,QTR_ROLL,"&amp;'Income Statement'!AU2&amp;",NOW,,,'')")</f>
        <v>1426.75</v>
      </c>
      <c r="AV69" s="632" cm="1">
        <f t="array" ref="AV69">_xll.FDS("INTU-US","FE_ESTIMATE(FCF,MEAN,QTR_ROLL,"&amp;'Income Statement'!AV2&amp;",NOW,,,'')")</f>
        <v>4806</v>
      </c>
      <c r="AW69" s="633" cm="1">
        <f t="array" ref="AW69">_xll.FDS("INTU-US","FE_ESTIMATE(FCF,MEAN,QTR_ROLL,"&amp;'Income Statement'!AW2&amp;",NOW,,,'')")</f>
        <v>1047</v>
      </c>
      <c r="AX69" s="921" t="e" cm="1">
        <f t="array" ref="AX69">_xll.FDS("INTU-US","FE_ESTIMATE(FCF,MEAN,QTR_ROLL,"&amp;'Income Statement'!AX2&amp;",NOW,,,'')")</f>
        <v>#N/A</v>
      </c>
      <c r="AY69" s="632" t="e" cm="1">
        <f t="array" ref="AY69">_xll.FDS("INTU-US","FE_ESTIMATE(FCF,MEAN,QTR_ROLL,"&amp;'Income Statement'!AY2&amp;",NOW,,,'')")</f>
        <v>#N/A</v>
      </c>
      <c r="AZ69" s="632" t="e" cm="1">
        <f t="array" ref="AZ69">_xll.FDS("INTU-US","FE_ESTIMATE(FCF,MEAN,QTR_ROLL,"&amp;'Income Statement'!AZ2&amp;",NOW,,,'')")</f>
        <v>#N/A</v>
      </c>
      <c r="BA69" s="633" t="e" cm="1">
        <f t="array" ref="BA69">_xll.FDS("INTU-US","FE_ESTIMATE(FCF,MEAN,QTR_ROLL,"&amp;'Income Statement'!BA2&amp;",NOW,,,'')")</f>
        <v>#N/A</v>
      </c>
      <c r="BB69" s="352"/>
      <c r="BC69" s="352"/>
      <c r="BD69" s="923">
        <f>+SUM(B69:E69)</f>
        <v>0</v>
      </c>
      <c r="BE69" s="924">
        <f>+SUM(F69:I69)</f>
        <v>0</v>
      </c>
      <c r="BF69" s="923">
        <f>+SUM(J69:M69)</f>
        <v>0</v>
      </c>
      <c r="BG69" s="924">
        <f t="shared" si="250"/>
        <v>2170.5500000000002</v>
      </c>
      <c r="BH69" s="924">
        <f t="shared" ref="BH69" si="256">+SUM(R69:U69)</f>
        <v>2271.6</v>
      </c>
      <c r="BI69" s="924">
        <f t="shared" si="252"/>
        <v>3283.70003</v>
      </c>
      <c r="BJ69" s="923">
        <f t="shared" ref="BJ69" si="257">+SUM(Z69:AC69)</f>
        <v>3784.7166699999998</v>
      </c>
      <c r="BK69" s="1665">
        <f t="shared" ref="BK69" si="258">+SUM(AD69:AG69)</f>
        <v>4773.4332999999997</v>
      </c>
      <c r="BL69" s="1663">
        <f t="shared" si="255"/>
        <v>4690.7381100000002</v>
      </c>
      <c r="BM69" s="1658">
        <f>+SUM(AL69:AO69)</f>
        <v>6202.7496700000011</v>
      </c>
      <c r="BN69" s="1495">
        <f>+SUM(AP69:AS69)</f>
        <v>7117.1749999999993</v>
      </c>
      <c r="BO69" s="1495">
        <f>+SUM(AT69:AW69)</f>
        <v>7968</v>
      </c>
      <c r="BP69" s="1495" t="e">
        <f>+SUM(AX69:BA69)</f>
        <v>#N/A</v>
      </c>
      <c r="BQ69" s="355"/>
      <c r="BR69" s="1401"/>
      <c r="BS69" s="1401"/>
      <c r="BT69" s="1401"/>
    </row>
    <row r="70" spans="1:220" s="843" customFormat="1" ht="12" customHeight="1" collapsed="1">
      <c r="A70" s="835" t="s">
        <v>181</v>
      </c>
      <c r="B70" s="836" t="str">
        <f t="shared" ref="B70:D70" si="259">IF(ISERROR(B68/#REF!-1),"NA",B68/#REF!-1)</f>
        <v>NA</v>
      </c>
      <c r="C70" s="836" t="str">
        <f t="shared" si="259"/>
        <v>NA</v>
      </c>
      <c r="D70" s="837" t="str">
        <f t="shared" si="259"/>
        <v>NA</v>
      </c>
      <c r="E70" s="838" t="str">
        <f t="shared" ref="E70:AQ70" si="260">IF(ISERROR(E68/A68-1),"NA",E68/A68-1)</f>
        <v>NA</v>
      </c>
      <c r="F70" s="836">
        <f t="shared" si="260"/>
        <v>0.12790697674418605</v>
      </c>
      <c r="G70" s="836">
        <f t="shared" si="260"/>
        <v>-0.99462342090309042</v>
      </c>
      <c r="H70" s="837">
        <f t="shared" si="260"/>
        <v>0.12780989081567107</v>
      </c>
      <c r="I70" s="838">
        <f t="shared" si="260"/>
        <v>-3.3898305084745783E-2</v>
      </c>
      <c r="J70" s="836">
        <f t="shared" si="260"/>
        <v>-0.56013745704467355</v>
      </c>
      <c r="K70" s="836">
        <f t="shared" si="260"/>
        <v>-8.536585365853655E-2</v>
      </c>
      <c r="L70" s="837">
        <f t="shared" si="260"/>
        <v>0.11332574031890652</v>
      </c>
      <c r="M70" s="838">
        <f t="shared" si="260"/>
        <v>-0.8128654970760234</v>
      </c>
      <c r="N70" s="836">
        <f t="shared" si="260"/>
        <v>0.390625</v>
      </c>
      <c r="O70" s="836">
        <f t="shared" si="260"/>
        <v>0.31555555555555559</v>
      </c>
      <c r="P70" s="837">
        <f t="shared" si="260"/>
        <v>0.12480818414322248</v>
      </c>
      <c r="Q70" s="838">
        <f t="shared" si="260"/>
        <v>1.3125</v>
      </c>
      <c r="R70" s="836">
        <f t="shared" si="260"/>
        <v>-7.3033707865168496E-2</v>
      </c>
      <c r="S70" s="836">
        <f t="shared" si="260"/>
        <v>-3.0405405405405372E-2</v>
      </c>
      <c r="T70" s="837">
        <f t="shared" si="260"/>
        <v>-0.13688040018190084</v>
      </c>
      <c r="U70" s="838">
        <f t="shared" si="260"/>
        <v>-2.7364864864864864</v>
      </c>
      <c r="V70" s="836">
        <f t="shared" si="260"/>
        <v>-1.0424242424242425</v>
      </c>
      <c r="W70" s="836">
        <f t="shared" si="260"/>
        <v>-0.1428571428571429</v>
      </c>
      <c r="X70" s="837">
        <f t="shared" si="260"/>
        <v>0.24025289778714431</v>
      </c>
      <c r="Y70" s="838">
        <f t="shared" si="260"/>
        <v>1.0155642023346303</v>
      </c>
      <c r="Z70" s="836">
        <f t="shared" si="260"/>
        <v>13.714285714285714</v>
      </c>
      <c r="AA70" s="836">
        <f t="shared" si="260"/>
        <v>-0.91869918699186992</v>
      </c>
      <c r="AB70" s="837">
        <f t="shared" si="260"/>
        <v>0.3844519966015294</v>
      </c>
      <c r="AC70" s="838">
        <f t="shared" si="260"/>
        <v>-0.46332046332046328</v>
      </c>
      <c r="AD70" s="836">
        <f t="shared" si="260"/>
        <v>1.436893203883495</v>
      </c>
      <c r="AE70" s="836">
        <f t="shared" si="260"/>
        <v>10.45</v>
      </c>
      <c r="AF70" s="837">
        <f t="shared" si="260"/>
        <v>7.5176434489107047E-2</v>
      </c>
      <c r="AG70" s="838">
        <f t="shared" si="260"/>
        <v>1.8848920863309351</v>
      </c>
      <c r="AH70" s="836">
        <f t="shared" si="260"/>
        <v>-1.7211155378486056</v>
      </c>
      <c r="AI70" s="836">
        <f t="shared" si="260"/>
        <v>1.4017467248908297</v>
      </c>
      <c r="AJ70" s="837">
        <f t="shared" si="260"/>
        <v>0.11015981735159808</v>
      </c>
      <c r="AK70" s="838">
        <f t="shared" si="260"/>
        <v>-0.53241895261845384</v>
      </c>
      <c r="AL70" s="836">
        <f t="shared" si="260"/>
        <v>-2.8176795580110499</v>
      </c>
      <c r="AM70" s="836">
        <f t="shared" si="260"/>
        <v>0.88727272727272721</v>
      </c>
      <c r="AN70" s="837">
        <f t="shared" si="260"/>
        <v>0.12082262210796912</v>
      </c>
      <c r="AO70" s="838">
        <f t="shared" si="260"/>
        <v>-5.0666666666666638E-2</v>
      </c>
      <c r="AP70" s="836">
        <f t="shared" si="260"/>
        <v>0.82066869300911849</v>
      </c>
      <c r="AQ70" s="836">
        <f t="shared" si="260"/>
        <v>0.46820809248554918</v>
      </c>
      <c r="AR70" s="837">
        <f t="shared" ref="AR70" si="261">IF(ISERROR(AR68/AN68-1),"NA",AR68/AN68-1)</f>
        <v>4.2143496263974622E-2</v>
      </c>
      <c r="AS70" s="838">
        <f t="shared" ref="AS70" si="262">IF(ISERROR(AS68/AO68-1),"NA",AS68/AO68-1)</f>
        <v>2.5406105849232445</v>
      </c>
      <c r="AT70" s="836">
        <f t="shared" ref="AT70" si="263">IF(ISERROR(AT68/AP68-1),"NA",AT68/AP68-1)</f>
        <v>0.79049466485052533</v>
      </c>
      <c r="AU70" s="836">
        <f t="shared" ref="AU70" si="264">IF(ISERROR(AU68/AQ68-1),"NA",AU68/AQ68-1)</f>
        <v>-0.43298038039847409</v>
      </c>
      <c r="AV70" s="837">
        <f t="shared" ref="AV70" si="265">IF(ISERROR(AV68/AR68-1),"NA",AV68/AR68-1)</f>
        <v>0.10057063814163247</v>
      </c>
      <c r="AW70" s="838">
        <f t="shared" ref="AW70" si="266">IF(ISERROR(AW68/AS68-1),"NA",AW68/AS68-1)</f>
        <v>-0.20144548092589953</v>
      </c>
      <c r="AX70" s="836">
        <f t="shared" ref="AX70" si="267">IF(ISERROR(AX68/AT68-1),"NA",AX68/AT68-1)</f>
        <v>0.35653633650375038</v>
      </c>
      <c r="AY70" s="836">
        <f t="shared" ref="AY70" si="268">IF(ISERROR(AY68/AU68-1),"NA",AY68/AU68-1)</f>
        <v>7.5846678129816381E-2</v>
      </c>
      <c r="AZ70" s="837">
        <f t="shared" ref="AZ70" si="269">IF(ISERROR(AZ68/AV68-1),"NA",AZ68/AV68-1)</f>
        <v>8.2336800626370055E-2</v>
      </c>
      <c r="BA70" s="838">
        <f t="shared" ref="BA70" si="270">IF(ISERROR(BA68/AW68-1),"NA",BA68/AW68-1)</f>
        <v>0.17371675754701954</v>
      </c>
      <c r="BB70" s="839"/>
      <c r="BC70" s="840"/>
      <c r="BD70" s="841" t="str">
        <f t="shared" ref="BD70:BP70" si="271">IF(ISERROR(BD68/BC68-1),"NA",BD68/BC68-1)</f>
        <v>NA</v>
      </c>
      <c r="BE70" s="842">
        <f t="shared" si="271"/>
        <v>-0.9706845971005803</v>
      </c>
      <c r="BF70" s="842">
        <f t="shared" si="271"/>
        <v>0.45215485756026297</v>
      </c>
      <c r="BG70" s="842">
        <f t="shared" si="271"/>
        <v>9.1046277665995934E-2</v>
      </c>
      <c r="BH70" s="842">
        <f t="shared" si="271"/>
        <v>4.9792531120331995E-2</v>
      </c>
      <c r="BI70" s="842">
        <f t="shared" si="271"/>
        <v>0.37241985068072014</v>
      </c>
      <c r="BJ70" s="842">
        <f t="shared" si="271"/>
        <v>0.17120000000000002</v>
      </c>
      <c r="BK70" s="1659">
        <f t="shared" si="271"/>
        <v>0.30765027322404381</v>
      </c>
      <c r="BL70" s="985">
        <f t="shared" si="271"/>
        <v>-3.1759297952361099E-2</v>
      </c>
      <c r="BM70" s="1659">
        <f t="shared" si="271"/>
        <v>0.31268882175226587</v>
      </c>
      <c r="BN70" s="842">
        <f t="shared" si="271"/>
        <v>0.30317327173164621</v>
      </c>
      <c r="BO70" s="842">
        <f t="shared" si="271"/>
        <v>2.1064381351250105E-3</v>
      </c>
      <c r="BP70" s="842">
        <f t="shared" si="271"/>
        <v>0.1302289259677416</v>
      </c>
      <c r="BR70" s="1402"/>
      <c r="BS70" s="1402"/>
      <c r="BT70" s="1402"/>
    </row>
    <row r="71" spans="1:220" s="843" customFormat="1" ht="12" customHeight="1">
      <c r="A71" s="835" t="s">
        <v>291</v>
      </c>
      <c r="B71" s="836" t="str">
        <f t="shared" ref="B71:AQ71" si="272">IF(ISERROR(B68/A68-1),"NA",B68/A68-1)</f>
        <v>NA</v>
      </c>
      <c r="C71" s="836">
        <f t="shared" si="272"/>
        <v>-178.34108527131784</v>
      </c>
      <c r="D71" s="837">
        <f t="shared" si="272"/>
        <v>-0.96597018839882853</v>
      </c>
      <c r="E71" s="838">
        <f t="shared" si="272"/>
        <v>-1.2273603082851638</v>
      </c>
      <c r="F71" s="836">
        <f t="shared" si="272"/>
        <v>-0.17796610169491522</v>
      </c>
      <c r="G71" s="836">
        <f t="shared" si="272"/>
        <v>-1.8453608247422681</v>
      </c>
      <c r="H71" s="837">
        <f t="shared" si="272"/>
        <v>6.1382113821138216</v>
      </c>
      <c r="I71" s="838">
        <f t="shared" si="272"/>
        <v>-1.1947608200455582</v>
      </c>
      <c r="J71" s="836">
        <f t="shared" si="272"/>
        <v>-0.6257309941520468</v>
      </c>
      <c r="K71" s="836">
        <f t="shared" si="272"/>
        <v>-2.7578125</v>
      </c>
      <c r="L71" s="837">
        <f t="shared" si="272"/>
        <v>7.6888888888888882</v>
      </c>
      <c r="M71" s="838">
        <f t="shared" si="272"/>
        <v>-1.0327365728900255</v>
      </c>
      <c r="N71" s="836">
        <f t="shared" si="272"/>
        <v>1.78125</v>
      </c>
      <c r="O71" s="836">
        <f t="shared" si="272"/>
        <v>-2.6629213483146068</v>
      </c>
      <c r="P71" s="837">
        <f t="shared" si="272"/>
        <v>6.4290540540540544</v>
      </c>
      <c r="Q71" s="838">
        <f t="shared" si="272"/>
        <v>-1.0673033196907684</v>
      </c>
      <c r="R71" s="836">
        <f t="shared" si="272"/>
        <v>0.11486486486486491</v>
      </c>
      <c r="S71" s="836">
        <f t="shared" si="272"/>
        <v>-2.7393939393939393</v>
      </c>
      <c r="T71" s="837">
        <f t="shared" si="272"/>
        <v>5.6132404181184672</v>
      </c>
      <c r="U71" s="838">
        <f t="shared" si="272"/>
        <v>-0.86459430979978924</v>
      </c>
      <c r="V71" s="836">
        <f t="shared" si="272"/>
        <v>-0.97276264591439687</v>
      </c>
      <c r="W71" s="836">
        <f t="shared" si="272"/>
        <v>34.142857142857146</v>
      </c>
      <c r="X71" s="837">
        <f t="shared" si="272"/>
        <v>8.5691056910569099</v>
      </c>
      <c r="Y71" s="838">
        <f t="shared" si="272"/>
        <v>-0.77994902293967716</v>
      </c>
      <c r="Z71" s="836">
        <f t="shared" si="272"/>
        <v>-0.80115830115830122</v>
      </c>
      <c r="AA71" s="836">
        <f t="shared" si="272"/>
        <v>-0.80582524271844658</v>
      </c>
      <c r="AB71" s="837">
        <f t="shared" si="272"/>
        <v>161.94999999999999</v>
      </c>
      <c r="AC71" s="838">
        <f t="shared" si="272"/>
        <v>-0.91469776004909487</v>
      </c>
      <c r="AD71" s="836">
        <f t="shared" si="272"/>
        <v>-9.7122302158273333E-2</v>
      </c>
      <c r="AE71" s="836">
        <f t="shared" si="272"/>
        <v>-8.764940239043828E-2</v>
      </c>
      <c r="AF71" s="837">
        <f t="shared" si="272"/>
        <v>14.301310043668122</v>
      </c>
      <c r="AG71" s="838">
        <f t="shared" si="272"/>
        <v>-0.77111872146118721</v>
      </c>
      <c r="AH71" s="836">
        <f t="shared" si="272"/>
        <v>-1.2256857855361596</v>
      </c>
      <c r="AI71" s="836">
        <f t="shared" si="272"/>
        <v>-4.0386740331491708</v>
      </c>
      <c r="AJ71" s="837">
        <f t="shared" si="272"/>
        <v>6.0727272727272723</v>
      </c>
      <c r="AK71" s="838">
        <f t="shared" si="272"/>
        <v>-0.90359897172236503</v>
      </c>
      <c r="AL71" s="836">
        <f t="shared" si="272"/>
        <v>-0.1226666666666667</v>
      </c>
      <c r="AM71" s="836">
        <f t="shared" si="272"/>
        <v>2.1550151975683889</v>
      </c>
      <c r="AN71" s="837">
        <f t="shared" si="272"/>
        <v>3.2003853564547207</v>
      </c>
      <c r="AO71" s="838">
        <f t="shared" si="272"/>
        <v>-0.91834862385321103</v>
      </c>
      <c r="AP71" s="836">
        <f t="shared" si="272"/>
        <v>0.68258426966292141</v>
      </c>
      <c r="AQ71" s="836">
        <f t="shared" si="272"/>
        <v>1.5442404006677797</v>
      </c>
      <c r="AR71" s="837">
        <f t="shared" ref="AR71" si="273">IF(ISERROR(AR68/AQ68-1),"NA",AR68/AQ68-1)</f>
        <v>1.9814603961357804</v>
      </c>
      <c r="AS71" s="838">
        <f t="shared" ref="AS71" si="274">IF(ISERROR(AS68/AR68-1),"NA",AS68/AR68-1)</f>
        <v>-0.72259508628585012</v>
      </c>
      <c r="AT71" s="836">
        <f t="shared" ref="AT71" si="275">IF(ISERROR(AT68/AS68-1),"NA",AT68/AS68-1)</f>
        <v>-0.14911338433503873</v>
      </c>
      <c r="AU71" s="836">
        <f t="shared" ref="AU71" si="276">IF(ISERROR(AU68/AT68-1),"NA",AU68/AT68-1)</f>
        <v>-0.1942817521425495</v>
      </c>
      <c r="AV71" s="837">
        <f t="shared" ref="AV71" si="277">IF(ISERROR(AV68/AU68-1),"NA",AV68/AU68-1)</f>
        <v>4.7869386831360528</v>
      </c>
      <c r="AW71" s="838">
        <f t="shared" ref="AW71" si="278">IF(ISERROR(AW68/AV68-1),"NA",AW68/AV68-1)</f>
        <v>-0.79871991875610304</v>
      </c>
      <c r="AX71" s="836">
        <f t="shared" ref="AX71" si="279">IF(ISERROR(AX68/AW68-1),"NA",AX68/AW68-1)</f>
        <v>0.44543495130745603</v>
      </c>
      <c r="AY71" s="836">
        <f t="shared" ref="AY71" si="280">IF(ISERROR(AY68/AX68-1),"NA",AY68/AX68-1)</f>
        <v>-0.36099809703577546</v>
      </c>
      <c r="AZ71" s="837">
        <f t="shared" ref="AZ71" si="281">IF(ISERROR(AZ68/AY68-1),"NA",AZ68/AY68-1)</f>
        <v>4.8218488071314969</v>
      </c>
      <c r="BA71" s="838">
        <f t="shared" ref="BA71" si="282">IF(ISERROR(BA68/AZ68-1),"NA",BA68/AZ68-1)</f>
        <v>-0.78172616492420177</v>
      </c>
      <c r="BB71" s="839"/>
      <c r="BC71" s="840"/>
      <c r="BD71" s="840"/>
      <c r="BE71" s="844"/>
      <c r="BF71" s="845"/>
      <c r="BG71" s="846"/>
      <c r="BH71" s="846"/>
      <c r="BI71" s="847"/>
      <c r="BJ71" s="848"/>
      <c r="BK71" s="1660"/>
      <c r="BL71" s="849"/>
      <c r="BM71" s="1660"/>
      <c r="BN71" s="849"/>
      <c r="BO71" s="849"/>
      <c r="BP71" s="849"/>
      <c r="BR71" s="1402"/>
      <c r="BS71" s="1402"/>
      <c r="BT71" s="1402"/>
    </row>
    <row r="72" spans="1:220" s="167" customFormat="1" ht="12">
      <c r="A72" s="745" t="s">
        <v>355</v>
      </c>
      <c r="B72" s="850">
        <f>+B68/'Income Statement'!B37</f>
        <v>-0.94852941176470584</v>
      </c>
      <c r="C72" s="496">
        <f>+C68/'Income Statement'!C37</f>
        <v>172.00751879699249</v>
      </c>
      <c r="D72" s="496">
        <f>+D68/'Income Statement'!D37</f>
        <v>5.9884615384615385</v>
      </c>
      <c r="E72" s="497">
        <f>+E68/'Income Statement'!E37</f>
        <v>-1.3615384615384616</v>
      </c>
      <c r="F72" s="850">
        <f>+F68/'Income Statement'!F37</f>
        <v>-1.1279069767441861</v>
      </c>
      <c r="G72" s="496">
        <f>+G68/'Income Statement'!G37</f>
        <v>0.94615384615384612</v>
      </c>
      <c r="H72" s="496">
        <f>+H68/'Income Statement'!H37</f>
        <v>6.7538461538461538</v>
      </c>
      <c r="I72" s="497">
        <f>+I68/'Income Statement'!I37</f>
        <v>-1.3153846153846154</v>
      </c>
      <c r="J72" s="850">
        <f>+J68/'Income Statement'!J37</f>
        <v>-0.49420849420849422</v>
      </c>
      <c r="K72" s="496">
        <f>+K68/'Income Statement'!K37</f>
        <v>0.86538461538461542</v>
      </c>
      <c r="L72" s="496">
        <f>+L68/'Income Statement'!L37</f>
        <v>7.4618320610687023</v>
      </c>
      <c r="M72" s="497">
        <f>+M68/'Income Statement'!M37</f>
        <v>-0.24806201550387597</v>
      </c>
      <c r="N72" s="850">
        <f>+N68/'Income Statement'!N37</f>
        <v>-0.6742424242424242</v>
      </c>
      <c r="O72" s="496">
        <f>+O68/'Income Statement'!O37</f>
        <v>1.1212121212121211</v>
      </c>
      <c r="P72" s="496">
        <f>+P68/'Income Statement'!P37</f>
        <v>8.329545454545455</v>
      </c>
      <c r="Q72" s="497">
        <f>+Q68/'Income Statement'!Q37</f>
        <v>-0.56923076923076921</v>
      </c>
      <c r="R72" s="850">
        <f>+R68/'Income Statement'!R37</f>
        <v>-0.625</v>
      </c>
      <c r="S72" s="496">
        <f>+S68/'Income Statement'!S37</f>
        <v>1.0871212121212122</v>
      </c>
      <c r="T72" s="496">
        <f>+T68/'Income Statement'!T37</f>
        <v>7.2030360531309299</v>
      </c>
      <c r="U72" s="497">
        <f>+U68/'Income Statement'!U37</f>
        <v>0.97348484848484851</v>
      </c>
      <c r="V72" s="850">
        <f>+V68/'Income Statement'!V37</f>
        <v>2.6415094339622643E-2</v>
      </c>
      <c r="W72" s="496">
        <f>+W68/'Income Statement'!W37</f>
        <v>0.90109890109890112</v>
      </c>
      <c r="X72" s="496">
        <f>+X68/'Income Statement'!X37</f>
        <v>8.5289855072463769</v>
      </c>
      <c r="Y72" s="497">
        <f>+Y68/'Income Statement'!Y37</f>
        <v>1.8700361010830324</v>
      </c>
      <c r="Z72" s="850">
        <f>+Z68/'Income Statement'!Z37</f>
        <v>0.37184115523465705</v>
      </c>
      <c r="AA72" s="496">
        <f>+AA68/'Income Statement'!AA37</f>
        <v>6.968641114982578E-2</v>
      </c>
      <c r="AB72" s="496">
        <f>+AB68/'Income Statement'!AB37</f>
        <v>11.395104895104895</v>
      </c>
      <c r="AC72" s="497">
        <f>+AC68/'Income Statement'!AC37</f>
        <v>0.98581560283687941</v>
      </c>
      <c r="AD72" s="850">
        <f>+AD68/'Income Statement'!AD37</f>
        <v>0.88442565186751232</v>
      </c>
      <c r="AE72" s="496">
        <f>+AE68/'Income Statement'!AE37</f>
        <v>0.81090651558073656</v>
      </c>
      <c r="AF72" s="496">
        <f>+AF68/'Income Statement'!AF37</f>
        <v>12.364149611856035</v>
      </c>
      <c r="AG72" s="497">
        <f>+AG68/'Income Statement'!AG37</f>
        <v>2.8325210143391963</v>
      </c>
      <c r="AH72" s="850">
        <f>+AH68/'Income Statement'!AH37</f>
        <v>-0.63957597173144876</v>
      </c>
      <c r="AI72" s="496">
        <f>+AI68/'Income Statement'!AI37</f>
        <v>1.9366197183098592</v>
      </c>
      <c r="AJ72" s="496">
        <f>+AJ68/'Income Statement'!AJ37</f>
        <v>13.7116672541417</v>
      </c>
      <c r="AK72" s="497">
        <f>+AK68/'Income Statement'!AK37</f>
        <v>1.3250883392226149</v>
      </c>
      <c r="AL72" s="850">
        <f>+AL68/'Income Statement'!AL37</f>
        <v>1.1625441696113075</v>
      </c>
      <c r="AM72" s="496">
        <f>+AM68/'Income Statement'!AM37</f>
        <v>3.6678445229681977</v>
      </c>
      <c r="AN72" s="496">
        <f>+AN68/'Income Statement'!AN37</f>
        <v>15.488454706927175</v>
      </c>
      <c r="AO72" s="497">
        <f>+AO68/'Income Statement'!AO37</f>
        <v>1.2624113475177305</v>
      </c>
      <c r="AP72" s="850">
        <f>+AP68/'Income Statement'!AP37</f>
        <v>2.1316725978647688</v>
      </c>
      <c r="AQ72" s="496">
        <f>+AQ68/'Income Statement'!AQ37</f>
        <v>5.448695030389703</v>
      </c>
      <c r="AR72" s="496">
        <f>+AR68/'Income Statement'!AR37</f>
        <v>16.245068443728744</v>
      </c>
      <c r="AS72" s="497">
        <f>+AS68/'Income Statement'!AS37</f>
        <v>4.5064618099130316</v>
      </c>
      <c r="AT72" s="850">
        <f>+AT68/'Income Statement'!AT37</f>
        <v>3.8167484136849277</v>
      </c>
      <c r="AU72" s="496">
        <f>+AU68/'Income Statement'!AU37</f>
        <v>3.0752238443869233</v>
      </c>
      <c r="AV72" s="496">
        <f>+AV68/'Income Statement'!AV37</f>
        <v>17.796131824385053</v>
      </c>
      <c r="AW72" s="497">
        <f>+AW68/'Income Statement'!AW37</f>
        <v>3.582006859439324</v>
      </c>
      <c r="AX72" s="850">
        <f>+AX68/'Income Statement'!AX37</f>
        <v>5.1960491887082831</v>
      </c>
      <c r="AY72" s="496">
        <f>+AY68/'Income Statement'!AY37</f>
        <v>3.3202853194803081</v>
      </c>
      <c r="AZ72" s="496">
        <f>+AZ68/'Income Statement'!AZ37</f>
        <v>19.330199126552653</v>
      </c>
      <c r="BA72" s="497">
        <f>+BA68/'Income Statement'!BA37</f>
        <v>4.2192766961314927</v>
      </c>
      <c r="BB72" s="439"/>
      <c r="BC72" s="851"/>
      <c r="BD72" s="850">
        <f t="shared" ref="BD72" si="283">+SUM(B72:E72)</f>
        <v>175.68591246215087</v>
      </c>
      <c r="BE72" s="850">
        <f t="shared" ref="BE72" si="284">+SUM(F72:I72)</f>
        <v>5.2567084078711988</v>
      </c>
      <c r="BF72" s="850">
        <f t="shared" ref="BF72" si="285">+SUM(J72:M72)</f>
        <v>7.5849461667409468</v>
      </c>
      <c r="BG72" s="850">
        <f t="shared" ref="BG72" si="286">SUM(N72:Q72)</f>
        <v>8.2072843822843833</v>
      </c>
      <c r="BH72" s="1249">
        <f t="shared" ref="BH72" si="287">SUM(R72:U72)</f>
        <v>8.6386421137369904</v>
      </c>
      <c r="BI72" s="1249">
        <f t="shared" ref="BI72" si="288">SUM(V72:Y72)</f>
        <v>11.326535603767933</v>
      </c>
      <c r="BJ72" s="1250">
        <f t="shared" ref="BJ72" si="289">SUM(Z72:AC72)</f>
        <v>12.822448064326258</v>
      </c>
      <c r="BK72" s="1661">
        <f>SUM(AD72:AG72)</f>
        <v>16.892002793643481</v>
      </c>
      <c r="BL72" s="497">
        <f>SUM(AH72:AK72)</f>
        <v>16.333799339942725</v>
      </c>
      <c r="BM72" s="1661">
        <f>SUM(AP72:AS72)</f>
        <v>28.331897881896246</v>
      </c>
      <c r="BN72" s="497">
        <f>SUM(AT72:AW72)</f>
        <v>28.270110941896228</v>
      </c>
      <c r="BO72" s="497">
        <f>SUM(AT72:AW72)</f>
        <v>28.270110941896228</v>
      </c>
      <c r="BP72" s="497">
        <f>SUM(AX72:BA72)</f>
        <v>32.065810330872736</v>
      </c>
      <c r="BR72" s="166"/>
      <c r="BS72" s="1403"/>
      <c r="BT72" s="1403"/>
      <c r="BU72" s="335"/>
      <c r="BV72" s="335"/>
      <c r="BW72" s="335"/>
      <c r="BX72" s="335"/>
      <c r="BY72" s="335"/>
      <c r="BZ72" s="335"/>
      <c r="CA72" s="335"/>
      <c r="CB72" s="335"/>
      <c r="CC72" s="335"/>
      <c r="CD72" s="335"/>
      <c r="CE72" s="335"/>
      <c r="CF72" s="335"/>
      <c r="CG72" s="335"/>
      <c r="CH72" s="335"/>
    </row>
    <row r="73" spans="1:220" s="167" customFormat="1" ht="12.75">
      <c r="A73" s="852" t="s">
        <v>356</v>
      </c>
      <c r="B73" s="1339">
        <f>+B68/'Income Statement'!B9</f>
        <v>-0.36185133239831696</v>
      </c>
      <c r="C73" s="853">
        <f>+C68/'Income Statement'!C9</f>
        <v>49.570964247020584</v>
      </c>
      <c r="D73" s="853">
        <f>+D68/'Income Statement'!D9</f>
        <v>0.67578125</v>
      </c>
      <c r="E73" s="853">
        <f>+E68/'Income Statement'!E9</f>
        <v>-0.46949602122015915</v>
      </c>
      <c r="F73" s="854">
        <f>+F68/'Income Statement'!F9</f>
        <v>-0.37403598971722363</v>
      </c>
      <c r="G73" s="853">
        <f>+G68/'Income Statement'!G9</f>
        <v>0.24212598425196849</v>
      </c>
      <c r="H73" s="855">
        <f>+H68/'Income Statement'!H9</f>
        <v>0.69106650924832747</v>
      </c>
      <c r="I73" s="855">
        <f>+I68/'Income Statement'!I9</f>
        <v>-0.40617577197149646</v>
      </c>
      <c r="J73" s="856">
        <f>+J68/'Income Statement'!J9</f>
        <v>-0.14065934065934066</v>
      </c>
      <c r="K73" s="855">
        <f>+K68/'Income Statement'!K9</f>
        <v>0.16803584764749813</v>
      </c>
      <c r="L73" s="855">
        <f>+L68/'Income Statement'!L9</f>
        <v>0.67135989010989006</v>
      </c>
      <c r="M73" s="855">
        <f>+M68/'Income Statement'!M9</f>
        <v>-7.407407407407407E-2</v>
      </c>
      <c r="N73" s="856">
        <f>+N68/'Income Statement'!N9</f>
        <v>-0.17519685039370078</v>
      </c>
      <c r="O73" s="855">
        <f>+O68/'Income Statement'!O9</f>
        <v>0.19707057256990679</v>
      </c>
      <c r="P73" s="855">
        <f>+P68/'Income Statement'!P9</f>
        <v>0.67206601466992666</v>
      </c>
      <c r="Q73" s="855">
        <f>+Q68/'Income Statement'!Q9</f>
        <v>-0.1488933601609658</v>
      </c>
      <c r="R73" s="856">
        <f>+R68/'Income Statement'!R9</f>
        <v>-0.14163090128755365</v>
      </c>
      <c r="S73" s="855">
        <f>+S68/'Income Statement'!S9</f>
        <v>0.16922169811320756</v>
      </c>
      <c r="T73" s="855">
        <f>+T68/'Income Statement'!T9</f>
        <v>0.63224516988674218</v>
      </c>
      <c r="U73" s="857">
        <f>+U68/'Income Statement'!U9</f>
        <v>0.14151982378854625</v>
      </c>
      <c r="V73" s="856">
        <f>+V68/'Income Statement'!V9</f>
        <v>5.2910052910052907E-3</v>
      </c>
      <c r="W73" s="855">
        <f>+W68/'Income Statement'!W9</f>
        <v>0.15609137055837563</v>
      </c>
      <c r="X73" s="855">
        <f>+X68/'Income Statement'!X9</f>
        <v>0.5641025641025641</v>
      </c>
      <c r="Y73" s="857">
        <f>+Y68/'Income Statement'!Y9</f>
        <v>0.20226474033580633</v>
      </c>
      <c r="Z73" s="856">
        <f>+Z68/'Income Statement'!Z9</f>
        <v>5.1320378674638761E-2</v>
      </c>
      <c r="AA73" s="855">
        <f>+AA68/'Income Statement'!AA9</f>
        <v>7.4822297044519264E-3</v>
      </c>
      <c r="AB73" s="855">
        <f>+AB68/'Income Statement'!AB9</f>
        <v>0.57865767045454553</v>
      </c>
      <c r="AC73" s="857">
        <f>+AC68/'Income Statement'!AC9</f>
        <v>0.11516155758077878</v>
      </c>
      <c r="AD73" s="856">
        <f>+AD68/'Income Statement'!AD9</f>
        <v>9.6649980747015793E-2</v>
      </c>
      <c r="AE73" s="855">
        <f>+AE68/'Income Statement'!AE9</f>
        <v>7.5304176257809927E-2</v>
      </c>
      <c r="AF73" s="855">
        <f>+AF68/'Income Statement'!AF9</f>
        <v>0.58225324027916248</v>
      </c>
      <c r="AG73" s="857">
        <f>+AG68/'Income Statement'!AG9</f>
        <v>0.29572271386430676</v>
      </c>
      <c r="AH73" s="855">
        <f>+AH68/'Income Statement'!AH9</f>
        <v>-6.0779046339825386E-2</v>
      </c>
      <c r="AI73" s="855">
        <f>+AI68/'Income Statement'!AI9</f>
        <v>0.16243354991139988</v>
      </c>
      <c r="AJ73" s="855">
        <f>+AJ68/'Income Statement'!AJ9</f>
        <v>0.57740834199198465</v>
      </c>
      <c r="AK73" s="857">
        <f>+AK68/'Income Statement'!AK9</f>
        <v>0.11777638190954773</v>
      </c>
      <c r="AL73" s="855">
        <f>+AL68/'Income Statement'!AL9</f>
        <v>0.10021321961620469</v>
      </c>
      <c r="AM73" s="855">
        <f>+AM68/'Income Statement'!AM9</f>
        <v>0.26192278576835731</v>
      </c>
      <c r="AN73" s="855">
        <f>+AN68/'Income Statement'!AN9</f>
        <v>0.56229043074542173</v>
      </c>
      <c r="AO73" s="857">
        <f>+AO68/'Income Statement'!AO9</f>
        <v>9.2926128948055339E-2</v>
      </c>
      <c r="AP73" s="855">
        <f>+AP68/'Income Statement'!AP9</f>
        <v>0.15418275418275418</v>
      </c>
      <c r="AQ73" s="855">
        <f>+AQ68/'Income Statement'!AQ9</f>
        <v>0.32767146850139756</v>
      </c>
      <c r="AR73" s="855">
        <f>+AR68/'Income Statement'!AR9</f>
        <v>0.53527810263812747</v>
      </c>
      <c r="AS73" s="857">
        <f>+AS68/'Income Statement'!AS9</f>
        <v>0.29639496246324776</v>
      </c>
      <c r="AT73" s="855">
        <f>+AT68/'Income Statement'!AT9</f>
        <v>0.24279679991068404</v>
      </c>
      <c r="AU73" s="855">
        <f>+AU68/'Income Statement'!AU9</f>
        <v>0.16300505485180261</v>
      </c>
      <c r="AV73" s="855">
        <f>+AV68/'Income Statement'!AV9</f>
        <v>0.53752221083868001</v>
      </c>
      <c r="AW73" s="857">
        <f>+AW68/'Income Statement'!AW9</f>
        <v>0.21210607864265421</v>
      </c>
      <c r="AX73" s="855">
        <f>+AX68/'Income Statement'!AX9</f>
        <v>0.29223939656545994</v>
      </c>
      <c r="AY73" s="855">
        <f>+AY68/'Income Statement'!AY9</f>
        <v>0.15435381877130733</v>
      </c>
      <c r="AZ73" s="855">
        <f>+AZ68/'Income Statement'!AZ9</f>
        <v>0.52869621345510198</v>
      </c>
      <c r="BA73" s="857">
        <f>+BA68/'Income Statement'!BA9</f>
        <v>0.22153117437401762</v>
      </c>
      <c r="BB73" s="763"/>
      <c r="BC73" s="858"/>
      <c r="BD73" s="856">
        <f>+BD68/'Income Statement'!BD9</f>
        <v>9.9486578610992762</v>
      </c>
      <c r="BE73" s="856">
        <f>+BE68/'Income Statement'!BE9</f>
        <v>0.26443886420706975</v>
      </c>
      <c r="BF73" s="856">
        <f>+BF68/'Income Statement'!BF9</f>
        <v>0.32995850622406642</v>
      </c>
      <c r="BG73" s="856">
        <f>+BG68/'Income Statement'!BG9</f>
        <v>0.31972287735849059</v>
      </c>
      <c r="BH73" s="1251">
        <f>+BH68/'Income Statement'!BH9</f>
        <v>0.29652298476364108</v>
      </c>
      <c r="BI73" s="1251">
        <f>+BI68/'Income Statement'!BI9</f>
        <v>0.3244056887781584</v>
      </c>
      <c r="BJ73" s="1342">
        <f>+BJ68/'Income Statement'!BJ9</f>
        <v>0.28760018859028758</v>
      </c>
      <c r="BK73" s="2031">
        <f>+BK68/'Income Statement'!BK9</f>
        <v>0.33310133630289535</v>
      </c>
      <c r="BL73" s="2032">
        <f>+BL68/'Income Statement'!BL9</f>
        <v>0.28455634019035925</v>
      </c>
      <c r="BM73" s="2031">
        <f>+BM68/'Income Statement'!BM9</f>
        <v>0.32303117200361109</v>
      </c>
      <c r="BN73" s="2033">
        <f>+BN68/'Income Statement'!BN9</f>
        <v>0.3725680044067648</v>
      </c>
      <c r="BO73" s="2033">
        <f>+BO68/'Income Statement'!BO9</f>
        <v>0.33423606324361588</v>
      </c>
      <c r="BP73" s="2033">
        <f>+BP68/'Income Statement'!BP9</f>
        <v>0.33789417783413617</v>
      </c>
      <c r="BR73" s="166"/>
      <c r="BS73" s="1403"/>
      <c r="BT73" s="1403"/>
      <c r="BU73" s="335"/>
      <c r="BV73" s="335"/>
      <c r="BW73" s="335"/>
      <c r="BX73" s="335"/>
      <c r="BY73" s="335"/>
      <c r="BZ73" s="335"/>
      <c r="CA73" s="335"/>
      <c r="CB73" s="335"/>
      <c r="CC73" s="335"/>
      <c r="CD73" s="335"/>
      <c r="CE73" s="335"/>
      <c r="CF73" s="335"/>
      <c r="CG73" s="335"/>
      <c r="CH73" s="335"/>
    </row>
    <row r="74" spans="1:220" s="861" customFormat="1" ht="12">
      <c r="A74" s="288" t="s">
        <v>324</v>
      </c>
      <c r="B74" s="859"/>
      <c r="C74" s="859"/>
      <c r="D74" s="859"/>
      <c r="E74" s="859"/>
      <c r="F74" s="859"/>
      <c r="G74" s="859"/>
      <c r="H74" s="859"/>
      <c r="I74" s="859"/>
      <c r="J74" s="859"/>
      <c r="K74" s="859"/>
      <c r="L74" s="859"/>
      <c r="M74" s="859"/>
      <c r="N74" s="859"/>
      <c r="O74" s="859"/>
      <c r="P74" s="859"/>
      <c r="Q74" s="859"/>
      <c r="R74" s="859"/>
      <c r="S74" s="859"/>
      <c r="T74" s="859"/>
      <c r="U74" s="859"/>
      <c r="V74" s="859"/>
      <c r="W74" s="859"/>
      <c r="X74" s="859"/>
      <c r="Y74" s="859"/>
      <c r="Z74" s="859"/>
      <c r="AA74" s="859"/>
      <c r="AB74" s="859"/>
      <c r="AC74" s="859"/>
      <c r="AD74" s="859"/>
      <c r="AE74" s="859"/>
      <c r="AF74" s="859"/>
      <c r="AG74" s="859"/>
      <c r="AH74" s="859"/>
      <c r="AI74" s="859"/>
      <c r="AJ74" s="859"/>
      <c r="AK74" s="859"/>
      <c r="AL74" s="859"/>
      <c r="AM74" s="859"/>
      <c r="AN74" s="859"/>
      <c r="AO74" s="859"/>
      <c r="AP74" s="859"/>
      <c r="AQ74" s="859"/>
      <c r="AR74" s="859"/>
      <c r="AS74" s="859"/>
      <c r="AT74" s="859"/>
      <c r="AU74" s="859"/>
      <c r="AV74" s="859"/>
      <c r="AW74" s="859"/>
      <c r="AX74" s="859"/>
      <c r="AY74" s="859"/>
      <c r="AZ74" s="859"/>
      <c r="BA74" s="859"/>
      <c r="BB74" s="304"/>
      <c r="BC74" s="859"/>
      <c r="BD74" s="859"/>
      <c r="BE74" s="859"/>
      <c r="BF74" s="859"/>
      <c r="BG74" s="859"/>
      <c r="BH74" s="859"/>
      <c r="BI74" s="860"/>
      <c r="BJ74" s="860"/>
      <c r="BK74" s="860"/>
      <c r="BL74" s="860"/>
      <c r="BM74" s="860"/>
      <c r="BN74" s="860"/>
      <c r="BO74" s="860"/>
      <c r="BP74" s="860"/>
      <c r="BQ74" s="512"/>
      <c r="BR74" s="1404"/>
      <c r="BS74" s="1404"/>
      <c r="BT74" s="1404"/>
    </row>
    <row r="75" spans="1:220" s="167" customFormat="1" ht="12">
      <c r="A75" s="439"/>
      <c r="B75" s="439"/>
      <c r="C75" s="439"/>
      <c r="D75" s="439"/>
      <c r="E75" s="110"/>
      <c r="F75" s="439"/>
      <c r="G75" s="439"/>
      <c r="H75" s="439"/>
      <c r="I75" s="110"/>
      <c r="J75" s="439"/>
      <c r="K75" s="439"/>
      <c r="L75" s="439"/>
      <c r="M75" s="110"/>
      <c r="N75" s="439"/>
      <c r="O75" s="439"/>
      <c r="P75" s="439"/>
      <c r="Q75" s="110"/>
      <c r="R75" s="439"/>
      <c r="S75" s="439"/>
      <c r="T75" s="439"/>
      <c r="U75" s="110"/>
      <c r="V75" s="439"/>
      <c r="W75" s="439"/>
      <c r="X75" s="439"/>
      <c r="Y75" s="110"/>
      <c r="Z75" s="439"/>
      <c r="AA75" s="439"/>
      <c r="AB75" s="439"/>
      <c r="AC75" s="110"/>
      <c r="AD75" s="439"/>
      <c r="AE75" s="439"/>
      <c r="AF75" s="439"/>
      <c r="AG75" s="110"/>
      <c r="AH75" s="439"/>
      <c r="AI75" s="439"/>
      <c r="AJ75" s="439"/>
      <c r="AK75" s="110"/>
      <c r="AL75" s="439"/>
      <c r="AM75" s="439"/>
      <c r="AN75" s="439"/>
      <c r="AO75" s="110"/>
      <c r="AP75" s="439"/>
      <c r="AQ75" s="439"/>
      <c r="AR75" s="439"/>
      <c r="AS75" s="110"/>
      <c r="AT75" s="439"/>
      <c r="AU75" s="439"/>
      <c r="AV75" s="439"/>
      <c r="AW75" s="110"/>
      <c r="AX75" s="439"/>
      <c r="AY75" s="439"/>
      <c r="AZ75" s="439"/>
      <c r="BA75" s="110"/>
      <c r="BB75" s="439"/>
      <c r="BC75" s="862"/>
      <c r="BD75" s="862"/>
      <c r="BE75" s="862"/>
      <c r="BF75" s="862"/>
      <c r="BG75" s="862"/>
      <c r="BH75" s="862"/>
      <c r="BI75" s="862"/>
      <c r="BJ75" s="862"/>
      <c r="BK75" s="862"/>
      <c r="BL75" s="862"/>
      <c r="BM75" s="862"/>
      <c r="BN75" s="862"/>
      <c r="BO75" s="862"/>
      <c r="BP75" s="862"/>
      <c r="BR75" s="166"/>
      <c r="BS75" s="1383"/>
      <c r="BT75" s="1383"/>
      <c r="BU75" s="439"/>
      <c r="BV75" s="110"/>
      <c r="BW75" s="439"/>
      <c r="BX75" s="439"/>
      <c r="BY75" s="439"/>
      <c r="BZ75" s="110"/>
      <c r="CA75" s="439"/>
      <c r="CB75" s="439"/>
      <c r="CC75" s="439"/>
      <c r="CD75" s="110"/>
      <c r="CE75" s="439"/>
      <c r="CF75" s="439"/>
      <c r="CG75" s="439"/>
      <c r="CH75" s="110"/>
    </row>
    <row r="76" spans="1:220" ht="11.25" customHeight="1">
      <c r="A76" s="863" t="s">
        <v>333</v>
      </c>
      <c r="B76" s="864" t="str">
        <f t="shared" ref="B76:AO76" si="290">IF(B62&lt;&gt;B59+B61,"X","--")</f>
        <v>--</v>
      </c>
      <c r="C76" s="864" t="str">
        <f t="shared" si="290"/>
        <v>--</v>
      </c>
      <c r="D76" s="864" t="str">
        <f t="shared" si="290"/>
        <v>--</v>
      </c>
      <c r="E76" s="864" t="str">
        <f t="shared" si="290"/>
        <v>--</v>
      </c>
      <c r="F76" s="864" t="str">
        <f t="shared" si="290"/>
        <v>--</v>
      </c>
      <c r="G76" s="864" t="str">
        <f t="shared" si="290"/>
        <v>--</v>
      </c>
      <c r="H76" s="864" t="str">
        <f t="shared" si="290"/>
        <v>--</v>
      </c>
      <c r="I76" s="864" t="str">
        <f t="shared" si="290"/>
        <v>--</v>
      </c>
      <c r="J76" s="864" t="str">
        <f t="shared" si="290"/>
        <v>--</v>
      </c>
      <c r="K76" s="864" t="str">
        <f t="shared" si="290"/>
        <v>--</v>
      </c>
      <c r="L76" s="864" t="str">
        <f t="shared" si="290"/>
        <v>--</v>
      </c>
      <c r="M76" s="864" t="str">
        <f t="shared" si="290"/>
        <v>--</v>
      </c>
      <c r="N76" s="864" t="str">
        <f t="shared" si="290"/>
        <v>--</v>
      </c>
      <c r="O76" s="864" t="str">
        <f t="shared" si="290"/>
        <v>--</v>
      </c>
      <c r="P76" s="864" t="str">
        <f t="shared" si="290"/>
        <v>--</v>
      </c>
      <c r="Q76" s="864" t="str">
        <f t="shared" si="290"/>
        <v>--</v>
      </c>
      <c r="R76" s="864" t="str">
        <f t="shared" si="290"/>
        <v>--</v>
      </c>
      <c r="S76" s="864" t="str">
        <f t="shared" si="290"/>
        <v>--</v>
      </c>
      <c r="T76" s="864" t="str">
        <f t="shared" si="290"/>
        <v>--</v>
      </c>
      <c r="U76" s="864" t="str">
        <f t="shared" si="290"/>
        <v>--</v>
      </c>
      <c r="V76" s="864" t="str">
        <f t="shared" si="290"/>
        <v>--</v>
      </c>
      <c r="W76" s="864" t="str">
        <f t="shared" si="290"/>
        <v>--</v>
      </c>
      <c r="X76" s="864" t="str">
        <f t="shared" si="290"/>
        <v>--</v>
      </c>
      <c r="Y76" s="864" t="str">
        <f t="shared" si="290"/>
        <v>--</v>
      </c>
      <c r="Z76" s="864" t="str">
        <f t="shared" si="290"/>
        <v>--</v>
      </c>
      <c r="AA76" s="864" t="str">
        <f t="shared" si="290"/>
        <v>--</v>
      </c>
      <c r="AB76" s="864" t="str">
        <f t="shared" si="290"/>
        <v>--</v>
      </c>
      <c r="AC76" s="864" t="str">
        <f t="shared" si="290"/>
        <v>--</v>
      </c>
      <c r="AD76" s="864" t="str">
        <f t="shared" si="290"/>
        <v>--</v>
      </c>
      <c r="AE76" s="864" t="str">
        <f t="shared" si="290"/>
        <v>--</v>
      </c>
      <c r="AF76" s="864" t="str">
        <f t="shared" si="290"/>
        <v>--</v>
      </c>
      <c r="AG76" s="864" t="str">
        <f t="shared" si="290"/>
        <v>--</v>
      </c>
      <c r="AH76" s="864" t="str">
        <f t="shared" si="290"/>
        <v>--</v>
      </c>
      <c r="AI76" s="864" t="str">
        <f t="shared" si="290"/>
        <v>--</v>
      </c>
      <c r="AJ76" s="864" t="str">
        <f t="shared" si="290"/>
        <v>--</v>
      </c>
      <c r="AK76" s="864" t="str">
        <f t="shared" si="290"/>
        <v>--</v>
      </c>
      <c r="AL76" s="864" t="str">
        <f t="shared" si="290"/>
        <v>--</v>
      </c>
      <c r="AM76" s="864" t="str">
        <f t="shared" si="290"/>
        <v>--</v>
      </c>
      <c r="AN76" s="864" t="str">
        <f t="shared" si="290"/>
        <v>--</v>
      </c>
      <c r="AO76" s="864" t="str">
        <f t="shared" si="290"/>
        <v>--</v>
      </c>
      <c r="AP76" s="864" t="str">
        <f t="shared" ref="AP76:AQ76" si="291">IF(AP62&lt;&gt;AP59+AP61,"X","--")</f>
        <v>--</v>
      </c>
      <c r="AQ76" s="864" t="str">
        <f t="shared" si="291"/>
        <v>--</v>
      </c>
      <c r="AR76" s="864" t="str">
        <f t="shared" ref="AR76:AS76" si="292">IF(AR62&lt;&gt;AR59+AR61,"X","--")</f>
        <v>--</v>
      </c>
      <c r="AS76" s="864" t="str">
        <f t="shared" si="292"/>
        <v>--</v>
      </c>
      <c r="AT76" s="864" t="str">
        <f t="shared" ref="AT76:AW76" si="293">IF(AT62&lt;&gt;AT59+AT61,"X","--")</f>
        <v>--</v>
      </c>
      <c r="AU76" s="864" t="str">
        <f t="shared" si="293"/>
        <v>--</v>
      </c>
      <c r="AV76" s="864" t="str">
        <f t="shared" si="293"/>
        <v>--</v>
      </c>
      <c r="AW76" s="864" t="str">
        <f t="shared" si="293"/>
        <v>--</v>
      </c>
      <c r="AX76" s="864" t="str">
        <f t="shared" ref="AX76:BA76" si="294">IF(AX62&lt;&gt;AX59+AX61,"X","--")</f>
        <v>--</v>
      </c>
      <c r="AY76" s="864" t="str">
        <f t="shared" si="294"/>
        <v>--</v>
      </c>
      <c r="AZ76" s="864" t="str">
        <f t="shared" si="294"/>
        <v>--</v>
      </c>
      <c r="BA76" s="864" t="str">
        <f t="shared" si="294"/>
        <v>--</v>
      </c>
      <c r="BC76" s="864"/>
      <c r="BD76" s="864" t="str">
        <f t="shared" ref="BD76:BM76" si="295">IF(BD62&lt;&gt;BD59+BD61,"X","--")</f>
        <v>--</v>
      </c>
      <c r="BE76" s="864" t="str">
        <f t="shared" si="295"/>
        <v>--</v>
      </c>
      <c r="BF76" s="864" t="str">
        <f t="shared" si="295"/>
        <v>--</v>
      </c>
      <c r="BG76" s="864" t="str">
        <f t="shared" si="295"/>
        <v>--</v>
      </c>
      <c r="BH76" s="864" t="str">
        <f t="shared" si="295"/>
        <v>X</v>
      </c>
      <c r="BI76" s="864" t="str">
        <f t="shared" si="295"/>
        <v>--</v>
      </c>
      <c r="BJ76" s="864" t="str">
        <f t="shared" si="295"/>
        <v>--</v>
      </c>
      <c r="BK76" s="864" t="str">
        <f t="shared" si="295"/>
        <v>--</v>
      </c>
      <c r="BL76" s="864" t="str">
        <f t="shared" si="295"/>
        <v>--</v>
      </c>
      <c r="BM76" s="864" t="str">
        <f t="shared" si="295"/>
        <v>--</v>
      </c>
      <c r="BN76" s="864" t="str">
        <f t="shared" ref="BN76:BO76" si="296">IF(BN62&lt;&gt;BN59+BN61,"X","--")</f>
        <v>--</v>
      </c>
      <c r="BO76" s="864" t="str">
        <f t="shared" si="296"/>
        <v>--</v>
      </c>
      <c r="BP76" s="864" t="str">
        <f t="shared" ref="BP76" si="297">IF(BP62&lt;&gt;BP59+BP61,"X","--")</f>
        <v>--</v>
      </c>
    </row>
    <row r="78" spans="1:220" s="861" customFormat="1" ht="12">
      <c r="A78" s="865"/>
      <c r="B78" s="859"/>
      <c r="C78" s="859"/>
      <c r="D78" s="859"/>
      <c r="E78" s="859"/>
      <c r="F78" s="859"/>
      <c r="G78" s="859"/>
      <c r="H78" s="859"/>
      <c r="I78" s="859"/>
      <c r="J78" s="859"/>
      <c r="K78" s="859"/>
      <c r="L78" s="866"/>
      <c r="M78" s="859"/>
      <c r="N78" s="859"/>
      <c r="O78" s="859"/>
      <c r="P78" s="859"/>
      <c r="Q78" s="859"/>
      <c r="R78" s="859"/>
      <c r="S78" s="859"/>
      <c r="T78" s="859"/>
      <c r="U78" s="859"/>
      <c r="V78" s="859"/>
      <c r="W78" s="859"/>
      <c r="X78" s="859"/>
      <c r="Y78" s="859"/>
      <c r="Z78" s="859"/>
      <c r="AA78" s="859"/>
      <c r="AB78" s="859"/>
      <c r="AC78" s="859"/>
      <c r="AD78" s="859"/>
      <c r="AE78" s="859"/>
      <c r="AF78" s="859"/>
      <c r="AG78" s="859"/>
      <c r="AH78" s="859"/>
      <c r="AI78" s="859"/>
      <c r="AJ78" s="859"/>
      <c r="AK78" s="859"/>
      <c r="AL78" s="859"/>
      <c r="AM78" s="859"/>
      <c r="AN78" s="859"/>
      <c r="AO78" s="859"/>
      <c r="AP78" s="859"/>
      <c r="AQ78" s="859"/>
      <c r="AR78" s="859"/>
      <c r="AS78" s="859"/>
      <c r="AT78" s="859"/>
      <c r="AU78" s="859"/>
      <c r="AV78" s="859"/>
      <c r="AW78" s="859"/>
      <c r="AX78" s="859"/>
      <c r="AY78" s="859"/>
      <c r="AZ78" s="859"/>
      <c r="BA78" s="859"/>
      <c r="BB78" s="304"/>
      <c r="BC78" s="859"/>
      <c r="BD78" s="859"/>
      <c r="BE78" s="859"/>
      <c r="BF78" s="859"/>
      <c r="BG78" s="859"/>
      <c r="BH78" s="859"/>
      <c r="BI78" s="859"/>
      <c r="BJ78" s="859"/>
      <c r="BK78" s="859"/>
      <c r="BL78" s="859"/>
      <c r="BM78" s="859"/>
      <c r="BN78" s="859"/>
      <c r="BO78" s="859"/>
      <c r="BP78" s="859"/>
      <c r="BQ78" s="859"/>
      <c r="BR78" s="1404"/>
      <c r="BS78" s="1404"/>
      <c r="BT78" s="1404"/>
    </row>
    <row r="79" spans="1:220" s="327" customFormat="1" ht="12.75" customHeight="1">
      <c r="A79" s="492" t="s">
        <v>232</v>
      </c>
      <c r="I79" s="324"/>
      <c r="BR79" s="1405"/>
      <c r="BS79" s="1405"/>
      <c r="BT79" s="1405"/>
    </row>
    <row r="80" spans="1:220" s="327" customFormat="1" ht="12.75" customHeight="1">
      <c r="A80" s="414" t="s">
        <v>16</v>
      </c>
      <c r="B80" s="905">
        <f>+'Balance Sheet'!B64</f>
        <v>713</v>
      </c>
      <c r="C80" s="905">
        <f>+'Balance Sheet'!C64</f>
        <v>923</v>
      </c>
      <c r="D80" s="905">
        <f>+'Balance Sheet'!D64</f>
        <v>2304</v>
      </c>
      <c r="E80" s="905">
        <f>+'Balance Sheet'!E64</f>
        <v>754</v>
      </c>
      <c r="F80" s="905">
        <f>+'Balance Sheet'!F64</f>
        <v>778</v>
      </c>
      <c r="G80" s="905">
        <f>+'Balance Sheet'!G64</f>
        <v>1016</v>
      </c>
      <c r="H80" s="905">
        <f>+'Balance Sheet'!H64</f>
        <v>2541</v>
      </c>
      <c r="I80" s="905">
        <f>+'Balance Sheet'!I64</f>
        <v>842</v>
      </c>
      <c r="J80" s="905">
        <f>+'Balance Sheet'!J64</f>
        <v>910</v>
      </c>
      <c r="K80" s="905">
        <f>+'Balance Sheet'!K64</f>
        <v>1339</v>
      </c>
      <c r="L80" s="905">
        <f>+'Balance Sheet'!L64</f>
        <v>2912</v>
      </c>
      <c r="M80" s="905">
        <f>+'Balance Sheet'!M64</f>
        <v>864</v>
      </c>
      <c r="N80" s="905">
        <f>+'Balance Sheet'!N64</f>
        <v>1016</v>
      </c>
      <c r="O80" s="905">
        <f>+'Balance Sheet'!O64</f>
        <v>1502</v>
      </c>
      <c r="P80" s="905">
        <f>+'Balance Sheet'!P64</f>
        <v>3272</v>
      </c>
      <c r="Q80" s="905">
        <f>+'Balance Sheet'!Q64</f>
        <v>994</v>
      </c>
      <c r="R80" s="905">
        <f>+'Balance Sheet'!R64</f>
        <v>1165</v>
      </c>
      <c r="S80" s="905">
        <f>+'Balance Sheet'!S64</f>
        <v>1696</v>
      </c>
      <c r="T80" s="905">
        <f>+'Balance Sheet'!T64</f>
        <v>3002</v>
      </c>
      <c r="U80" s="905">
        <f>+'Balance Sheet'!U64</f>
        <v>1816</v>
      </c>
      <c r="V80" s="905">
        <f>+'Balance Sheet'!V64</f>
        <v>1323</v>
      </c>
      <c r="W80" s="905">
        <f>+'Balance Sheet'!W64</f>
        <v>1576</v>
      </c>
      <c r="X80" s="905">
        <f>+'Balance Sheet'!X64</f>
        <v>4173</v>
      </c>
      <c r="Y80" s="905">
        <f>+'Balance Sheet'!Y64</f>
        <v>2561</v>
      </c>
      <c r="Z80" s="905">
        <f>+'Balance Sheet'!Z64</f>
        <v>2007</v>
      </c>
      <c r="AA80" s="905">
        <f>+'Balance Sheet'!AA64</f>
        <v>2673</v>
      </c>
      <c r="AB80" s="905">
        <f>+'Balance Sheet'!AB64</f>
        <v>5631.9999999999991</v>
      </c>
      <c r="AC80" s="905">
        <f>+'Balance Sheet'!AC64</f>
        <v>2414</v>
      </c>
      <c r="AD80" s="905">
        <f>+'Balance Sheet'!AD64</f>
        <v>2597</v>
      </c>
      <c r="AE80" s="905">
        <f>+'Balance Sheet'!AE64</f>
        <v>3041</v>
      </c>
      <c r="AF80" s="905">
        <f>+'Balance Sheet'!AF64</f>
        <v>6018</v>
      </c>
      <c r="AG80" s="905">
        <f>+'Balance Sheet'!AG64</f>
        <v>2712</v>
      </c>
      <c r="AH80" s="905">
        <f>+'Balance Sheet'!AH64</f>
        <v>2978</v>
      </c>
      <c r="AI80" s="905">
        <f>+'Balance Sheet'!AI64</f>
        <v>3386</v>
      </c>
      <c r="AJ80" s="905">
        <f>+'Balance Sheet'!AJ64</f>
        <v>6736.9999999999991</v>
      </c>
      <c r="AK80" s="905">
        <f>+'Balance Sheet'!AK64</f>
        <v>3184.0000000000005</v>
      </c>
      <c r="AL80" s="905">
        <f>+'Balance Sheet'!AL64</f>
        <v>3283</v>
      </c>
      <c r="AM80" s="905">
        <f>+'Balance Sheet'!AM64</f>
        <v>3963</v>
      </c>
      <c r="AN80" s="905">
        <f>+'Balance Sheet'!AN64</f>
        <v>7754</v>
      </c>
      <c r="AO80" s="905">
        <f>+'Balance Sheet'!AO64</f>
        <v>3831</v>
      </c>
      <c r="AP80" s="905">
        <f>+'Balance Sheet'!AP64</f>
        <v>3885</v>
      </c>
      <c r="AQ80" s="905">
        <f>+'Balance Sheet'!AQ64</f>
        <v>4651</v>
      </c>
      <c r="AR80" s="905">
        <f>+'Balance Sheet'!AR64</f>
        <v>8488.57</v>
      </c>
      <c r="AS80" s="905">
        <f>+'Balance Sheet'!AS64</f>
        <v>4252.6274999999996</v>
      </c>
      <c r="AT80" s="905">
        <f>+'Balance Sheet'!AT64</f>
        <v>4417.3</v>
      </c>
      <c r="AU80" s="905">
        <f>+'Balance Sheet'!AU64</f>
        <v>5301.2951105004904</v>
      </c>
      <c r="AV80" s="905">
        <f>+'Balance Sheet'!AV64</f>
        <v>9303.2677381828289</v>
      </c>
      <c r="AW80" s="905">
        <f>+'Balance Sheet'!AW64</f>
        <v>4745.4742171638809</v>
      </c>
      <c r="AX80" s="905">
        <f>+'Balance Sheet'!AX64</f>
        <v>4978.4313475080407</v>
      </c>
      <c r="AY80" s="905">
        <f>+'Balance Sheet'!AY64</f>
        <v>6023.0443072607904</v>
      </c>
      <c r="AZ80" s="905">
        <f>+'Balance Sheet'!AZ64</f>
        <v>10237.364326980149</v>
      </c>
      <c r="BA80" s="905">
        <f>+'Balance Sheet'!BA64</f>
        <v>5332.8723519617597</v>
      </c>
      <c r="BR80" s="1405"/>
      <c r="BS80" s="1405"/>
      <c r="BT80" s="1405"/>
    </row>
    <row r="81" spans="1:72" s="327" customFormat="1" ht="12.75" customHeight="1">
      <c r="A81" s="414" t="s">
        <v>334</v>
      </c>
      <c r="B81" s="905">
        <f>+'Balance Sheet'!B65</f>
        <v>158</v>
      </c>
      <c r="C81" s="905">
        <f>+'Balance Sheet'!C65</f>
        <v>191</v>
      </c>
      <c r="D81" s="905">
        <f>+'Balance Sheet'!D65</f>
        <v>209</v>
      </c>
      <c r="E81" s="905">
        <f>+'Balance Sheet'!E65</f>
        <v>164</v>
      </c>
      <c r="F81" s="905">
        <f>+'Balance Sheet'!F65</f>
        <v>178</v>
      </c>
      <c r="G81" s="905">
        <f>+'Balance Sheet'!G65</f>
        <v>201</v>
      </c>
      <c r="H81" s="905">
        <f>+'Balance Sheet'!H65</f>
        <v>232</v>
      </c>
      <c r="I81" s="905">
        <f>+'Balance Sheet'!I65</f>
        <v>178</v>
      </c>
      <c r="J81" s="905">
        <f>+'Balance Sheet'!J65</f>
        <v>193</v>
      </c>
      <c r="K81" s="905">
        <f>+'Balance Sheet'!K65</f>
        <v>230</v>
      </c>
      <c r="L81" s="905">
        <f>+'Balance Sheet'!L65</f>
        <v>286</v>
      </c>
      <c r="M81" s="905">
        <f>+'Balance Sheet'!M65</f>
        <v>211</v>
      </c>
      <c r="N81" s="905">
        <f>+'Balance Sheet'!N65</f>
        <v>228</v>
      </c>
      <c r="O81" s="905">
        <f>+'Balance Sheet'!O65</f>
        <v>265</v>
      </c>
      <c r="P81" s="905">
        <f>+'Balance Sheet'!P65</f>
        <v>334</v>
      </c>
      <c r="Q81" s="905">
        <f>+'Balance Sheet'!Q65</f>
        <v>262</v>
      </c>
      <c r="R81" s="905">
        <f>+'Balance Sheet'!R65</f>
        <v>269</v>
      </c>
      <c r="S81" s="905">
        <f>+'Balance Sheet'!S65</f>
        <v>320</v>
      </c>
      <c r="T81" s="905">
        <f>+'Balance Sheet'!T65</f>
        <v>406</v>
      </c>
      <c r="U81" s="905">
        <f>+'Balance Sheet'!U65</f>
        <v>301</v>
      </c>
      <c r="V81" s="905">
        <f>+'Balance Sheet'!V65</f>
        <v>234</v>
      </c>
      <c r="W81" s="905">
        <f>+'Balance Sheet'!W65</f>
        <v>337</v>
      </c>
      <c r="X81" s="905">
        <f>+'Balance Sheet'!X65</f>
        <v>565</v>
      </c>
      <c r="Y81" s="905">
        <f>+'Balance Sheet'!Y65</f>
        <v>428</v>
      </c>
      <c r="Z81" s="905">
        <f>+'Balance Sheet'!Z65</f>
        <v>375</v>
      </c>
      <c r="AA81" s="905">
        <f>+'Balance Sheet'!AA65</f>
        <v>485</v>
      </c>
      <c r="AB81" s="905">
        <f>+'Balance Sheet'!AB65</f>
        <v>742</v>
      </c>
      <c r="AC81" s="905">
        <f>+'Balance Sheet'!AC65</f>
        <v>518</v>
      </c>
      <c r="AD81" s="905">
        <f>+'Balance Sheet'!AD65</f>
        <v>549</v>
      </c>
      <c r="AE81" s="905">
        <f>+'Balance Sheet'!AE65</f>
        <v>641</v>
      </c>
      <c r="AF81" s="905">
        <f>+'Balance Sheet'!AF65</f>
        <v>827</v>
      </c>
      <c r="AG81" s="905">
        <f>+'Balance Sheet'!AG65</f>
        <v>589</v>
      </c>
      <c r="AH81" s="905">
        <f>+'Balance Sheet'!AH65</f>
        <v>621</v>
      </c>
      <c r="AI81" s="905">
        <f>+'Balance Sheet'!AI65</f>
        <v>718</v>
      </c>
      <c r="AJ81" s="905">
        <f>+'Balance Sheet'!AJ65</f>
        <v>933</v>
      </c>
      <c r="AK81" s="905">
        <f>+'Balance Sheet'!AK65</f>
        <v>645</v>
      </c>
      <c r="AL81" s="905">
        <f>+'Balance Sheet'!AL65</f>
        <v>675</v>
      </c>
      <c r="AM81" s="905">
        <f>+'Balance Sheet'!AM65</f>
        <v>790</v>
      </c>
      <c r="AN81" s="905">
        <f>+'Balance Sheet'!AN65</f>
        <v>1055</v>
      </c>
      <c r="AO81" s="905">
        <f>+'Balance Sheet'!AO65</f>
        <v>749</v>
      </c>
      <c r="AP81" s="905">
        <f>+'Balance Sheet'!AP65</f>
        <v>742</v>
      </c>
      <c r="AQ81" s="905">
        <f>+'Balance Sheet'!AQ65</f>
        <v>905</v>
      </c>
      <c r="AR81" s="905">
        <f>+'Balance Sheet'!AR65</f>
        <v>1158.3487946919313</v>
      </c>
      <c r="AS81" s="905">
        <f>+'Balance Sheet'!AS65</f>
        <v>837.01950039539156</v>
      </c>
      <c r="AT81" s="905">
        <f>+'Balance Sheet'!AT65</f>
        <v>848.13785722849968</v>
      </c>
      <c r="AU81" s="905">
        <f>+'Balance Sheet'!AU65</f>
        <v>1042.9290240786847</v>
      </c>
      <c r="AV81" s="905">
        <f>+'Balance Sheet'!AV65</f>
        <v>1273.4117853917912</v>
      </c>
      <c r="AW81" s="905">
        <f>+'Balance Sheet'!AW65</f>
        <v>940.16541305991564</v>
      </c>
      <c r="AX81" s="905">
        <f>+'Balance Sheet'!AX65</f>
        <v>961.48979785846302</v>
      </c>
      <c r="AY81" s="905">
        <f>+'Balance Sheet'!AY65</f>
        <v>1197.830575835671</v>
      </c>
      <c r="AZ81" s="905">
        <f>+'Balance Sheet'!AZ65</f>
        <v>1405.8499303925648</v>
      </c>
      <c r="BA81" s="905">
        <f>+'Balance Sheet'!BA65</f>
        <v>1063.2876500525883</v>
      </c>
      <c r="BR81" s="1405"/>
      <c r="BS81" s="1405"/>
      <c r="BT81" s="1405"/>
    </row>
    <row r="82" spans="1:72" s="327" customFormat="1" ht="12.75" customHeight="1">
      <c r="A82" s="414" t="s">
        <v>335</v>
      </c>
      <c r="B82" s="905">
        <f>+'Balance Sheet'!B66</f>
        <v>192</v>
      </c>
      <c r="C82" s="905">
        <f>+'Balance Sheet'!C66</f>
        <v>184</v>
      </c>
      <c r="D82" s="905">
        <f>+'Balance Sheet'!D66</f>
        <v>207</v>
      </c>
      <c r="E82" s="905">
        <f>+'Balance Sheet'!E66</f>
        <v>208</v>
      </c>
      <c r="F82" s="905">
        <f>+'Balance Sheet'!F66</f>
        <v>210</v>
      </c>
      <c r="G82" s="905">
        <f>+'Balance Sheet'!G66</f>
        <v>214</v>
      </c>
      <c r="H82" s="905">
        <f>+'Balance Sheet'!H66</f>
        <v>222</v>
      </c>
      <c r="I82" s="905">
        <f>+'Balance Sheet'!I66</f>
        <v>230</v>
      </c>
      <c r="J82" s="905">
        <f>+'Balance Sheet'!J66</f>
        <v>254</v>
      </c>
      <c r="K82" s="905">
        <f>+'Balance Sheet'!K66</f>
        <v>256</v>
      </c>
      <c r="L82" s="905">
        <f>+'Balance Sheet'!L66</f>
        <v>266</v>
      </c>
      <c r="M82" s="905">
        <f>+'Balance Sheet'!M66</f>
        <v>277</v>
      </c>
      <c r="N82" s="905">
        <f>+'Balance Sheet'!N66</f>
        <v>259</v>
      </c>
      <c r="O82" s="905">
        <f>+'Balance Sheet'!O66</f>
        <v>261</v>
      </c>
      <c r="P82" s="905">
        <f>+'Balance Sheet'!P66</f>
        <v>279</v>
      </c>
      <c r="Q82" s="905">
        <f>+'Balance Sheet'!Q66</f>
        <v>298</v>
      </c>
      <c r="R82" s="905">
        <f>+'Balance Sheet'!R66</f>
        <v>296</v>
      </c>
      <c r="S82" s="905">
        <f>+'Balance Sheet'!S66</f>
        <v>296</v>
      </c>
      <c r="T82" s="905">
        <f>+'Balance Sheet'!T66</f>
        <v>296</v>
      </c>
      <c r="U82" s="905">
        <f>+'Balance Sheet'!U66</f>
        <v>353</v>
      </c>
      <c r="V82" s="905">
        <f>+'Balance Sheet'!V66</f>
        <v>287</v>
      </c>
      <c r="W82" s="905">
        <f>+'Balance Sheet'!W66</f>
        <v>301</v>
      </c>
      <c r="X82" s="905">
        <f>+'Balance Sheet'!X66</f>
        <v>382</v>
      </c>
      <c r="Y82" s="905">
        <f>+'Balance Sheet'!Y66</f>
        <v>427</v>
      </c>
      <c r="Z82" s="905">
        <f>+'Balance Sheet'!Z66</f>
        <v>421</v>
      </c>
      <c r="AA82" s="905">
        <f>+'Balance Sheet'!AA66</f>
        <v>458</v>
      </c>
      <c r="AB82" s="905">
        <f>+'Balance Sheet'!AB66</f>
        <v>462</v>
      </c>
      <c r="AC82" s="905">
        <f>+'Balance Sheet'!AC66</f>
        <v>485</v>
      </c>
      <c r="AD82" s="905">
        <f>+'Balance Sheet'!AD66</f>
        <v>489</v>
      </c>
      <c r="AE82" s="905">
        <f>+'Balance Sheet'!AE66</f>
        <v>498</v>
      </c>
      <c r="AF82" s="905">
        <f>+'Balance Sheet'!AF66</f>
        <v>488</v>
      </c>
      <c r="AG82" s="905">
        <f>+'Balance Sheet'!AG66</f>
        <v>532</v>
      </c>
      <c r="AH82" s="905">
        <f>+'Balance Sheet'!AH66</f>
        <v>519</v>
      </c>
      <c r="AI82" s="905">
        <f>+'Balance Sheet'!AI66</f>
        <v>516</v>
      </c>
      <c r="AJ82" s="905">
        <f>+'Balance Sheet'!AJ66</f>
        <v>516</v>
      </c>
      <c r="AK82" s="905">
        <f>+'Balance Sheet'!AK66</f>
        <v>564</v>
      </c>
      <c r="AL82" s="905">
        <f>+'Balance Sheet'!AL66</f>
        <v>543</v>
      </c>
      <c r="AM82" s="905">
        <f>+'Balance Sheet'!AM66</f>
        <v>555</v>
      </c>
      <c r="AN82" s="905">
        <f>+'Balance Sheet'!AN66</f>
        <v>559</v>
      </c>
      <c r="AO82" s="905">
        <f>+'Balance Sheet'!AO66</f>
        <v>642</v>
      </c>
      <c r="AP82" s="905">
        <f>+'Balance Sheet'!AP66</f>
        <v>658</v>
      </c>
      <c r="AQ82" s="905">
        <f>+'Balance Sheet'!AQ66</f>
        <v>658</v>
      </c>
      <c r="AR82" s="905">
        <f>+'Balance Sheet'!AR66</f>
        <v>620.44506084343561</v>
      </c>
      <c r="AS82" s="905">
        <f>+'Balance Sheet'!AS66</f>
        <v>670.13017370790908</v>
      </c>
      <c r="AT82" s="905">
        <f>+'Balance Sheet'!AT66</f>
        <v>739.32071531531528</v>
      </c>
      <c r="AU82" s="905">
        <f>+'Balance Sheet'!AU66</f>
        <v>739.39787907792879</v>
      </c>
      <c r="AV82" s="905">
        <f>+'Balance Sheet'!AV66</f>
        <v>661.38626871322299</v>
      </c>
      <c r="AW82" s="905">
        <f>+'Balance Sheet'!AW66</f>
        <v>738.30214218422168</v>
      </c>
      <c r="AX82" s="905">
        <f>+'Balance Sheet'!AX66</f>
        <v>823.28005238610444</v>
      </c>
      <c r="AY82" s="905">
        <f>+'Balance Sheet'!AY66</f>
        <v>828.01772476571068</v>
      </c>
      <c r="AZ82" s="905">
        <f>+'Balance Sheet'!AZ66</f>
        <v>707.31816995198483</v>
      </c>
      <c r="BA82" s="905">
        <f>+'Balance Sheet'!BA66</f>
        <v>819.02395568633062</v>
      </c>
      <c r="BR82" s="1405"/>
      <c r="BS82" s="1405"/>
      <c r="BT82" s="1405"/>
    </row>
    <row r="83" spans="1:72" s="327" customFormat="1" ht="12.75" customHeight="1">
      <c r="A83" s="414" t="s">
        <v>1</v>
      </c>
      <c r="B83" s="905">
        <f>+'Balance Sheet'!B67</f>
        <v>46</v>
      </c>
      <c r="C83" s="905">
        <f>+'Balance Sheet'!C67</f>
        <v>114</v>
      </c>
      <c r="D83" s="905">
        <f>+'Balance Sheet'!D67</f>
        <v>1359</v>
      </c>
      <c r="E83" s="905">
        <f>+'Balance Sheet'!E67</f>
        <v>36</v>
      </c>
      <c r="F83" s="905">
        <f>+'Balance Sheet'!F67</f>
        <v>32</v>
      </c>
      <c r="G83" s="905">
        <f>+'Balance Sheet'!G67</f>
        <v>106</v>
      </c>
      <c r="H83" s="905">
        <f>+'Balance Sheet'!H67</f>
        <v>1519</v>
      </c>
      <c r="I83" s="905">
        <f>+'Balance Sheet'!I67</f>
        <v>78</v>
      </c>
      <c r="J83" s="905">
        <f>+'Balance Sheet'!J67</f>
        <v>65</v>
      </c>
      <c r="K83" s="905">
        <f>+'Balance Sheet'!K67</f>
        <v>294</v>
      </c>
      <c r="L83" s="905">
        <f>+'Balance Sheet'!L67</f>
        <v>1700</v>
      </c>
      <c r="M83" s="905">
        <f>+'Balance Sheet'!M67</f>
        <v>-15</v>
      </c>
      <c r="N83" s="905">
        <f>+'Balance Sheet'!N67</f>
        <v>102</v>
      </c>
      <c r="O83" s="905">
        <f>+'Balance Sheet'!O67</f>
        <v>339</v>
      </c>
      <c r="P83" s="905">
        <f>+'Balance Sheet'!P67</f>
        <v>1888</v>
      </c>
      <c r="Q83" s="905">
        <f>+'Balance Sheet'!Q67</f>
        <v>-47</v>
      </c>
      <c r="R83" s="905">
        <f>+'Balance Sheet'!R67</f>
        <v>129</v>
      </c>
      <c r="S83" s="905">
        <f>+'Balance Sheet'!S67</f>
        <v>384</v>
      </c>
      <c r="T83" s="905">
        <f>+'Balance Sheet'!T67</f>
        <v>1539</v>
      </c>
      <c r="U83" s="905">
        <f>+'Balance Sheet'!U67</f>
        <v>616</v>
      </c>
      <c r="V83" s="905">
        <f>+'Balance Sheet'!V67</f>
        <v>334</v>
      </c>
      <c r="W83" s="905">
        <f>+'Balance Sheet'!W67</f>
        <v>235</v>
      </c>
      <c r="X83" s="905">
        <f>+'Balance Sheet'!X67</f>
        <v>2201</v>
      </c>
      <c r="Y83" s="905">
        <f>+'Balance Sheet'!Y67</f>
        <v>715</v>
      </c>
      <c r="Z83" s="905">
        <f>+'Balance Sheet'!Z67</f>
        <v>555</v>
      </c>
      <c r="AA83" s="905">
        <f>+'Balance Sheet'!AA67</f>
        <v>612</v>
      </c>
      <c r="AB83" s="905">
        <f>+'Balance Sheet'!AB67</f>
        <v>2903.9999999999991</v>
      </c>
      <c r="AC83" s="905">
        <f>+'Balance Sheet'!AC67</f>
        <v>433</v>
      </c>
      <c r="AD83" s="905">
        <f>+'Balance Sheet'!AD67</f>
        <v>662</v>
      </c>
      <c r="AE83" s="905">
        <f>+'Balance Sheet'!AE67</f>
        <v>856</v>
      </c>
      <c r="AF83" s="905">
        <f>+'Balance Sheet'!AF67</f>
        <v>3358</v>
      </c>
      <c r="AG83" s="905">
        <f>+'Balance Sheet'!AG67</f>
        <v>627</v>
      </c>
      <c r="AH83" s="905">
        <f>+'Balance Sheet'!AH67</f>
        <v>960</v>
      </c>
      <c r="AI83" s="905">
        <f>+'Balance Sheet'!AI67</f>
        <v>1000</v>
      </c>
      <c r="AJ83" s="905">
        <f>+'Balance Sheet'!AJ67</f>
        <v>3711.9999999999991</v>
      </c>
      <c r="AK83" s="905">
        <f>+'Balance Sheet'!AK67</f>
        <v>730.00000000000045</v>
      </c>
      <c r="AL83" s="905">
        <f>+'Balance Sheet'!AL67</f>
        <v>953</v>
      </c>
      <c r="AM83" s="905">
        <f>+'Balance Sheet'!AM67</f>
        <v>1260</v>
      </c>
      <c r="AN83" s="905">
        <f>+'Balance Sheet'!AN67</f>
        <v>4343</v>
      </c>
      <c r="AO83" s="905">
        <f>+'Balance Sheet'!AO67</f>
        <v>1016</v>
      </c>
      <c r="AP83" s="905">
        <f>+'Balance Sheet'!AP67</f>
        <v>1258</v>
      </c>
      <c r="AQ83" s="905">
        <f>+'Balance Sheet'!AQ67</f>
        <v>1549</v>
      </c>
      <c r="AR83" s="905">
        <f>+'Balance Sheet'!AR67</f>
        <v>4627.942857254161</v>
      </c>
      <c r="AS83" s="905">
        <f>+'Balance Sheet'!AS67</f>
        <v>1228.5463926645148</v>
      </c>
      <c r="AT83" s="905">
        <f>+'Balance Sheet'!AT67</f>
        <v>1456.8115567998143</v>
      </c>
      <c r="AU83" s="905">
        <f>+'Balance Sheet'!AU67</f>
        <v>1796.5955490539113</v>
      </c>
      <c r="AV83" s="905">
        <f>+'Balance Sheet'!AV67</f>
        <v>5151.9535475306529</v>
      </c>
      <c r="AW83" s="905">
        <f>+'Balance Sheet'!AW67</f>
        <v>1378.0030774879033</v>
      </c>
      <c r="AX83" s="905">
        <f>+'Balance Sheet'!AX67</f>
        <v>1666.1288302553016</v>
      </c>
      <c r="AY83" s="905">
        <f>+'Balance Sheet'!AY67</f>
        <v>2064.4216789570528</v>
      </c>
      <c r="AZ83" s="905">
        <f>+'Balance Sheet'!AZ67</f>
        <v>5724.0322973526327</v>
      </c>
      <c r="BA83" s="905">
        <f>+'Balance Sheet'!BA67</f>
        <v>1589.8212171583409</v>
      </c>
      <c r="BR83" s="1405"/>
      <c r="BS83" s="1405"/>
      <c r="BT83" s="1405"/>
    </row>
    <row r="84" spans="1:72" s="327" customFormat="1" ht="13.15" customHeight="1">
      <c r="A84" s="414" t="s">
        <v>3</v>
      </c>
      <c r="B84" s="905">
        <f>+'Balance Sheet'!B68</f>
        <v>24</v>
      </c>
      <c r="C84" s="905">
        <f>+'Balance Sheet'!C68</f>
        <v>67</v>
      </c>
      <c r="D84" s="905">
        <f>+'Balance Sheet'!D68</f>
        <v>893</v>
      </c>
      <c r="E84" s="905">
        <f>+'Balance Sheet'!E68</f>
        <v>20</v>
      </c>
      <c r="F84" s="905">
        <f>+'Balance Sheet'!F68</f>
        <v>15</v>
      </c>
      <c r="G84" s="905">
        <f>+'Balance Sheet'!G68</f>
        <v>67</v>
      </c>
      <c r="H84" s="905">
        <f>+'Balance Sheet'!H68</f>
        <v>1015</v>
      </c>
      <c r="I84" s="905">
        <f>+'Balance Sheet'!I68</f>
        <v>53</v>
      </c>
      <c r="J84" s="905">
        <f>+'Balance Sheet'!J68</f>
        <v>44</v>
      </c>
      <c r="K84" s="905">
        <f>+'Balance Sheet'!K68</f>
        <v>219</v>
      </c>
      <c r="L84" s="905">
        <f>+'Balance Sheet'!L68</f>
        <v>1251</v>
      </c>
      <c r="M84" s="905">
        <f>+'Balance Sheet'!M68</f>
        <v>-3</v>
      </c>
      <c r="N84" s="905">
        <f>+'Balance Sheet'!N68</f>
        <v>76</v>
      </c>
      <c r="O84" s="905">
        <f>+'Balance Sheet'!O68</f>
        <v>264</v>
      </c>
      <c r="P84" s="905">
        <f>+'Balance Sheet'!P68</f>
        <v>1465</v>
      </c>
      <c r="Q84" s="905">
        <f>+'Balance Sheet'!Q68</f>
        <v>-23</v>
      </c>
      <c r="R84" s="905">
        <f>+'Balance Sheet'!R68</f>
        <v>109</v>
      </c>
      <c r="S84" s="905">
        <f>+'Balance Sheet'!S68</f>
        <v>306</v>
      </c>
      <c r="T84" s="905">
        <f>+'Balance Sheet'!T68</f>
        <v>1183</v>
      </c>
      <c r="U84" s="905">
        <f>+'Balance Sheet'!U68</f>
        <v>477</v>
      </c>
      <c r="V84" s="905">
        <f>+'Balance Sheet'!V68</f>
        <v>250</v>
      </c>
      <c r="W84" s="905">
        <f>+'Balance Sheet'!W68</f>
        <v>185</v>
      </c>
      <c r="X84" s="905">
        <f>+'Balance Sheet'!X68</f>
        <v>1678</v>
      </c>
      <c r="Y84" s="905">
        <f>+'Balance Sheet'!Y68</f>
        <v>544</v>
      </c>
      <c r="Z84" s="905">
        <f>+'Balance Sheet'!Z68</f>
        <v>423</v>
      </c>
      <c r="AA84" s="905">
        <f>+'Balance Sheet'!AA68</f>
        <v>446</v>
      </c>
      <c r="AB84" s="905">
        <f>+'Balance Sheet'!AB68</f>
        <v>2184.9999999999991</v>
      </c>
      <c r="AC84" s="905">
        <f>+'Balance Sheet'!AC68</f>
        <v>311</v>
      </c>
      <c r="AD84" s="905">
        <f>+'Balance Sheet'!AD68</f>
        <v>470</v>
      </c>
      <c r="AE84" s="905">
        <f>+'Balance Sheet'!AE68</f>
        <v>620</v>
      </c>
      <c r="AF84" s="905">
        <f>+'Balance Sheet'!AF68</f>
        <v>2523</v>
      </c>
      <c r="AG84" s="905">
        <f>+'Balance Sheet'!AG68</f>
        <v>467</v>
      </c>
      <c r="AH84" s="905">
        <f>+'Balance Sheet'!AH68</f>
        <v>698</v>
      </c>
      <c r="AI84" s="905">
        <f>+'Balance Sheet'!AI68</f>
        <v>746</v>
      </c>
      <c r="AJ84" s="905">
        <f>+'Balance Sheet'!AJ68</f>
        <v>2803.9999999999991</v>
      </c>
      <c r="AK84" s="905">
        <f>+'Balance Sheet'!AK68</f>
        <v>563.00000000000045</v>
      </c>
      <c r="AL84" s="905">
        <f>+'Balance Sheet'!AL68</f>
        <v>709</v>
      </c>
      <c r="AM84" s="905">
        <f>+'Balance Sheet'!AM68</f>
        <v>938</v>
      </c>
      <c r="AN84" s="905">
        <f>+'Balance Sheet'!AN68</f>
        <v>3280</v>
      </c>
      <c r="AO84" s="905">
        <f>+'Balance Sheet'!AO68</f>
        <v>776</v>
      </c>
      <c r="AP84" s="905">
        <f>+'Balance Sheet'!AP68</f>
        <v>939</v>
      </c>
      <c r="AQ84" s="905">
        <f>+'Balance Sheet'!AQ68</f>
        <v>1160</v>
      </c>
      <c r="AR84" s="905">
        <f>+'Balance Sheet'!AR68</f>
        <v>3493.5643875596988</v>
      </c>
      <c r="AS84" s="905">
        <f>+'Balance Sheet'!AS68</f>
        <v>900.88142461001473</v>
      </c>
      <c r="AT84" s="905">
        <f>+'Balance Sheet'!AT68</f>
        <v>1094.2694704960522</v>
      </c>
      <c r="AU84" s="905">
        <f>+'Balance Sheet'!AU68</f>
        <v>1352.6455464758701</v>
      </c>
      <c r="AV84" s="905">
        <f>+'Balance Sheet'!AV68</f>
        <v>3870.4502378239758</v>
      </c>
      <c r="AW84" s="905">
        <f>+'Balance Sheet'!AW68</f>
        <v>1008.9979204630303</v>
      </c>
      <c r="AX84" s="905">
        <f>+'Balance Sheet'!AX68</f>
        <v>1253.9068116537183</v>
      </c>
      <c r="AY84" s="905">
        <f>+'Balance Sheet'!AY68</f>
        <v>1556.9050925920069</v>
      </c>
      <c r="AZ84" s="905">
        <f>+'Balance Sheet'!AZ68</f>
        <v>4306.7502576300485</v>
      </c>
      <c r="BA84" s="905">
        <f>+'Balance Sheet'!BA68</f>
        <v>1170.5425654306255</v>
      </c>
      <c r="BR84" s="1405"/>
      <c r="BS84" s="1405"/>
      <c r="BT84" s="1405"/>
    </row>
    <row r="85" spans="1:72" ht="13.15" customHeight="1"/>
    <row r="86" spans="1:72" s="327" customFormat="1" ht="12.75" customHeight="1">
      <c r="A86" s="492" t="s">
        <v>357</v>
      </c>
      <c r="I86" s="324"/>
      <c r="BR86" s="1405"/>
      <c r="BS86" s="1405"/>
      <c r="BT86" s="1405"/>
    </row>
    <row r="87" spans="1:72" s="414" customFormat="1" ht="13.15" customHeight="1">
      <c r="A87" s="697" t="s">
        <v>358</v>
      </c>
      <c r="B87" s="868">
        <f t="shared" ref="B87:U87" si="298">-B36/B80</f>
        <v>9.8176718092566617E-2</v>
      </c>
      <c r="C87" s="868">
        <f t="shared" si="298"/>
        <v>0.35102925243770317</v>
      </c>
      <c r="D87" s="868">
        <f t="shared" si="298"/>
        <v>2.3871527777777776E-2</v>
      </c>
      <c r="E87" s="868">
        <f t="shared" si="298"/>
        <v>-4.3766578249336871E-2</v>
      </c>
      <c r="F87" s="868">
        <f t="shared" si="298"/>
        <v>0.11053984575835475</v>
      </c>
      <c r="G87" s="868">
        <f t="shared" si="298"/>
        <v>4.5275590551181105E-2</v>
      </c>
      <c r="H87" s="868">
        <f t="shared" si="298"/>
        <v>1.8103109012199921E-2</v>
      </c>
      <c r="I87" s="868">
        <f t="shared" si="298"/>
        <v>-9.0261282660332537E-2</v>
      </c>
      <c r="J87" s="868">
        <f t="shared" si="298"/>
        <v>5.4945054945054944E-2</v>
      </c>
      <c r="K87" s="868">
        <f t="shared" si="298"/>
        <v>2.0164301717699777E-2</v>
      </c>
      <c r="L87" s="868">
        <f t="shared" si="298"/>
        <v>6.868131868131868E-3</v>
      </c>
      <c r="M87" s="868">
        <f t="shared" si="298"/>
        <v>-6.8287037037037035E-2</v>
      </c>
      <c r="N87" s="868">
        <f t="shared" si="298"/>
        <v>3.4448818897637797E-2</v>
      </c>
      <c r="O87" s="868">
        <f t="shared" si="298"/>
        <v>2.9960053262316912E-2</v>
      </c>
      <c r="P87" s="868">
        <f t="shared" si="298"/>
        <v>1.4975550122249388E-2</v>
      </c>
      <c r="Q87" s="868">
        <f t="shared" si="298"/>
        <v>-5.3319919517102618E-2</v>
      </c>
      <c r="R87" s="868">
        <f t="shared" si="298"/>
        <v>3.2618025751072963E-2</v>
      </c>
      <c r="S87" s="868">
        <f t="shared" si="298"/>
        <v>1.7688679245283018E-2</v>
      </c>
      <c r="T87" s="868">
        <f t="shared" si="298"/>
        <v>1.2991339107261825E-2</v>
      </c>
      <c r="U87" s="868">
        <f t="shared" si="298"/>
        <v>1.6519823788546256E-2</v>
      </c>
      <c r="V87" s="868">
        <f>-V36/V80</f>
        <v>2.872260015117158E-2</v>
      </c>
      <c r="W87" s="868">
        <f t="shared" ref="W87:X87" si="299">-W36/W80</f>
        <v>2.0939086294416244E-2</v>
      </c>
      <c r="X87" s="868">
        <f t="shared" si="299"/>
        <v>7.1890726096333572E-3</v>
      </c>
      <c r="Y87" s="868">
        <f t="shared" ref="Y87:AB87" si="300">-Y36/Y80</f>
        <v>9.3713393205778987E-3</v>
      </c>
      <c r="Z87" s="868">
        <f t="shared" si="300"/>
        <v>2.0926756352765322E-2</v>
      </c>
      <c r="AA87" s="868">
        <f t="shared" si="300"/>
        <v>2.4317246539468762E-2</v>
      </c>
      <c r="AB87" s="868">
        <f t="shared" si="300"/>
        <v>1.0830965909090912E-2</v>
      </c>
      <c r="AC87" s="868">
        <f t="shared" ref="AC87:AF87" si="301">-AC36/AC80</f>
        <v>2.5269262634631317E-2</v>
      </c>
      <c r="AD87" s="868">
        <f t="shared" si="301"/>
        <v>2.9649595687331536E-2</v>
      </c>
      <c r="AE87" s="868">
        <f t="shared" si="301"/>
        <v>1.8086155869779678E-2</v>
      </c>
      <c r="AF87" s="868">
        <f t="shared" si="301"/>
        <v>1.4622798271851114E-2</v>
      </c>
      <c r="AG87" s="868">
        <f t="shared" ref="AG87:AI87" si="302">-AG36/AG80</f>
        <v>1.4749262536873156E-2</v>
      </c>
      <c r="AH87" s="868">
        <f t="shared" si="302"/>
        <v>2.8206850235057087E-2</v>
      </c>
      <c r="AI87" s="868">
        <f t="shared" si="302"/>
        <v>1.8606024808033077E-2</v>
      </c>
      <c r="AJ87" s="868">
        <f t="shared" ref="AJ87:AN87" si="303">-AJ36/AJ80</f>
        <v>9.0544752857354919E-3</v>
      </c>
      <c r="AK87" s="868">
        <f t="shared" si="303"/>
        <v>1.3190954773869345E-2</v>
      </c>
      <c r="AL87" s="868">
        <f t="shared" si="303"/>
        <v>1.0051781906792567E-2</v>
      </c>
      <c r="AM87" s="868">
        <f t="shared" si="303"/>
        <v>7.8223568004037354E-3</v>
      </c>
      <c r="AN87" s="868">
        <f t="shared" si="303"/>
        <v>4.5137993293783854E-3</v>
      </c>
      <c r="AO87" s="868">
        <f t="shared" ref="AO87:AQ87" si="304">-AO36/AO80</f>
        <v>6.525711302531976E-3</v>
      </c>
      <c r="AP87" s="868">
        <f t="shared" si="304"/>
        <v>9.7812097812097817E-3</v>
      </c>
      <c r="AQ87" s="868">
        <f t="shared" si="304"/>
        <v>9.8903461621156746E-3</v>
      </c>
      <c r="AR87" s="868">
        <f t="shared" ref="AR87:BA87" si="305">-AR36/AR80</f>
        <v>4.240997011275162E-3</v>
      </c>
      <c r="AS87" s="868">
        <f t="shared" si="305"/>
        <v>8.5241418393687211E-3</v>
      </c>
      <c r="AT87" s="868">
        <f t="shared" si="305"/>
        <v>8.8430715595499507E-3</v>
      </c>
      <c r="AU87" s="868">
        <f t="shared" si="305"/>
        <v>7.4185881336998553E-3</v>
      </c>
      <c r="AV87" s="868">
        <f t="shared" si="305"/>
        <v>4.0480568021743308E-3</v>
      </c>
      <c r="AW87" s="868">
        <f t="shared" si="305"/>
        <v>8.02347533040766E-3</v>
      </c>
      <c r="AX87" s="868">
        <f t="shared" si="305"/>
        <v>2.0086648387760756E-2</v>
      </c>
      <c r="AY87" s="868">
        <f t="shared" si="305"/>
        <v>1.6602899613315118E-2</v>
      </c>
      <c r="AZ87" s="868">
        <f t="shared" si="305"/>
        <v>9.7681392208006264E-3</v>
      </c>
      <c r="BA87" s="868">
        <f t="shared" si="305"/>
        <v>1.8751620777724753E-2</v>
      </c>
      <c r="BD87" s="867"/>
      <c r="BE87" s="867"/>
      <c r="BF87" s="867"/>
      <c r="BG87" s="867"/>
      <c r="BH87" s="867"/>
      <c r="BI87" s="867"/>
      <c r="BJ87" s="867"/>
      <c r="BK87" s="867"/>
      <c r="BL87" s="867"/>
      <c r="BM87" s="867"/>
      <c r="BN87" s="867"/>
      <c r="BO87" s="867"/>
      <c r="BP87" s="867"/>
      <c r="BR87" s="1406"/>
      <c r="BS87" s="1406"/>
      <c r="BT87" s="1406"/>
    </row>
    <row r="88" spans="1:72" s="414" customFormat="1" ht="13.15" customHeight="1">
      <c r="A88" s="697" t="s">
        <v>344</v>
      </c>
      <c r="B88" s="868">
        <f t="shared" ref="B88:V88" si="306">-B36/B80</f>
        <v>9.8176718092566617E-2</v>
      </c>
      <c r="C88" s="868">
        <f t="shared" si="306"/>
        <v>0.35102925243770317</v>
      </c>
      <c r="D88" s="868">
        <f t="shared" si="306"/>
        <v>2.3871527777777776E-2</v>
      </c>
      <c r="E88" s="868">
        <f t="shared" si="306"/>
        <v>-4.3766578249336871E-2</v>
      </c>
      <c r="F88" s="868">
        <f t="shared" si="306"/>
        <v>0.11053984575835475</v>
      </c>
      <c r="G88" s="868">
        <f t="shared" si="306"/>
        <v>4.5275590551181105E-2</v>
      </c>
      <c r="H88" s="868">
        <f t="shared" si="306"/>
        <v>1.8103109012199921E-2</v>
      </c>
      <c r="I88" s="868">
        <f t="shared" si="306"/>
        <v>-9.0261282660332537E-2</v>
      </c>
      <c r="J88" s="868">
        <f t="shared" si="306"/>
        <v>5.4945054945054944E-2</v>
      </c>
      <c r="K88" s="868">
        <f t="shared" si="306"/>
        <v>2.0164301717699777E-2</v>
      </c>
      <c r="L88" s="868">
        <f t="shared" si="306"/>
        <v>6.868131868131868E-3</v>
      </c>
      <c r="M88" s="868">
        <f t="shared" si="306"/>
        <v>-6.8287037037037035E-2</v>
      </c>
      <c r="N88" s="868">
        <f t="shared" si="306"/>
        <v>3.4448818897637797E-2</v>
      </c>
      <c r="O88" s="868">
        <f t="shared" si="306"/>
        <v>2.9960053262316912E-2</v>
      </c>
      <c r="P88" s="868">
        <f t="shared" si="306"/>
        <v>1.4975550122249388E-2</v>
      </c>
      <c r="Q88" s="868">
        <f t="shared" si="306"/>
        <v>-5.3319919517102618E-2</v>
      </c>
      <c r="R88" s="868">
        <f t="shared" si="306"/>
        <v>3.2618025751072963E-2</v>
      </c>
      <c r="S88" s="868">
        <f t="shared" si="306"/>
        <v>1.7688679245283018E-2</v>
      </c>
      <c r="T88" s="868">
        <f t="shared" si="306"/>
        <v>1.2991339107261825E-2</v>
      </c>
      <c r="U88" s="868">
        <f t="shared" si="306"/>
        <v>1.6519823788546256E-2</v>
      </c>
      <c r="V88" s="868">
        <f t="shared" si="306"/>
        <v>2.872260015117158E-2</v>
      </c>
      <c r="W88" s="868">
        <f t="shared" ref="W88:X88" si="307">-W36/W80</f>
        <v>2.0939086294416244E-2</v>
      </c>
      <c r="X88" s="868">
        <f t="shared" si="307"/>
        <v>7.1890726096333572E-3</v>
      </c>
      <c r="Y88" s="868">
        <f t="shared" ref="Y88:AB88" si="308">-Y36/Y80</f>
        <v>9.3713393205778987E-3</v>
      </c>
      <c r="Z88" s="868">
        <f t="shared" si="308"/>
        <v>2.0926756352765322E-2</v>
      </c>
      <c r="AA88" s="868">
        <f t="shared" si="308"/>
        <v>2.4317246539468762E-2</v>
      </c>
      <c r="AB88" s="868">
        <f t="shared" si="308"/>
        <v>1.0830965909090912E-2</v>
      </c>
      <c r="AC88" s="868">
        <f t="shared" ref="AC88:AF88" si="309">-AC36/AC80</f>
        <v>2.5269262634631317E-2</v>
      </c>
      <c r="AD88" s="868">
        <f t="shared" si="309"/>
        <v>2.9649595687331536E-2</v>
      </c>
      <c r="AE88" s="868">
        <f t="shared" si="309"/>
        <v>1.8086155869779678E-2</v>
      </c>
      <c r="AF88" s="868">
        <f t="shared" si="309"/>
        <v>1.4622798271851114E-2</v>
      </c>
      <c r="AG88" s="868">
        <f t="shared" ref="AG88:AI88" si="310">-AG36/AG80</f>
        <v>1.4749262536873156E-2</v>
      </c>
      <c r="AH88" s="868">
        <f t="shared" si="310"/>
        <v>2.8206850235057087E-2</v>
      </c>
      <c r="AI88" s="868">
        <f t="shared" si="310"/>
        <v>1.8606024808033077E-2</v>
      </c>
      <c r="AJ88" s="868">
        <f t="shared" ref="AJ88:AN88" si="311">-AJ36/AJ80</f>
        <v>9.0544752857354919E-3</v>
      </c>
      <c r="AK88" s="868">
        <f t="shared" si="311"/>
        <v>1.3190954773869345E-2</v>
      </c>
      <c r="AL88" s="868">
        <f t="shared" si="311"/>
        <v>1.0051781906792567E-2</v>
      </c>
      <c r="AM88" s="868">
        <f t="shared" si="311"/>
        <v>7.8223568004037354E-3</v>
      </c>
      <c r="AN88" s="868">
        <f t="shared" si="311"/>
        <v>4.5137993293783854E-3</v>
      </c>
      <c r="AO88" s="868">
        <f t="shared" ref="AO88:AQ88" si="312">-AO36/AO80</f>
        <v>6.525711302531976E-3</v>
      </c>
      <c r="AP88" s="868">
        <f t="shared" si="312"/>
        <v>9.7812097812097817E-3</v>
      </c>
      <c r="AQ88" s="868">
        <f t="shared" si="312"/>
        <v>9.8903461621156746E-3</v>
      </c>
      <c r="AR88" s="868">
        <f t="shared" ref="AR88:BA88" si="313">-AR36/AR80</f>
        <v>4.240997011275162E-3</v>
      </c>
      <c r="AS88" s="868">
        <f t="shared" si="313"/>
        <v>8.5241418393687211E-3</v>
      </c>
      <c r="AT88" s="868">
        <f t="shared" si="313"/>
        <v>8.8430715595499507E-3</v>
      </c>
      <c r="AU88" s="868">
        <f t="shared" si="313"/>
        <v>7.4185881336998553E-3</v>
      </c>
      <c r="AV88" s="868">
        <f t="shared" si="313"/>
        <v>4.0480568021743308E-3</v>
      </c>
      <c r="AW88" s="868">
        <f t="shared" si="313"/>
        <v>8.02347533040766E-3</v>
      </c>
      <c r="AX88" s="868">
        <f t="shared" si="313"/>
        <v>2.0086648387760756E-2</v>
      </c>
      <c r="AY88" s="868">
        <f t="shared" si="313"/>
        <v>1.6602899613315118E-2</v>
      </c>
      <c r="AZ88" s="868">
        <f t="shared" si="313"/>
        <v>9.7681392208006264E-3</v>
      </c>
      <c r="BA88" s="868">
        <f t="shared" si="313"/>
        <v>1.8751620777724753E-2</v>
      </c>
      <c r="BD88" s="867"/>
      <c r="BE88" s="867"/>
      <c r="BF88" s="867"/>
      <c r="BG88" s="867"/>
      <c r="BH88" s="867"/>
      <c r="BI88" s="867"/>
      <c r="BJ88" s="867"/>
      <c r="BK88" s="867"/>
      <c r="BL88" s="867"/>
      <c r="BM88" s="867"/>
      <c r="BN88" s="867"/>
      <c r="BO88" s="867"/>
      <c r="BP88" s="867"/>
      <c r="BR88" s="1406"/>
      <c r="BS88" s="1406"/>
      <c r="BT88" s="1406"/>
    </row>
    <row r="89" spans="1:72" s="414" customFormat="1" ht="13.15" customHeight="1">
      <c r="BR89" s="1406"/>
      <c r="BS89" s="1406"/>
      <c r="BT89" s="1406"/>
    </row>
    <row r="90" spans="1:72" s="414" customFormat="1" ht="13.15" customHeight="1">
      <c r="A90" s="414" t="s">
        <v>359</v>
      </c>
      <c r="B90" s="868">
        <f t="shared" ref="B90:U90" si="314">+B7/B80</f>
        <v>6.311360448807854E-2</v>
      </c>
      <c r="C90" s="868">
        <f t="shared" si="314"/>
        <v>5.3087757313109427E-2</v>
      </c>
      <c r="D90" s="868">
        <f t="shared" si="314"/>
        <v>2.2135416666666668E-2</v>
      </c>
      <c r="E90" s="868">
        <f t="shared" si="314"/>
        <v>6.6312997347480113E-2</v>
      </c>
      <c r="F90" s="868">
        <f t="shared" si="314"/>
        <v>6.2982005141388173E-2</v>
      </c>
      <c r="G90" s="868">
        <f t="shared" si="314"/>
        <v>5.1181102362204724E-2</v>
      </c>
      <c r="H90" s="868">
        <f t="shared" si="314"/>
        <v>2.1645021645021644E-2</v>
      </c>
      <c r="I90" s="868">
        <f t="shared" si="314"/>
        <v>6.8883610451306407E-2</v>
      </c>
      <c r="J90" s="868">
        <f t="shared" si="314"/>
        <v>6.5934065934065936E-2</v>
      </c>
      <c r="K90" s="868">
        <f t="shared" si="314"/>
        <v>4.2569081404032857E-2</v>
      </c>
      <c r="L90" s="868">
        <f t="shared" si="314"/>
        <v>1.9230769230769232E-2</v>
      </c>
      <c r="M90" s="868">
        <f t="shared" si="314"/>
        <v>6.3657407407407413E-2</v>
      </c>
      <c r="N90" s="868">
        <f t="shared" si="314"/>
        <v>5.0196850393700788E-2</v>
      </c>
      <c r="O90" s="868">
        <f t="shared" si="314"/>
        <v>3.1957390146471372E-2</v>
      </c>
      <c r="P90" s="868">
        <f t="shared" si="314"/>
        <v>1.4669926650366748E-2</v>
      </c>
      <c r="Q90" s="868">
        <f t="shared" si="314"/>
        <v>5.2313883299798795E-2</v>
      </c>
      <c r="R90" s="868">
        <f t="shared" si="314"/>
        <v>4.2060085836909872E-2</v>
      </c>
      <c r="S90" s="868">
        <f t="shared" si="314"/>
        <v>2.8891509433962265E-2</v>
      </c>
      <c r="T90" s="868">
        <f t="shared" si="314"/>
        <v>1.5656229180546301E-2</v>
      </c>
      <c r="U90" s="868">
        <f t="shared" si="314"/>
        <v>2.4229074889867842E-2</v>
      </c>
      <c r="V90" s="868">
        <f>+V7/V80</f>
        <v>2.7966742252456538E-2</v>
      </c>
      <c r="W90" s="868">
        <f t="shared" ref="W90:X90" si="315">+W7/W80</f>
        <v>2.5380710659898477E-2</v>
      </c>
      <c r="X90" s="868">
        <f t="shared" si="315"/>
        <v>1.0783608914450037E-2</v>
      </c>
      <c r="Y90" s="868">
        <f t="shared" ref="Y90:AB90" si="316">+Y7/Y80</f>
        <v>1.7180788754392814E-2</v>
      </c>
      <c r="Z90" s="868">
        <f t="shared" si="316"/>
        <v>2.2421524663677129E-2</v>
      </c>
      <c r="AA90" s="868">
        <f t="shared" si="316"/>
        <v>1.9079685746352413E-2</v>
      </c>
      <c r="AB90" s="868">
        <f t="shared" si="316"/>
        <v>8.1676136363636378E-3</v>
      </c>
      <c r="AC90" s="868">
        <f t="shared" ref="AC90:AF90" si="317">+AC7/AC80</f>
        <v>1.8641259320629662E-2</v>
      </c>
      <c r="AD90" s="868">
        <f t="shared" si="317"/>
        <v>1.8097805159799769E-2</v>
      </c>
      <c r="AE90" s="868">
        <f t="shared" si="317"/>
        <v>1.5455442288720816E-2</v>
      </c>
      <c r="AF90" s="868">
        <f t="shared" si="317"/>
        <v>5.4835493519441673E-3</v>
      </c>
      <c r="AG90" s="868">
        <f t="shared" ref="AG90:AI90" si="318">+AG7/AG80</f>
        <v>1.2168141592920354E-2</v>
      </c>
      <c r="AH90" s="868">
        <f t="shared" si="318"/>
        <v>1.1081262592343854E-2</v>
      </c>
      <c r="AI90" s="868">
        <f t="shared" si="318"/>
        <v>1.0632014176018901E-2</v>
      </c>
      <c r="AJ90" s="868">
        <f t="shared" ref="AJ90:AN90" si="319">+AJ7/AJ80</f>
        <v>6.531096927415765E-3</v>
      </c>
      <c r="AK90" s="868">
        <f t="shared" si="319"/>
        <v>1.4447236180904521E-2</v>
      </c>
      <c r="AL90" s="868">
        <f t="shared" si="319"/>
        <v>1.3402375875723424E-2</v>
      </c>
      <c r="AM90" s="868">
        <f t="shared" si="319"/>
        <v>1.0598031794095382E-2</v>
      </c>
      <c r="AN90" s="868">
        <f t="shared" si="319"/>
        <v>5.5455248903791589E-3</v>
      </c>
      <c r="AO90" s="868">
        <f t="shared" ref="AO90:AQ90" si="320">+AO7/AO80</f>
        <v>1.1224223440354999E-2</v>
      </c>
      <c r="AP90" s="868">
        <f t="shared" si="320"/>
        <v>1.1325611325611325E-2</v>
      </c>
      <c r="AQ90" s="868">
        <f t="shared" si="320"/>
        <v>9.4603311115889054E-3</v>
      </c>
      <c r="AR90" s="869">
        <f t="shared" ref="AR90:BA91" si="321">+AN90</f>
        <v>5.5455248903791589E-3</v>
      </c>
      <c r="AS90" s="869">
        <f t="shared" si="321"/>
        <v>1.1224223440354999E-2</v>
      </c>
      <c r="AT90" s="869">
        <f t="shared" si="321"/>
        <v>1.1325611325611325E-2</v>
      </c>
      <c r="AU90" s="869">
        <f t="shared" si="321"/>
        <v>9.4603311115889054E-3</v>
      </c>
      <c r="AV90" s="869">
        <f t="shared" si="321"/>
        <v>5.5455248903791589E-3</v>
      </c>
      <c r="AW90" s="869">
        <f t="shared" si="321"/>
        <v>1.1224223440354999E-2</v>
      </c>
      <c r="AX90" s="869">
        <f t="shared" si="321"/>
        <v>1.1325611325611325E-2</v>
      </c>
      <c r="AY90" s="869">
        <f t="shared" si="321"/>
        <v>9.4603311115889054E-3</v>
      </c>
      <c r="AZ90" s="869">
        <f t="shared" si="321"/>
        <v>5.5455248903791589E-3</v>
      </c>
      <c r="BA90" s="869">
        <f t="shared" si="321"/>
        <v>1.1224223440354999E-2</v>
      </c>
      <c r="BB90" s="870"/>
      <c r="BR90" s="1406"/>
      <c r="BS90" s="1406"/>
      <c r="BT90" s="1406"/>
    </row>
    <row r="91" spans="1:72" s="414" customFormat="1" ht="13.15" customHeight="1">
      <c r="A91" s="414" t="s">
        <v>362</v>
      </c>
      <c r="B91" s="868">
        <f>+B13/'Income Statement'!B30</f>
        <v>-5.5555555555555552E-2</v>
      </c>
      <c r="C91" s="868">
        <f>+C13/'Income Statement'!C30</f>
        <v>-8.9108910891089105E-2</v>
      </c>
      <c r="D91" s="868">
        <f>+D13/'Income Statement'!D30</f>
        <v>3.7694013303769404E-2</v>
      </c>
      <c r="E91" s="868">
        <f>+E13/'Income Statement'!E30</f>
        <v>0.967741935483871</v>
      </c>
      <c r="F91" s="868">
        <f>+F13/'Income Statement'!F30</f>
        <v>-0.40909090909090912</v>
      </c>
      <c r="G91" s="868">
        <f>+G13/'Income Statement'!G30</f>
        <v>-0.22</v>
      </c>
      <c r="H91" s="868">
        <f>+H13/'Income Statement'!H30</f>
        <v>-3.3003300330033004E-3</v>
      </c>
      <c r="I91" s="868">
        <f>+I13/'Income Statement'!I30</f>
        <v>0.55696202531645567</v>
      </c>
      <c r="J91" s="868">
        <f>+J13/'Income Statement'!J30</f>
        <v>-6.1538461538461542E-2</v>
      </c>
      <c r="K91" s="868">
        <f>+K13/'Income Statement'!K30</f>
        <v>-7.1186440677966104E-2</v>
      </c>
      <c r="L91" s="868">
        <f>+L13/'Income Statement'!L30</f>
        <v>1.5348288075560802E-2</v>
      </c>
      <c r="M91" s="868">
        <f>+M13/'Income Statement'!M30</f>
        <v>1</v>
      </c>
      <c r="N91" s="868">
        <f>+N13/'Income Statement'!N30</f>
        <v>-9.0909090909090912E-2</v>
      </c>
      <c r="O91" s="868">
        <f>+O13/'Income Statement'!O30</f>
        <v>-3.4985422740524783E-2</v>
      </c>
      <c r="P91" s="868">
        <f>+P13/'Income Statement'!P30</f>
        <v>-1.208617971623752E-2</v>
      </c>
      <c r="Q91" s="868">
        <f>+Q13/'Income Statement'!Q30</f>
        <v>-1.2333333333333334</v>
      </c>
      <c r="R91" s="868">
        <f>+R13/'Income Statement'!R30</f>
        <v>-0.12676056338028169</v>
      </c>
      <c r="S91" s="868">
        <f>+S13/'Income Statement'!S30</f>
        <v>-3.0226700251889168E-2</v>
      </c>
      <c r="T91" s="868">
        <f>+T13/'Income Statement'!T30</f>
        <v>-4.6875E-2</v>
      </c>
      <c r="U91" s="868">
        <f>+U13/'Income Statement'!U30</f>
        <v>-0.12419354838709677</v>
      </c>
      <c r="V91" s="868">
        <f>+V13/'Income Statement'!V30</f>
        <v>5.1829268292682924E-2</v>
      </c>
      <c r="W91" s="868">
        <f>+W13/'Income Statement'!W30</f>
        <v>-2.4590163934426229E-2</v>
      </c>
      <c r="X91" s="868">
        <f>+X13/'Income Statement'!X30</f>
        <v>2.6268115942028984E-2</v>
      </c>
      <c r="Y91" s="868">
        <f>+Y13/'Income Statement'!Y30</f>
        <v>-0.15502793296089384</v>
      </c>
      <c r="Z91" s="868">
        <f>+Z13/'Income Statement'!Z30</f>
        <v>-2.8776978417266189E-2</v>
      </c>
      <c r="AA91" s="868">
        <f>+AA13/'Income Statement'!AA30</f>
        <v>6.8259385665529011E-3</v>
      </c>
      <c r="AB91" s="868">
        <f>+AB13/'Income Statement'!AB30</f>
        <v>4.1043478260869577E-2</v>
      </c>
      <c r="AC91" s="868">
        <f>+AC13/'Income Statement'!AC30</f>
        <v>3.4229828850855744E-2</v>
      </c>
      <c r="AD91" s="868">
        <f>+AD13/'Income Statement'!AD30</f>
        <v>-4.5307443365695796E-2</v>
      </c>
      <c r="AE91" s="868">
        <f>+AE13/'Income Statement'!AE30</f>
        <v>-0.32107843137254904</v>
      </c>
      <c r="AF91" s="868">
        <f>+AF13/'Income Statement'!AF30</f>
        <v>-2.9819277108433736E-2</v>
      </c>
      <c r="AG91" s="868">
        <f>+AG13/'Income Statement'!AG30</f>
        <v>-0.38925081433224756</v>
      </c>
      <c r="AH91" s="868">
        <f>+AH13/'Income Statement'!AH30</f>
        <v>-0.13710554951033732</v>
      </c>
      <c r="AI91" s="868">
        <f>+AI13/'Income Statement'!AI30</f>
        <v>-0.18737270875763748</v>
      </c>
      <c r="AJ91" s="868">
        <f>+AJ13/'Income Statement'!AJ30</f>
        <v>-1.3824884792626731E-2</v>
      </c>
      <c r="AK91" s="868">
        <f>+AK13/'Income Statement'!AK30</f>
        <v>-0.26045883940620768</v>
      </c>
      <c r="AL91" s="868">
        <f>+AL13/'Income Statement'!AL30</f>
        <v>-9.7534833869239015E-2</v>
      </c>
      <c r="AM91" s="868">
        <f>+AM13/'Income Statement'!AM30</f>
        <v>-0.11021069692058347</v>
      </c>
      <c r="AN91" s="868">
        <f>+AN13/'Income Statement'!AN30</f>
        <v>-1.1816496756255792E-2</v>
      </c>
      <c r="AO91" s="868">
        <f>+AO13/'Income Statement'!AO30</f>
        <v>-0.15377081292850148</v>
      </c>
      <c r="AP91" s="868">
        <f>+AP13/'Income Statement'!AP30</f>
        <v>4.6925566343042069E-2</v>
      </c>
      <c r="AQ91" s="868">
        <f>+AQ13/'Income Statement'!AQ30</f>
        <v>5.1769331585845346E-2</v>
      </c>
      <c r="AR91" s="869">
        <f t="shared" si="321"/>
        <v>-1.1816496756255792E-2</v>
      </c>
      <c r="AS91" s="869">
        <f t="shared" si="321"/>
        <v>-0.15377081292850148</v>
      </c>
      <c r="AT91" s="869">
        <f t="shared" si="321"/>
        <v>4.6925566343042069E-2</v>
      </c>
      <c r="AU91" s="869">
        <f t="shared" si="321"/>
        <v>5.1769331585845346E-2</v>
      </c>
      <c r="AV91" s="869">
        <f t="shared" si="321"/>
        <v>-1.1816496756255792E-2</v>
      </c>
      <c r="AW91" s="869">
        <f t="shared" si="321"/>
        <v>-0.15377081292850148</v>
      </c>
      <c r="AX91" s="869">
        <f t="shared" si="321"/>
        <v>4.6925566343042069E-2</v>
      </c>
      <c r="AY91" s="869">
        <f t="shared" si="321"/>
        <v>5.1769331585845346E-2</v>
      </c>
      <c r="AZ91" s="869">
        <f t="shared" si="321"/>
        <v>-1.1816496756255792E-2</v>
      </c>
      <c r="BA91" s="869">
        <f t="shared" si="321"/>
        <v>-0.15377081292850148</v>
      </c>
      <c r="BB91" s="870"/>
      <c r="BR91" s="1406"/>
      <c r="BS91" s="1406"/>
      <c r="BT91" s="1406"/>
    </row>
    <row r="92" spans="1:72" s="414" customFormat="1" ht="13.15" customHeight="1">
      <c r="A92" s="288" t="s">
        <v>86</v>
      </c>
      <c r="BR92" s="1406"/>
      <c r="BS92" s="1406"/>
      <c r="BT92" s="1406"/>
    </row>
    <row r="93" spans="1:72" s="414" customFormat="1" ht="13.15" customHeight="1">
      <c r="BR93" s="1406"/>
      <c r="BS93" s="1406"/>
      <c r="BT93" s="1406"/>
    </row>
    <row r="94" spans="1:72" s="414" customFormat="1" ht="13.15" customHeight="1">
      <c r="A94" s="414" t="s">
        <v>415</v>
      </c>
      <c r="B94" s="868">
        <f>+B11/B80</f>
        <v>9.6774193548387094E-2</v>
      </c>
      <c r="C94" s="868">
        <f t="shared" ref="C94:AC94" si="322">+C11/C80</f>
        <v>7.3672806067172261E-2</v>
      </c>
      <c r="D94" s="868">
        <f t="shared" si="322"/>
        <v>2.734375E-2</v>
      </c>
      <c r="E94" s="868">
        <f t="shared" si="322"/>
        <v>0.10742705570291777</v>
      </c>
      <c r="F94" s="868">
        <f t="shared" si="322"/>
        <v>0.11439588688946016</v>
      </c>
      <c r="G94" s="868">
        <f t="shared" si="322"/>
        <v>7.9724409448818895E-2</v>
      </c>
      <c r="H94" s="868">
        <f t="shared" si="322"/>
        <v>2.7941755214482486E-2</v>
      </c>
      <c r="I94" s="868">
        <f t="shared" si="322"/>
        <v>0.10095011876484561</v>
      </c>
      <c r="J94" s="868">
        <f t="shared" si="322"/>
        <v>0.10659340659340659</v>
      </c>
      <c r="K94" s="868">
        <f t="shared" si="322"/>
        <v>7.0201643017177004E-2</v>
      </c>
      <c r="L94" s="868">
        <f t="shared" si="322"/>
        <v>3.1593406593406592E-2</v>
      </c>
      <c r="M94" s="868">
        <f t="shared" si="322"/>
        <v>0.11458333333333333</v>
      </c>
      <c r="N94" s="868">
        <f t="shared" si="322"/>
        <v>0.10334645669291338</v>
      </c>
      <c r="O94" s="868">
        <f t="shared" si="322"/>
        <v>6.6577896138482029E-2</v>
      </c>
      <c r="P94" s="868">
        <f t="shared" si="322"/>
        <v>2.9951100244498777E-2</v>
      </c>
      <c r="Q94" s="868">
        <f t="shared" si="322"/>
        <v>9.8591549295774641E-2</v>
      </c>
      <c r="R94" s="868">
        <f t="shared" si="322"/>
        <v>9.5278969957081544E-2</v>
      </c>
      <c r="S94" s="868">
        <f t="shared" si="322"/>
        <v>6.3089622641509441E-2</v>
      </c>
      <c r="T94" s="868">
        <f t="shared" si="322"/>
        <v>3.4310459693537639E-2</v>
      </c>
      <c r="U94" s="868">
        <f t="shared" si="322"/>
        <v>6.2775330396475773E-2</v>
      </c>
      <c r="V94" s="868">
        <f t="shared" si="322"/>
        <v>8.390022675736962E-2</v>
      </c>
      <c r="W94" s="868">
        <f t="shared" si="322"/>
        <v>0.11421319796954314</v>
      </c>
      <c r="X94" s="868">
        <f t="shared" si="322"/>
        <v>5.2240594296669066E-2</v>
      </c>
      <c r="Y94" s="868">
        <f t="shared" si="322"/>
        <v>9.5275283092541976E-2</v>
      </c>
      <c r="Z94" s="868">
        <f t="shared" si="322"/>
        <v>0.13951170901843549</v>
      </c>
      <c r="AA94" s="868">
        <f t="shared" si="322"/>
        <v>0.12570145903479238</v>
      </c>
      <c r="AB94" s="868">
        <f t="shared" si="322"/>
        <v>6.1434659090909102E-2</v>
      </c>
      <c r="AC94" s="868">
        <f t="shared" si="322"/>
        <v>0.14333057166528584</v>
      </c>
      <c r="AD94" s="868">
        <f t="shared" ref="AD94:AG94" si="323">+AD11/AD80</f>
        <v>0.16249518675394686</v>
      </c>
      <c r="AE94" s="868">
        <f t="shared" si="323"/>
        <v>0.13909898059848733</v>
      </c>
      <c r="AF94" s="868">
        <f t="shared" si="323"/>
        <v>6.9624459953472911E-2</v>
      </c>
      <c r="AG94" s="868">
        <f t="shared" si="323"/>
        <v>0.16519174041297935</v>
      </c>
      <c r="AH94" s="868">
        <f t="shared" ref="AH94:AI94" si="324">+AH11/AH80</f>
        <v>0.16621893888515782</v>
      </c>
      <c r="AI94" s="868">
        <f t="shared" si="324"/>
        <v>0.14028352037802716</v>
      </c>
      <c r="AJ94" s="868">
        <f t="shared" ref="AJ94:AN94" si="325">+AJ11/AJ80</f>
        <v>6.6943743506011594E-2</v>
      </c>
      <c r="AK94" s="868">
        <f t="shared" si="325"/>
        <v>0.16300251256281403</v>
      </c>
      <c r="AL94" s="868">
        <f t="shared" si="325"/>
        <v>0.15565031982942432</v>
      </c>
      <c r="AM94" s="868">
        <f t="shared" si="325"/>
        <v>0.12566237698713095</v>
      </c>
      <c r="AN94" s="868">
        <f t="shared" si="325"/>
        <v>6.0484911013670366E-2</v>
      </c>
      <c r="AO94" s="868">
        <f t="shared" ref="AO94:AQ94" si="326">+AO11/AO80</f>
        <v>0.12790394152962672</v>
      </c>
      <c r="AP94" s="868">
        <f t="shared" si="326"/>
        <v>0.13976833976833977</v>
      </c>
      <c r="AQ94" s="868">
        <f t="shared" si="326"/>
        <v>0.11201892066222317</v>
      </c>
      <c r="AR94" s="869">
        <f t="shared" ref="AR94" si="327">+AN94</f>
        <v>6.0484911013670366E-2</v>
      </c>
      <c r="AS94" s="869">
        <f t="shared" ref="AS94" si="328">+AO94</f>
        <v>0.12790394152962672</v>
      </c>
      <c r="AT94" s="869">
        <f t="shared" ref="AT94" si="329">+AP94</f>
        <v>0.13976833976833977</v>
      </c>
      <c r="AU94" s="869">
        <f t="shared" ref="AU94" si="330">+AQ94</f>
        <v>0.11201892066222317</v>
      </c>
      <c r="AV94" s="869">
        <f t="shared" ref="AV94" si="331">+AR94</f>
        <v>6.0484911013670366E-2</v>
      </c>
      <c r="AW94" s="869">
        <f t="shared" ref="AW94" si="332">+AS94</f>
        <v>0.12790394152962672</v>
      </c>
      <c r="AX94" s="869">
        <f t="shared" ref="AX94" si="333">+AT94</f>
        <v>0.13976833976833977</v>
      </c>
      <c r="AY94" s="869">
        <f t="shared" ref="AY94" si="334">+AU94</f>
        <v>0.11201892066222317</v>
      </c>
      <c r="AZ94" s="869">
        <f t="shared" ref="AZ94" si="335">+AV94</f>
        <v>6.0484911013670366E-2</v>
      </c>
      <c r="BA94" s="869">
        <f t="shared" ref="BA94" si="336">+AW94</f>
        <v>0.12790394152962672</v>
      </c>
      <c r="BR94" s="1406"/>
      <c r="BS94" s="1406"/>
      <c r="BT94" s="1406"/>
    </row>
    <row r="95" spans="1:72" s="414" customFormat="1" ht="13.15" customHeight="1">
      <c r="BR95" s="1406"/>
      <c r="BS95" s="1406"/>
      <c r="BT95" s="1406"/>
    </row>
    <row r="96" spans="1:72" s="414" customFormat="1" ht="13.15" customHeight="1">
      <c r="BR96" s="1406"/>
      <c r="BS96" s="1406"/>
      <c r="BT96" s="1406"/>
    </row>
    <row r="97" spans="70:72" s="414" customFormat="1" ht="13.15" customHeight="1">
      <c r="BR97" s="1406"/>
      <c r="BS97" s="1406"/>
      <c r="BT97" s="1406"/>
    </row>
    <row r="98" spans="70:72" s="414" customFormat="1" ht="13.15" customHeight="1">
      <c r="BR98" s="1406"/>
      <c r="BS98" s="1406"/>
      <c r="BT98" s="1406"/>
    </row>
    <row r="99" spans="70:72" s="414" customFormat="1" ht="13.15" customHeight="1">
      <c r="BR99" s="1406"/>
      <c r="BS99" s="1406"/>
      <c r="BT99" s="1406"/>
    </row>
    <row r="100" spans="70:72" s="414" customFormat="1" ht="13.15" customHeight="1">
      <c r="BR100" s="1406"/>
      <c r="BS100" s="1406"/>
      <c r="BT100" s="1406"/>
    </row>
    <row r="101" spans="70:72" s="414" customFormat="1" ht="13.15" customHeight="1">
      <c r="BR101" s="1406"/>
      <c r="BS101" s="1406"/>
      <c r="BT101" s="1406"/>
    </row>
    <row r="102" spans="70:72" s="414" customFormat="1" ht="13.15" customHeight="1">
      <c r="BR102" s="1406"/>
      <c r="BS102" s="1406"/>
      <c r="BT102" s="1406"/>
    </row>
    <row r="103" spans="70:72" s="414" customFormat="1" ht="13.15" customHeight="1">
      <c r="BR103" s="1406"/>
      <c r="BS103" s="1406"/>
      <c r="BT103" s="1406"/>
    </row>
    <row r="104" spans="70:72" s="414" customFormat="1" ht="13.15" customHeight="1">
      <c r="BR104" s="1406"/>
      <c r="BS104" s="1406"/>
      <c r="BT104" s="1406"/>
    </row>
    <row r="105" spans="70:72" s="414" customFormat="1" ht="13.15" customHeight="1">
      <c r="BR105" s="1406"/>
      <c r="BS105" s="1406"/>
      <c r="BT105" s="1406"/>
    </row>
    <row r="106" spans="70:72" s="414" customFormat="1" ht="13.15" customHeight="1">
      <c r="BR106" s="1406"/>
      <c r="BS106" s="1406"/>
      <c r="BT106" s="1406"/>
    </row>
    <row r="107" spans="70:72" ht="13.15" customHeight="1"/>
    <row r="108" spans="70:72" ht="13.15" customHeight="1"/>
    <row r="109" spans="70:72" ht="13.15" customHeight="1"/>
    <row r="110" spans="70:72" ht="13.15" customHeight="1"/>
  </sheetData>
  <mergeCells count="25">
    <mergeCell ref="DG3:DJ3"/>
    <mergeCell ref="BS3:BV3"/>
    <mergeCell ref="B3:E3"/>
    <mergeCell ref="F3:I3"/>
    <mergeCell ref="J3:M3"/>
    <mergeCell ref="N3:Q3"/>
    <mergeCell ref="R3:U3"/>
    <mergeCell ref="V3:Y3"/>
    <mergeCell ref="Z3:AC3"/>
    <mergeCell ref="AD3:AG3"/>
    <mergeCell ref="AH3:AK3"/>
    <mergeCell ref="AL3:AO3"/>
    <mergeCell ref="BC3:BM3"/>
    <mergeCell ref="AP3:AS3"/>
    <mergeCell ref="AT3:AW3"/>
    <mergeCell ref="AX3:BA3"/>
    <mergeCell ref="CU3:CX3"/>
    <mergeCell ref="CY3:DB3"/>
    <mergeCell ref="DC3:DF3"/>
    <mergeCell ref="BW3:BZ3"/>
    <mergeCell ref="CA3:CD3"/>
    <mergeCell ref="CE3:CH3"/>
    <mergeCell ref="CI3:CL3"/>
    <mergeCell ref="CM3:CP3"/>
    <mergeCell ref="CQ3:CT3"/>
  </mergeCells>
  <pageMargins left="0.7" right="0.7" top="0.75" bottom="0.75" header="0.3" footer="0.3"/>
  <pageSetup scale="49" orientation="portrait" r:id="rId1"/>
  <ignoredErrors>
    <ignoredError sqref="BD6:BL9 BD38:BL39 BD41:BE41 BD29:BL33 BD16:BK18 BD14:BL14 BD10:BK13 BD19:BK28 BD15:BK15" formulaRange="1"/>
    <ignoredError sqref="BD34:BL37 BF41:BL41 BD40:BL40 BD45:BL58" formula="1" formulaRange="1"/>
    <ignoredError sqref="BD42:BL44 V19:W19"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Q50"/>
  <sheetViews>
    <sheetView showGridLines="0" zoomScaleNormal="100" workbookViewId="0">
      <selection activeCell="AP36" sqref="AP36"/>
    </sheetView>
  </sheetViews>
  <sheetFormatPr defaultColWidth="6.85546875" defaultRowHeight="11.25" outlineLevelCol="1"/>
  <cols>
    <col min="1" max="1" width="40" style="167" customWidth="1"/>
    <col min="2" max="2" width="7.85546875" style="200" hidden="1" customWidth="1" outlineLevel="1" collapsed="1"/>
    <col min="3" max="5" width="7.85546875" style="200" hidden="1" customWidth="1" outlineLevel="1"/>
    <col min="6" max="6" width="7.85546875" style="200" hidden="1" customWidth="1" outlineLevel="1" collapsed="1"/>
    <col min="7" max="8" width="7.85546875" style="200" hidden="1" customWidth="1" outlineLevel="1"/>
    <col min="9" max="9" width="8.140625" style="200" hidden="1" customWidth="1" outlineLevel="1"/>
    <col min="10" max="10" width="7.85546875" style="200" customWidth="1" collapsed="1"/>
    <col min="11" max="15" width="7.85546875" style="200" customWidth="1"/>
    <col min="16" max="17" width="8.85546875" style="200" customWidth="1"/>
    <col min="18" max="18" width="8.5703125" style="200" customWidth="1"/>
    <col min="19" max="27" width="7.85546875" style="200" customWidth="1"/>
    <col min="28" max="35" width="7.85546875" style="200" hidden="1" customWidth="1" outlineLevel="1"/>
    <col min="36" max="36" width="8.5703125" style="200" hidden="1" customWidth="1" outlineLevel="1"/>
    <col min="37" max="39" width="7.85546875" style="200" hidden="1" customWidth="1" outlineLevel="1"/>
    <col min="40" max="40" width="2.5703125" style="200" customWidth="1" collapsed="1"/>
    <col min="41" max="42" width="9.85546875" style="200" customWidth="1"/>
    <col min="43" max="43" width="1.42578125" style="200" customWidth="1"/>
    <col min="44" max="16384" width="6.85546875" style="200"/>
  </cols>
  <sheetData>
    <row r="1" spans="1:43" s="167" customFormat="1" ht="15.75">
      <c r="A1" s="165" t="s">
        <v>194</v>
      </c>
      <c r="B1" s="166"/>
    </row>
    <row r="2" spans="1:43" s="167" customFormat="1" ht="15.75">
      <c r="A2" s="165" t="s">
        <v>197</v>
      </c>
      <c r="B2" s="168"/>
      <c r="C2" s="168"/>
      <c r="D2" s="168"/>
      <c r="E2" s="168"/>
      <c r="F2" s="169"/>
      <c r="G2" s="169"/>
      <c r="H2" s="169"/>
      <c r="I2" s="169"/>
      <c r="J2" s="169"/>
      <c r="K2" s="169"/>
      <c r="L2" s="169"/>
      <c r="M2" s="169"/>
      <c r="N2" s="168"/>
      <c r="O2" s="168"/>
      <c r="P2" s="168"/>
      <c r="Q2" s="168"/>
      <c r="R2" s="168"/>
      <c r="S2" s="168"/>
      <c r="T2" s="166"/>
      <c r="U2" s="166"/>
      <c r="V2" s="166"/>
      <c r="W2" s="168"/>
      <c r="X2" s="168"/>
      <c r="Y2" s="168"/>
      <c r="Z2" s="168"/>
      <c r="AA2" s="168"/>
      <c r="AB2" s="168"/>
      <c r="AC2" s="168"/>
      <c r="AD2" s="168"/>
      <c r="AE2" s="168"/>
      <c r="AF2" s="168"/>
      <c r="AG2" s="168"/>
      <c r="AH2" s="168"/>
      <c r="AI2" s="168"/>
      <c r="AJ2" s="168"/>
      <c r="AK2" s="168"/>
      <c r="AL2" s="168"/>
      <c r="AM2" s="168"/>
      <c r="AN2" s="170"/>
    </row>
    <row r="3" spans="1:43" s="174" customFormat="1" ht="12">
      <c r="A3" s="171"/>
      <c r="B3" s="2180" t="s">
        <v>208</v>
      </c>
      <c r="C3" s="2179"/>
      <c r="D3" s="2179"/>
      <c r="E3" s="2179"/>
      <c r="F3" s="2179" t="s">
        <v>209</v>
      </c>
      <c r="G3" s="2179"/>
      <c r="H3" s="2179"/>
      <c r="I3" s="2179"/>
      <c r="J3" s="2179" t="s">
        <v>210</v>
      </c>
      <c r="K3" s="2179"/>
      <c r="L3" s="2181"/>
      <c r="M3" s="2179"/>
      <c r="N3" s="2179"/>
      <c r="O3" s="2182" t="s">
        <v>211</v>
      </c>
      <c r="P3" s="2166"/>
      <c r="Q3" s="2166"/>
      <c r="R3" s="2166"/>
      <c r="S3" s="2167"/>
      <c r="T3" s="2179" t="s">
        <v>212</v>
      </c>
      <c r="U3" s="2179"/>
      <c r="V3" s="2179"/>
      <c r="W3" s="2179"/>
      <c r="X3" s="2179" t="s">
        <v>213</v>
      </c>
      <c r="Y3" s="2179"/>
      <c r="Z3" s="2179"/>
      <c r="AA3" s="2179"/>
      <c r="AB3" s="2179">
        <v>0</v>
      </c>
      <c r="AC3" s="2179"/>
      <c r="AD3" s="2179"/>
      <c r="AE3" s="2179"/>
      <c r="AF3" s="2179">
        <v>0</v>
      </c>
      <c r="AG3" s="2179"/>
      <c r="AH3" s="2179"/>
      <c r="AI3" s="2179"/>
      <c r="AJ3" s="2179">
        <v>0</v>
      </c>
      <c r="AK3" s="2179"/>
      <c r="AL3" s="2179"/>
      <c r="AM3" s="2179"/>
      <c r="AN3" s="172"/>
      <c r="AO3" s="173"/>
      <c r="AP3" s="173"/>
      <c r="AQ3" s="173"/>
    </row>
    <row r="4" spans="1:43" s="111" customFormat="1" ht="12">
      <c r="A4" s="175" t="s">
        <v>233</v>
      </c>
      <c r="B4" s="176" t="e">
        <f>#REF!</f>
        <v>#REF!</v>
      </c>
      <c r="C4" s="177" t="e">
        <f>#REF!</f>
        <v>#REF!</v>
      </c>
      <c r="D4" s="177" t="e">
        <f>#REF!</f>
        <v>#REF!</v>
      </c>
      <c r="E4" s="178" t="e">
        <f>#REF!</f>
        <v>#REF!</v>
      </c>
      <c r="F4" s="179" t="e">
        <f>#REF!</f>
        <v>#REF!</v>
      </c>
      <c r="G4" s="177" t="e">
        <f>#REF!</f>
        <v>#REF!</v>
      </c>
      <c r="H4" s="177" t="e">
        <f>#REF!</f>
        <v>#REF!</v>
      </c>
      <c r="I4" s="178" t="e">
        <f>#REF!</f>
        <v>#REF!</v>
      </c>
      <c r="J4" s="179" t="e">
        <f>#REF!</f>
        <v>#REF!</v>
      </c>
      <c r="K4" s="177" t="e">
        <f>#REF!</f>
        <v>#REF!</v>
      </c>
      <c r="L4" s="177" t="s">
        <v>214</v>
      </c>
      <c r="M4" s="177" t="e">
        <f>#REF!</f>
        <v>#REF!</v>
      </c>
      <c r="N4" s="178" t="e">
        <f>#REF!</f>
        <v>#REF!</v>
      </c>
      <c r="O4" s="179" t="e">
        <f>#REF!</f>
        <v>#REF!</v>
      </c>
      <c r="P4" s="177" t="e">
        <f>#REF!</f>
        <v>#REF!</v>
      </c>
      <c r="Q4" s="177" t="s">
        <v>214</v>
      </c>
      <c r="R4" s="177" t="e">
        <f>#REF!</f>
        <v>#REF!</v>
      </c>
      <c r="S4" s="178" t="e">
        <f>#REF!</f>
        <v>#REF!</v>
      </c>
      <c r="T4" s="179" t="e">
        <f>#REF!</f>
        <v>#REF!</v>
      </c>
      <c r="U4" s="177" t="e">
        <f>#REF!</f>
        <v>#REF!</v>
      </c>
      <c r="V4" s="177" t="e">
        <f>#REF!</f>
        <v>#REF!</v>
      </c>
      <c r="W4" s="178" t="e">
        <f>#REF!</f>
        <v>#REF!</v>
      </c>
      <c r="X4" s="179" t="e">
        <f>#REF!</f>
        <v>#REF!</v>
      </c>
      <c r="Y4" s="177" t="e">
        <f>#REF!</f>
        <v>#REF!</v>
      </c>
      <c r="Z4" s="177" t="e">
        <f>#REF!</f>
        <v>#REF!</v>
      </c>
      <c r="AA4" s="254" t="e">
        <f>#REF!</f>
        <v>#REF!</v>
      </c>
      <c r="AB4" s="179">
        <v>44276</v>
      </c>
      <c r="AC4" s="177">
        <v>44368</v>
      </c>
      <c r="AD4" s="177" t="s">
        <v>434</v>
      </c>
      <c r="AE4" s="178" t="s">
        <v>435</v>
      </c>
      <c r="AF4" s="179" t="s">
        <v>436</v>
      </c>
      <c r="AG4" s="177" t="s">
        <v>437</v>
      </c>
      <c r="AH4" s="177" t="s">
        <v>438</v>
      </c>
      <c r="AI4" s="178" t="s">
        <v>439</v>
      </c>
      <c r="AJ4" s="179" t="s">
        <v>440</v>
      </c>
      <c r="AK4" s="177" t="s">
        <v>441</v>
      </c>
      <c r="AL4" s="177" t="s">
        <v>442</v>
      </c>
      <c r="AM4" s="178" t="s">
        <v>443</v>
      </c>
      <c r="AN4" s="179"/>
    </row>
    <row r="5" spans="1:43" s="186" customFormat="1" ht="12.75" thickBot="1">
      <c r="A5" s="180"/>
      <c r="B5" s="181"/>
      <c r="C5" s="181"/>
      <c r="D5" s="181"/>
      <c r="E5" s="181"/>
      <c r="F5" s="182"/>
      <c r="G5" s="181"/>
      <c r="H5" s="181"/>
      <c r="I5" s="183"/>
      <c r="J5" s="182"/>
      <c r="K5" s="181"/>
      <c r="L5" s="181"/>
      <c r="M5" s="181"/>
      <c r="N5" s="183"/>
      <c r="O5" s="182"/>
      <c r="P5" s="181"/>
      <c r="Q5" s="181"/>
      <c r="R5" s="181"/>
      <c r="S5" s="183"/>
      <c r="T5" s="182"/>
      <c r="U5" s="181"/>
      <c r="V5" s="181"/>
      <c r="W5" s="183"/>
      <c r="X5" s="182"/>
      <c r="Y5" s="181"/>
      <c r="Z5" s="184"/>
      <c r="AA5" s="183"/>
      <c r="AB5" s="182"/>
      <c r="AC5" s="181"/>
      <c r="AD5" s="181"/>
      <c r="AE5" s="183"/>
      <c r="AF5" s="182"/>
      <c r="AG5" s="181"/>
      <c r="AH5" s="181"/>
      <c r="AI5" s="183"/>
      <c r="AJ5" s="182"/>
      <c r="AK5" s="181"/>
      <c r="AL5" s="181"/>
      <c r="AM5" s="183"/>
      <c r="AN5" s="185"/>
    </row>
    <row r="6" spans="1:43" s="194" customFormat="1" ht="12">
      <c r="A6" s="187" t="s">
        <v>198</v>
      </c>
      <c r="B6" s="188"/>
      <c r="C6" s="188"/>
      <c r="D6" s="188"/>
      <c r="E6" s="188"/>
      <c r="F6" s="189"/>
      <c r="G6" s="188"/>
      <c r="H6" s="188"/>
      <c r="I6" s="188"/>
      <c r="J6" s="189"/>
      <c r="K6" s="188"/>
      <c r="L6" s="188"/>
      <c r="M6" s="188"/>
      <c r="N6" s="188"/>
      <c r="O6" s="189"/>
      <c r="P6" s="188"/>
      <c r="Q6" s="188"/>
      <c r="R6" s="190"/>
      <c r="S6" s="188"/>
      <c r="T6" s="191"/>
      <c r="U6" s="190"/>
      <c r="V6" s="190"/>
      <c r="W6" s="192"/>
      <c r="X6" s="191"/>
      <c r="Y6" s="190"/>
      <c r="Z6" s="190"/>
      <c r="AA6" s="192"/>
      <c r="AB6" s="191"/>
      <c r="AC6" s="190"/>
      <c r="AD6" s="190"/>
      <c r="AE6" s="192"/>
      <c r="AF6" s="191"/>
      <c r="AG6" s="190"/>
      <c r="AH6" s="190"/>
      <c r="AI6" s="192"/>
      <c r="AJ6" s="191"/>
      <c r="AK6" s="190"/>
      <c r="AL6" s="190"/>
      <c r="AM6" s="192"/>
      <c r="AN6" s="193"/>
    </row>
    <row r="7" spans="1:43" ht="12">
      <c r="A7" s="195" t="s">
        <v>199</v>
      </c>
      <c r="B7" s="196"/>
      <c r="C7" s="196"/>
      <c r="D7" s="196"/>
      <c r="E7" s="196"/>
      <c r="F7" s="197" t="e">
        <f>LEFT(#REF!,4)</f>
        <v>#REF!</v>
      </c>
      <c r="G7" s="198" t="e">
        <f>LEFT(#REF!,4)</f>
        <v>#REF!</v>
      </c>
      <c r="H7" s="198" t="e">
        <f>LEFT(#REF!,6)</f>
        <v>#REF!</v>
      </c>
      <c r="I7" s="198" t="e">
        <f>LEFT(#REF!,4)</f>
        <v>#REF!</v>
      </c>
      <c r="J7" s="197" t="e">
        <f>LEFT(#REF!,4)</f>
        <v>#REF!</v>
      </c>
      <c r="K7" s="198" t="e">
        <f>LEFT(#REF!,6)</f>
        <v>#REF!</v>
      </c>
      <c r="L7" s="198">
        <v>1010</v>
      </c>
      <c r="M7" s="198" t="e">
        <f>LEFT(#REF!,6)</f>
        <v>#REF!</v>
      </c>
      <c r="N7" s="198" t="e">
        <f>LEFT(#REF!,4)</f>
        <v>#REF!</v>
      </c>
      <c r="O7" s="197" t="e">
        <f>LEFT(#REF!,4)</f>
        <v>#REF!</v>
      </c>
      <c r="P7" s="198" t="e">
        <f>LEFT(#REF!,6)</f>
        <v>#REF!</v>
      </c>
      <c r="Q7" s="198">
        <v>1160</v>
      </c>
      <c r="R7" s="198" t="e">
        <f>LEFT(#REF!,6)</f>
        <v>#REF!</v>
      </c>
      <c r="S7" s="198" t="e">
        <f>LEFT(#REF!,4)</f>
        <v>#REF!</v>
      </c>
      <c r="T7" s="197" t="e">
        <f>LEFT(#REF!,4)</f>
        <v>#REF!</v>
      </c>
      <c r="U7" s="198" t="e">
        <f>LEFT(#REF!,6)</f>
        <v>#REF!</v>
      </c>
      <c r="V7" s="198">
        <f>1.1*2912</f>
        <v>3203.2000000000003</v>
      </c>
      <c r="W7" s="199">
        <f>1.1*864</f>
        <v>950.40000000000009</v>
      </c>
      <c r="X7" s="198" t="e">
        <f>LEFT(#REF!,6)</f>
        <v>#REF!</v>
      </c>
      <c r="AA7" s="201"/>
      <c r="AB7" s="202"/>
      <c r="AC7" s="110"/>
      <c r="AD7" s="110"/>
      <c r="AE7" s="203"/>
      <c r="AF7" s="197"/>
      <c r="AG7" s="198"/>
      <c r="AH7" s="110"/>
      <c r="AI7" s="203"/>
      <c r="AJ7" s="202"/>
      <c r="AK7" s="110"/>
      <c r="AL7" s="110"/>
      <c r="AM7" s="203"/>
      <c r="AN7" s="110"/>
    </row>
    <row r="8" spans="1:43" ht="12">
      <c r="A8" s="195" t="s">
        <v>200</v>
      </c>
      <c r="B8" s="196"/>
      <c r="C8" s="196"/>
      <c r="D8" s="196"/>
      <c r="E8" s="196"/>
      <c r="F8" s="197" t="e">
        <f>RIGHT(#REF!,4)</f>
        <v>#REF!</v>
      </c>
      <c r="G8" s="198" t="e">
        <f>RIGHT(#REF!,4)</f>
        <v>#REF!</v>
      </c>
      <c r="H8" s="198" t="e">
        <f>RIGHT(#REF!,6)</f>
        <v>#REF!</v>
      </c>
      <c r="I8" s="198" t="e">
        <f>RIGHT(#REF!,4)</f>
        <v>#REF!</v>
      </c>
      <c r="J8" s="197" t="e">
        <f>RIGHT(#REF!,4)</f>
        <v>#REF!</v>
      </c>
      <c r="K8" s="198" t="e">
        <f>RIGHT(#REF!,6)</f>
        <v>#REF!</v>
      </c>
      <c r="L8" s="198">
        <v>1015</v>
      </c>
      <c r="M8" s="198" t="e">
        <f>RIGHT(#REF!,6)</f>
        <v>#REF!</v>
      </c>
      <c r="N8" s="198" t="e">
        <f>RIGHT(#REF!,4)</f>
        <v>#REF!</v>
      </c>
      <c r="O8" s="197" t="e">
        <f>RIGHT(#REF!,4)</f>
        <v>#REF!</v>
      </c>
      <c r="P8" s="198" t="e">
        <f>RIGHT(#REF!,6)</f>
        <v>#REF!</v>
      </c>
      <c r="Q8" s="198">
        <v>1165</v>
      </c>
      <c r="R8" s="198" t="e">
        <f>RIGHT(#REF!,6)</f>
        <v>#REF!</v>
      </c>
      <c r="S8" s="198" t="e">
        <f>RIGHT(#REF!,4)</f>
        <v>#REF!</v>
      </c>
      <c r="T8" s="197" t="e">
        <f>RIGHT(#REF!,4)</f>
        <v>#REF!</v>
      </c>
      <c r="U8" s="198" t="e">
        <f>RIGHT(#REF!,6)</f>
        <v>#REF!</v>
      </c>
      <c r="V8" s="198">
        <f>1.12*2912</f>
        <v>3261.4400000000005</v>
      </c>
      <c r="W8" s="199">
        <f>1.12*864</f>
        <v>967.68000000000006</v>
      </c>
      <c r="X8" s="198" t="e">
        <f>RIGHT(#REF!,6)</f>
        <v>#REF!</v>
      </c>
      <c r="AA8" s="201"/>
      <c r="AB8" s="202"/>
      <c r="AC8" s="110"/>
      <c r="AD8" s="110"/>
      <c r="AE8" s="203"/>
      <c r="AF8" s="197"/>
      <c r="AG8" s="198"/>
      <c r="AH8" s="110"/>
      <c r="AI8" s="203"/>
      <c r="AJ8" s="202"/>
      <c r="AK8" s="110"/>
      <c r="AL8" s="110"/>
      <c r="AM8" s="203"/>
      <c r="AN8" s="110"/>
    </row>
    <row r="9" spans="1:43" ht="12">
      <c r="A9" s="195"/>
      <c r="B9" s="196"/>
      <c r="C9" s="196"/>
      <c r="D9" s="196"/>
      <c r="E9" s="196"/>
      <c r="F9" s="204"/>
      <c r="G9" s="196"/>
      <c r="H9" s="196"/>
      <c r="I9" s="196"/>
      <c r="J9" s="204"/>
      <c r="K9" s="196"/>
      <c r="L9" s="196"/>
      <c r="M9" s="196"/>
      <c r="N9" s="196"/>
      <c r="O9" s="204"/>
      <c r="P9" s="196"/>
      <c r="Q9" s="196"/>
      <c r="R9" s="110"/>
      <c r="S9" s="196"/>
      <c r="T9" s="202"/>
      <c r="U9" s="110"/>
      <c r="V9" s="110"/>
      <c r="W9" s="203"/>
      <c r="X9" s="202"/>
      <c r="Y9" s="110"/>
      <c r="Z9" s="110"/>
      <c r="AA9" s="203"/>
      <c r="AB9" s="202"/>
      <c r="AC9" s="110"/>
      <c r="AD9" s="110"/>
      <c r="AE9" s="203"/>
      <c r="AF9" s="202"/>
      <c r="AG9" s="110"/>
      <c r="AH9" s="110"/>
      <c r="AI9" s="203"/>
      <c r="AJ9" s="202"/>
      <c r="AK9" s="110"/>
      <c r="AL9" s="110"/>
      <c r="AM9" s="203"/>
      <c r="AN9" s="110"/>
    </row>
    <row r="10" spans="1:43" s="194" customFormat="1" ht="12">
      <c r="A10" s="205" t="s">
        <v>201</v>
      </c>
      <c r="B10" s="206"/>
      <c r="C10" s="206"/>
      <c r="D10" s="206"/>
      <c r="E10" s="206"/>
      <c r="F10" s="207" t="e">
        <f>#REF!</f>
        <v>#REF!</v>
      </c>
      <c r="G10" s="206" t="e">
        <f>#REF!</f>
        <v>#REF!</v>
      </c>
      <c r="H10" s="206" t="e">
        <f>#REF!</f>
        <v>#REF!</v>
      </c>
      <c r="I10" s="206" t="e">
        <f>#REF!</f>
        <v>#REF!</v>
      </c>
      <c r="J10" s="207" t="e">
        <f>#REF!</f>
        <v>#REF!</v>
      </c>
      <c r="K10" s="206" t="e">
        <f>#REF!</f>
        <v>#REF!</v>
      </c>
      <c r="L10" s="206" t="e">
        <f>K10</f>
        <v>#REF!</v>
      </c>
      <c r="M10" s="206" t="e">
        <f>#REF!</f>
        <v>#REF!</v>
      </c>
      <c r="N10" s="206" t="e">
        <f>#REF!</f>
        <v>#REF!</v>
      </c>
      <c r="O10" s="207" t="e">
        <f>#REF!</f>
        <v>#REF!</v>
      </c>
      <c r="P10" s="206" t="e">
        <f>#REF!</f>
        <v>#REF!</v>
      </c>
      <c r="Q10" s="206" t="e">
        <f>P10</f>
        <v>#REF!</v>
      </c>
      <c r="R10" s="208" t="e">
        <f>#REF!</f>
        <v>#REF!</v>
      </c>
      <c r="S10" s="206" t="e">
        <f>#REF!</f>
        <v>#REF!</v>
      </c>
      <c r="T10" s="209" t="e">
        <f>#REF!</f>
        <v>#REF!</v>
      </c>
      <c r="U10" s="208" t="e">
        <f>#REF!</f>
        <v>#REF!</v>
      </c>
      <c r="V10" s="208" t="e">
        <f>#REF!</f>
        <v>#REF!</v>
      </c>
      <c r="W10" s="210" t="e">
        <f>#REF!</f>
        <v>#REF!</v>
      </c>
      <c r="X10" s="208" t="e">
        <f>#REF!</f>
        <v>#REF!</v>
      </c>
      <c r="Y10" s="208"/>
      <c r="Z10" s="208"/>
      <c r="AA10" s="210"/>
      <c r="AB10" s="209"/>
      <c r="AC10" s="208"/>
      <c r="AD10" s="208"/>
      <c r="AE10" s="210"/>
      <c r="AF10" s="209"/>
      <c r="AG10" s="208"/>
      <c r="AH10" s="208"/>
      <c r="AI10" s="210"/>
      <c r="AJ10" s="209"/>
      <c r="AK10" s="208"/>
      <c r="AL10" s="208"/>
      <c r="AM10" s="210"/>
      <c r="AN10" s="211"/>
    </row>
    <row r="11" spans="1:43" s="194" customFormat="1" ht="12">
      <c r="A11" s="212"/>
      <c r="B11" s="213"/>
      <c r="C11" s="213"/>
      <c r="D11" s="213"/>
      <c r="E11" s="213"/>
      <c r="F11" s="214"/>
      <c r="G11" s="213"/>
      <c r="H11" s="213"/>
      <c r="I11" s="213"/>
      <c r="J11" s="214"/>
      <c r="K11" s="213"/>
      <c r="L11" s="213"/>
      <c r="M11" s="213"/>
      <c r="N11" s="213"/>
      <c r="O11" s="214"/>
      <c r="P11" s="213"/>
      <c r="Q11" s="213"/>
      <c r="R11" s="211"/>
      <c r="S11" s="213"/>
      <c r="T11" s="215"/>
      <c r="U11" s="211"/>
      <c r="V11" s="211"/>
      <c r="W11" s="216"/>
      <c r="X11" s="215"/>
      <c r="Y11" s="211"/>
      <c r="Z11" s="211"/>
      <c r="AA11" s="216"/>
      <c r="AB11" s="215"/>
      <c r="AC11" s="211"/>
      <c r="AD11" s="211"/>
      <c r="AE11" s="216"/>
      <c r="AF11" s="215"/>
      <c r="AG11" s="211"/>
      <c r="AH11" s="211"/>
      <c r="AI11" s="216"/>
      <c r="AJ11" s="215"/>
      <c r="AK11" s="211"/>
      <c r="AL11" s="211"/>
      <c r="AM11" s="216"/>
      <c r="AN11" s="211"/>
    </row>
    <row r="12" spans="1:43" s="219" customFormat="1" ht="12">
      <c r="A12" s="217" t="s">
        <v>202</v>
      </c>
      <c r="B12" s="196"/>
      <c r="C12" s="196"/>
      <c r="D12" s="196"/>
      <c r="E12" s="196"/>
      <c r="F12" s="204" t="e">
        <f t="shared" ref="F12:V12" si="0">F10-F8</f>
        <v>#REF!</v>
      </c>
      <c r="G12" s="196" t="e">
        <f t="shared" si="0"/>
        <v>#REF!</v>
      </c>
      <c r="H12" s="196" t="e">
        <f t="shared" si="0"/>
        <v>#REF!</v>
      </c>
      <c r="I12" s="218" t="e">
        <f t="shared" si="0"/>
        <v>#REF!</v>
      </c>
      <c r="J12" s="204" t="e">
        <f t="shared" si="0"/>
        <v>#REF!</v>
      </c>
      <c r="K12" s="196" t="e">
        <f t="shared" si="0"/>
        <v>#REF!</v>
      </c>
      <c r="L12" s="196" t="e">
        <f t="shared" si="0"/>
        <v>#REF!</v>
      </c>
      <c r="M12" s="196" t="e">
        <f t="shared" si="0"/>
        <v>#REF!</v>
      </c>
      <c r="N12" s="218" t="e">
        <f t="shared" si="0"/>
        <v>#REF!</v>
      </c>
      <c r="O12" s="204" t="e">
        <f t="shared" si="0"/>
        <v>#REF!</v>
      </c>
      <c r="P12" s="196" t="e">
        <f t="shared" si="0"/>
        <v>#REF!</v>
      </c>
      <c r="Q12" s="196" t="e">
        <f t="shared" si="0"/>
        <v>#REF!</v>
      </c>
      <c r="R12" s="196" t="e">
        <f t="shared" si="0"/>
        <v>#REF!</v>
      </c>
      <c r="S12" s="218" t="e">
        <f t="shared" si="0"/>
        <v>#REF!</v>
      </c>
      <c r="T12" s="204" t="e">
        <f t="shared" si="0"/>
        <v>#REF!</v>
      </c>
      <c r="U12" s="196" t="e">
        <f t="shared" si="0"/>
        <v>#REF!</v>
      </c>
      <c r="V12" s="196" t="e">
        <f t="shared" si="0"/>
        <v>#REF!</v>
      </c>
      <c r="W12" s="218" t="e">
        <f>W10-W8</f>
        <v>#REF!</v>
      </c>
      <c r="X12" s="196" t="e">
        <f>X10-X8</f>
        <v>#REF!</v>
      </c>
      <c r="Y12" s="196"/>
      <c r="Z12" s="196"/>
      <c r="AA12" s="218"/>
      <c r="AB12" s="204"/>
      <c r="AC12" s="196"/>
      <c r="AD12" s="196"/>
      <c r="AE12" s="218"/>
      <c r="AF12" s="197"/>
      <c r="AG12" s="196"/>
      <c r="AH12" s="196"/>
      <c r="AI12" s="218"/>
      <c r="AJ12" s="204"/>
      <c r="AK12" s="196"/>
      <c r="AL12" s="196"/>
      <c r="AM12" s="218"/>
      <c r="AN12" s="196"/>
    </row>
    <row r="13" spans="1:43" s="225" customFormat="1" ht="12">
      <c r="A13" s="220" t="s">
        <v>203</v>
      </c>
      <c r="B13" s="213"/>
      <c r="C13" s="213"/>
      <c r="D13" s="213"/>
      <c r="E13" s="213"/>
      <c r="F13" s="221" t="e">
        <f t="shared" ref="F13:V13" si="1">F10/F8-1</f>
        <v>#REF!</v>
      </c>
      <c r="G13" s="222" t="e">
        <f t="shared" si="1"/>
        <v>#REF!</v>
      </c>
      <c r="H13" s="222" t="e">
        <f t="shared" si="1"/>
        <v>#REF!</v>
      </c>
      <c r="I13" s="223" t="e">
        <f t="shared" si="1"/>
        <v>#REF!</v>
      </c>
      <c r="J13" s="221" t="e">
        <f t="shared" si="1"/>
        <v>#REF!</v>
      </c>
      <c r="K13" s="222" t="e">
        <f t="shared" si="1"/>
        <v>#REF!</v>
      </c>
      <c r="L13" s="222" t="e">
        <f t="shared" si="1"/>
        <v>#REF!</v>
      </c>
      <c r="M13" s="222" t="e">
        <f t="shared" si="1"/>
        <v>#REF!</v>
      </c>
      <c r="N13" s="223" t="e">
        <f t="shared" si="1"/>
        <v>#REF!</v>
      </c>
      <c r="O13" s="221" t="e">
        <f t="shared" si="1"/>
        <v>#REF!</v>
      </c>
      <c r="P13" s="222" t="e">
        <f t="shared" si="1"/>
        <v>#REF!</v>
      </c>
      <c r="Q13" s="222" t="e">
        <f t="shared" si="1"/>
        <v>#REF!</v>
      </c>
      <c r="R13" s="222" t="e">
        <f t="shared" si="1"/>
        <v>#REF!</v>
      </c>
      <c r="S13" s="223" t="e">
        <f t="shared" si="1"/>
        <v>#REF!</v>
      </c>
      <c r="T13" s="221" t="e">
        <f t="shared" si="1"/>
        <v>#REF!</v>
      </c>
      <c r="U13" s="222" t="e">
        <f t="shared" si="1"/>
        <v>#REF!</v>
      </c>
      <c r="V13" s="222" t="e">
        <f t="shared" si="1"/>
        <v>#REF!</v>
      </c>
      <c r="W13" s="223" t="e">
        <f>W10/W8-1</f>
        <v>#REF!</v>
      </c>
      <c r="X13" s="222" t="e">
        <f>X10/X8-1</f>
        <v>#REF!</v>
      </c>
      <c r="Y13" s="222"/>
      <c r="Z13" s="222"/>
      <c r="AA13" s="223"/>
      <c r="AB13" s="214"/>
      <c r="AC13" s="213"/>
      <c r="AD13" s="213"/>
      <c r="AE13" s="224"/>
      <c r="AF13" s="221"/>
      <c r="AG13" s="213"/>
      <c r="AH13" s="213"/>
      <c r="AI13" s="224"/>
      <c r="AJ13" s="214"/>
      <c r="AK13" s="213"/>
      <c r="AL13" s="213"/>
      <c r="AM13" s="224"/>
      <c r="AN13" s="213"/>
    </row>
    <row r="14" spans="1:43" s="194" customFormat="1" ht="12">
      <c r="A14" s="212"/>
      <c r="B14" s="213"/>
      <c r="C14" s="213"/>
      <c r="D14" s="213"/>
      <c r="E14" s="213"/>
      <c r="F14" s="214"/>
      <c r="G14" s="213"/>
      <c r="H14" s="213"/>
      <c r="I14" s="213"/>
      <c r="J14" s="214"/>
      <c r="K14" s="213"/>
      <c r="L14" s="213"/>
      <c r="M14" s="213"/>
      <c r="N14" s="213"/>
      <c r="O14" s="214"/>
      <c r="P14" s="213"/>
      <c r="Q14" s="213"/>
      <c r="R14" s="211"/>
      <c r="S14" s="213"/>
      <c r="T14" s="215"/>
      <c r="U14" s="211"/>
      <c r="V14" s="211"/>
      <c r="W14" s="216"/>
      <c r="X14" s="215"/>
      <c r="Y14" s="211"/>
      <c r="Z14" s="211"/>
      <c r="AA14" s="216"/>
      <c r="AB14" s="215"/>
      <c r="AC14" s="211"/>
      <c r="AD14" s="211"/>
      <c r="AE14" s="216"/>
      <c r="AF14" s="215"/>
      <c r="AG14" s="211"/>
      <c r="AH14" s="211"/>
      <c r="AI14" s="216"/>
      <c r="AJ14" s="215"/>
      <c r="AK14" s="211"/>
      <c r="AL14" s="211"/>
      <c r="AM14" s="216"/>
      <c r="AN14" s="211"/>
    </row>
    <row r="15" spans="1:43" s="194" customFormat="1" ht="12">
      <c r="A15" s="212"/>
      <c r="B15" s="213"/>
      <c r="C15" s="213"/>
      <c r="D15" s="213"/>
      <c r="E15" s="224"/>
      <c r="F15" s="213"/>
      <c r="G15" s="213"/>
      <c r="H15" s="213"/>
      <c r="I15" s="224"/>
      <c r="J15" s="213"/>
      <c r="K15" s="213"/>
      <c r="L15" s="213"/>
      <c r="M15" s="213"/>
      <c r="N15" s="224"/>
      <c r="O15" s="213"/>
      <c r="P15" s="213"/>
      <c r="Q15" s="213"/>
      <c r="R15" s="211"/>
      <c r="S15" s="224"/>
      <c r="T15" s="211"/>
      <c r="U15" s="211"/>
      <c r="V15" s="211"/>
      <c r="W15" s="216"/>
      <c r="X15" s="211"/>
      <c r="Y15" s="211"/>
      <c r="Z15" s="211"/>
      <c r="AA15" s="216"/>
      <c r="AB15" s="211"/>
      <c r="AC15" s="211"/>
      <c r="AD15" s="211"/>
      <c r="AE15" s="216"/>
      <c r="AF15" s="211"/>
      <c r="AG15" s="211"/>
      <c r="AH15" s="211"/>
      <c r="AI15" s="216"/>
      <c r="AJ15" s="211"/>
      <c r="AK15" s="211"/>
      <c r="AL15" s="211"/>
      <c r="AM15" s="216"/>
      <c r="AN15" s="211"/>
    </row>
    <row r="16" spans="1:43" s="194" customFormat="1" ht="12">
      <c r="A16" s="226" t="s">
        <v>204</v>
      </c>
      <c r="B16" s="227"/>
      <c r="C16" s="227"/>
      <c r="D16" s="227"/>
      <c r="E16" s="227"/>
      <c r="F16" s="228"/>
      <c r="G16" s="227"/>
      <c r="H16" s="227"/>
      <c r="I16" s="227"/>
      <c r="J16" s="228"/>
      <c r="K16" s="227"/>
      <c r="L16" s="227"/>
      <c r="M16" s="227"/>
      <c r="N16" s="227"/>
      <c r="O16" s="228"/>
      <c r="P16" s="227"/>
      <c r="Q16" s="227"/>
      <c r="R16" s="229"/>
      <c r="S16" s="227"/>
      <c r="T16" s="230"/>
      <c r="U16" s="229"/>
      <c r="V16" s="229"/>
      <c r="W16" s="231"/>
      <c r="X16" s="230"/>
      <c r="Y16" s="229"/>
      <c r="Z16" s="229"/>
      <c r="AA16" s="231"/>
      <c r="AB16" s="230"/>
      <c r="AC16" s="229"/>
      <c r="AD16" s="229"/>
      <c r="AE16" s="231"/>
      <c r="AF16" s="230"/>
      <c r="AG16" s="229"/>
      <c r="AH16" s="229"/>
      <c r="AI16" s="231"/>
      <c r="AJ16" s="230"/>
      <c r="AK16" s="229"/>
      <c r="AL16" s="229"/>
      <c r="AM16" s="231"/>
      <c r="AN16" s="193"/>
    </row>
    <row r="17" spans="1:43" ht="12">
      <c r="A17" s="195" t="s">
        <v>205</v>
      </c>
      <c r="B17" s="196"/>
      <c r="C17" s="196"/>
      <c r="D17" s="196"/>
      <c r="E17" s="196">
        <v>4525</v>
      </c>
      <c r="F17" s="197"/>
      <c r="G17" s="198"/>
      <c r="H17" s="198">
        <v>4660</v>
      </c>
      <c r="I17" s="198">
        <v>5000</v>
      </c>
      <c r="J17" s="197"/>
      <c r="K17" s="198"/>
      <c r="L17" s="198"/>
      <c r="M17" s="198">
        <v>5130</v>
      </c>
      <c r="N17" s="198">
        <v>5640</v>
      </c>
      <c r="O17" s="197"/>
      <c r="P17" s="198"/>
      <c r="Q17" s="198"/>
      <c r="R17" s="198">
        <v>5915</v>
      </c>
      <c r="S17" s="198">
        <v>6530</v>
      </c>
      <c r="T17" s="197"/>
      <c r="U17" s="198"/>
      <c r="V17" s="198">
        <v>6530</v>
      </c>
      <c r="W17" s="199"/>
      <c r="AA17" s="201"/>
      <c r="AB17" s="202"/>
      <c r="AC17" s="110"/>
      <c r="AD17" s="110"/>
      <c r="AE17" s="203"/>
      <c r="AF17" s="197"/>
      <c r="AG17" s="198"/>
      <c r="AH17" s="110"/>
      <c r="AI17" s="203"/>
      <c r="AJ17" s="202"/>
      <c r="AK17" s="110"/>
      <c r="AL17" s="110"/>
      <c r="AM17" s="203"/>
      <c r="AN17" s="110"/>
    </row>
    <row r="18" spans="1:43" ht="12">
      <c r="A18" s="195" t="s">
        <v>206</v>
      </c>
      <c r="B18" s="196"/>
      <c r="C18" s="196"/>
      <c r="D18" s="196"/>
      <c r="E18" s="196">
        <v>4600</v>
      </c>
      <c r="F18" s="197"/>
      <c r="G18" s="198"/>
      <c r="H18" s="198">
        <v>4680</v>
      </c>
      <c r="I18" s="198">
        <v>5100</v>
      </c>
      <c r="J18" s="197"/>
      <c r="K18" s="198"/>
      <c r="L18" s="198"/>
      <c r="M18" s="198">
        <v>5150</v>
      </c>
      <c r="N18" s="198">
        <v>5740</v>
      </c>
      <c r="O18" s="197"/>
      <c r="P18" s="198"/>
      <c r="Q18" s="198"/>
      <c r="R18" s="198">
        <v>5935</v>
      </c>
      <c r="S18" s="198">
        <v>6630</v>
      </c>
      <c r="T18" s="197"/>
      <c r="U18" s="198"/>
      <c r="V18" s="198">
        <v>6630</v>
      </c>
      <c r="W18" s="199"/>
      <c r="AA18" s="201"/>
      <c r="AB18" s="202"/>
      <c r="AC18" s="110"/>
      <c r="AD18" s="110"/>
      <c r="AE18" s="203"/>
      <c r="AF18" s="197"/>
      <c r="AG18" s="198"/>
      <c r="AH18" s="110"/>
      <c r="AI18" s="203"/>
      <c r="AJ18" s="202"/>
      <c r="AK18" s="110"/>
      <c r="AL18" s="110"/>
      <c r="AM18" s="203"/>
      <c r="AN18" s="110"/>
    </row>
    <row r="19" spans="1:43" ht="12">
      <c r="A19" s="195"/>
      <c r="B19" s="196"/>
      <c r="C19" s="196"/>
      <c r="D19" s="196"/>
      <c r="E19" s="196"/>
      <c r="F19" s="204"/>
      <c r="G19" s="196"/>
      <c r="H19" s="196"/>
      <c r="I19" s="196"/>
      <c r="J19" s="204"/>
      <c r="K19" s="196"/>
      <c r="L19" s="196"/>
      <c r="M19" s="196"/>
      <c r="N19" s="196"/>
      <c r="O19" s="204"/>
      <c r="P19" s="196"/>
      <c r="Q19" s="196"/>
      <c r="R19" s="110"/>
      <c r="S19" s="196"/>
      <c r="T19" s="202"/>
      <c r="U19" s="110"/>
      <c r="V19" s="110"/>
      <c r="W19" s="203"/>
      <c r="X19" s="202"/>
      <c r="Y19" s="110"/>
      <c r="Z19" s="110"/>
      <c r="AA19" s="203"/>
      <c r="AB19" s="202"/>
      <c r="AC19" s="110"/>
      <c r="AD19" s="110"/>
      <c r="AE19" s="203"/>
      <c r="AF19" s="202"/>
      <c r="AG19" s="198"/>
      <c r="AH19" s="110"/>
      <c r="AI19" s="203"/>
      <c r="AJ19" s="202"/>
      <c r="AK19" s="110"/>
      <c r="AL19" s="110"/>
      <c r="AM19" s="203"/>
      <c r="AN19" s="110"/>
    </row>
    <row r="20" spans="1:43" s="194" customFormat="1" ht="12">
      <c r="A20" s="205" t="s">
        <v>201</v>
      </c>
      <c r="B20" s="206"/>
      <c r="C20" s="206"/>
      <c r="D20" s="206"/>
      <c r="E20" s="206"/>
      <c r="F20" s="207"/>
      <c r="G20" s="206"/>
      <c r="H20" s="206"/>
      <c r="I20" s="232" t="e">
        <f>#REF!</f>
        <v>#REF!</v>
      </c>
      <c r="J20" s="207"/>
      <c r="K20" s="206"/>
      <c r="L20" s="206"/>
      <c r="M20" s="206"/>
      <c r="N20" s="232" t="e">
        <f>#REF!</f>
        <v>#REF!</v>
      </c>
      <c r="O20" s="207"/>
      <c r="P20" s="206"/>
      <c r="Q20" s="206"/>
      <c r="R20" s="208"/>
      <c r="S20" s="232" t="e">
        <f>#REF!</f>
        <v>#REF!</v>
      </c>
      <c r="T20" s="209"/>
      <c r="U20" s="208"/>
      <c r="V20" s="208"/>
      <c r="W20" s="232" t="e">
        <f>#REF!</f>
        <v>#REF!</v>
      </c>
      <c r="X20" s="209"/>
      <c r="Y20" s="208"/>
      <c r="Z20" s="208"/>
      <c r="AA20" s="210"/>
      <c r="AB20" s="209"/>
      <c r="AC20" s="208"/>
      <c r="AD20" s="208"/>
      <c r="AE20" s="210"/>
      <c r="AF20" s="209"/>
      <c r="AG20" s="208"/>
      <c r="AH20" s="208"/>
      <c r="AI20" s="210"/>
      <c r="AJ20" s="209"/>
      <c r="AK20" s="208"/>
      <c r="AL20" s="208"/>
      <c r="AM20" s="210"/>
      <c r="AN20" s="211"/>
    </row>
    <row r="21" spans="1:43" s="194" customFormat="1" ht="12">
      <c r="A21" s="212"/>
      <c r="B21" s="213"/>
      <c r="C21" s="213"/>
      <c r="D21" s="213"/>
      <c r="E21" s="213"/>
      <c r="F21" s="214"/>
      <c r="G21" s="213"/>
      <c r="H21" s="213"/>
      <c r="I21" s="213"/>
      <c r="J21" s="214"/>
      <c r="K21" s="213"/>
      <c r="L21" s="213"/>
      <c r="M21" s="213"/>
      <c r="N21" s="213"/>
      <c r="O21" s="214"/>
      <c r="P21" s="213"/>
      <c r="Q21" s="213"/>
      <c r="R21" s="211"/>
      <c r="S21" s="213"/>
      <c r="T21" s="215"/>
      <c r="U21" s="211"/>
      <c r="V21" s="211"/>
      <c r="W21" s="216"/>
      <c r="X21" s="215"/>
      <c r="Y21" s="211"/>
      <c r="Z21" s="211"/>
      <c r="AA21" s="216"/>
      <c r="AB21" s="215"/>
      <c r="AC21" s="211"/>
      <c r="AD21" s="211"/>
      <c r="AE21" s="216"/>
      <c r="AF21" s="215"/>
      <c r="AG21" s="211"/>
      <c r="AH21" s="211"/>
      <c r="AI21" s="216"/>
      <c r="AJ21" s="215"/>
      <c r="AK21" s="211"/>
      <c r="AL21" s="211"/>
      <c r="AM21" s="216"/>
      <c r="AN21" s="211"/>
    </row>
    <row r="22" spans="1:43" s="219" customFormat="1" ht="12">
      <c r="A22" s="217" t="s">
        <v>202</v>
      </c>
      <c r="B22" s="196"/>
      <c r="C22" s="196"/>
      <c r="D22" s="196"/>
      <c r="E22" s="196"/>
      <c r="F22" s="204"/>
      <c r="G22" s="196"/>
      <c r="H22" s="196"/>
      <c r="I22" s="218" t="e">
        <f>I20-H18</f>
        <v>#REF!</v>
      </c>
      <c r="J22" s="204"/>
      <c r="K22" s="196"/>
      <c r="L22" s="196"/>
      <c r="M22" s="196"/>
      <c r="N22" s="218" t="e">
        <f>N20-M18</f>
        <v>#REF!</v>
      </c>
      <c r="O22" s="204"/>
      <c r="P22" s="196"/>
      <c r="Q22" s="196"/>
      <c r="R22" s="196"/>
      <c r="S22" s="218" t="e">
        <f>S20-R18</f>
        <v>#REF!</v>
      </c>
      <c r="T22" s="204"/>
      <c r="U22" s="196"/>
      <c r="V22" s="196"/>
      <c r="W22" s="218" t="e">
        <f>W20-V18</f>
        <v>#REF!</v>
      </c>
      <c r="X22" s="197"/>
      <c r="Y22" s="196"/>
      <c r="Z22" s="196"/>
      <c r="AA22" s="218"/>
      <c r="AB22" s="204"/>
      <c r="AC22" s="196"/>
      <c r="AD22" s="196"/>
      <c r="AE22" s="218"/>
      <c r="AF22" s="197"/>
      <c r="AG22" s="196"/>
      <c r="AH22" s="196"/>
      <c r="AI22" s="218"/>
      <c r="AJ22" s="204"/>
      <c r="AK22" s="196"/>
      <c r="AL22" s="196"/>
      <c r="AM22" s="218"/>
      <c r="AN22" s="196"/>
    </row>
    <row r="23" spans="1:43" s="225" customFormat="1" ht="12">
      <c r="A23" s="220" t="s">
        <v>203</v>
      </c>
      <c r="B23" s="213"/>
      <c r="C23" s="213"/>
      <c r="D23" s="213"/>
      <c r="E23" s="213"/>
      <c r="F23" s="214"/>
      <c r="G23" s="213"/>
      <c r="H23" s="213"/>
      <c r="I23" s="223" t="e">
        <f>I20/H18-1</f>
        <v>#REF!</v>
      </c>
      <c r="J23" s="214"/>
      <c r="K23" s="213"/>
      <c r="L23" s="213"/>
      <c r="M23" s="213"/>
      <c r="N23" s="223" t="e">
        <f>N20/M18-1</f>
        <v>#REF!</v>
      </c>
      <c r="O23" s="214"/>
      <c r="P23" s="213"/>
      <c r="Q23" s="213"/>
      <c r="R23" s="213"/>
      <c r="S23" s="223" t="e">
        <f>S20/R18-1</f>
        <v>#REF!</v>
      </c>
      <c r="T23" s="221"/>
      <c r="U23" s="222"/>
      <c r="V23" s="222"/>
      <c r="W23" s="223" t="e">
        <f>W20/V18-1</f>
        <v>#REF!</v>
      </c>
      <c r="X23" s="221"/>
      <c r="Y23" s="213"/>
      <c r="Z23" s="213"/>
      <c r="AA23" s="223"/>
      <c r="AB23" s="214"/>
      <c r="AC23" s="213"/>
      <c r="AD23" s="213"/>
      <c r="AE23" s="224"/>
      <c r="AF23" s="221"/>
      <c r="AG23" s="213"/>
      <c r="AH23" s="213"/>
      <c r="AI23" s="224"/>
      <c r="AJ23" s="214"/>
      <c r="AK23" s="213"/>
      <c r="AL23" s="213"/>
      <c r="AM23" s="224"/>
      <c r="AN23" s="213"/>
    </row>
    <row r="24" spans="1:43" s="194" customFormat="1" ht="12.75" thickBot="1">
      <c r="A24" s="212"/>
      <c r="B24" s="213"/>
      <c r="C24" s="213"/>
      <c r="D24" s="213"/>
      <c r="E24" s="213"/>
      <c r="F24" s="214"/>
      <c r="G24" s="213"/>
      <c r="H24" s="213"/>
      <c r="I24" s="213"/>
      <c r="J24" s="214"/>
      <c r="K24" s="213"/>
      <c r="L24" s="213"/>
      <c r="M24" s="213"/>
      <c r="N24" s="213"/>
      <c r="O24" s="214"/>
      <c r="P24" s="213"/>
      <c r="Q24" s="213"/>
      <c r="R24" s="211"/>
      <c r="S24" s="213"/>
      <c r="T24" s="215"/>
      <c r="U24" s="211"/>
      <c r="V24" s="211"/>
      <c r="W24" s="216"/>
      <c r="X24" s="215"/>
      <c r="Y24" s="211"/>
      <c r="Z24" s="211"/>
      <c r="AA24" s="216"/>
      <c r="AB24" s="215"/>
      <c r="AC24" s="211"/>
      <c r="AD24" s="211"/>
      <c r="AE24" s="216"/>
      <c r="AF24" s="215"/>
      <c r="AG24" s="211"/>
      <c r="AH24" s="211"/>
      <c r="AI24" s="216"/>
      <c r="AJ24" s="215"/>
      <c r="AK24" s="211"/>
      <c r="AL24" s="211"/>
      <c r="AM24" s="216"/>
      <c r="AN24" s="211"/>
    </row>
    <row r="25" spans="1:43" s="236" customFormat="1" ht="12">
      <c r="A25" s="233"/>
      <c r="B25" s="234"/>
      <c r="C25" s="234"/>
      <c r="D25" s="234"/>
      <c r="E25" s="234"/>
      <c r="F25" s="234"/>
      <c r="G25" s="234"/>
      <c r="H25" s="234"/>
      <c r="I25" s="234"/>
      <c r="J25" s="234"/>
      <c r="K25" s="234"/>
      <c r="L25" s="234"/>
      <c r="M25" s="234"/>
      <c r="N25" s="234"/>
      <c r="O25" s="234"/>
      <c r="P25" s="234"/>
      <c r="Q25" s="234"/>
      <c r="R25" s="234"/>
      <c r="S25" s="234"/>
      <c r="T25" s="234"/>
      <c r="U25" s="234"/>
      <c r="V25" s="234"/>
      <c r="W25" s="234"/>
      <c r="X25" s="234"/>
      <c r="Y25" s="235"/>
      <c r="Z25" s="235"/>
      <c r="AA25" s="235"/>
      <c r="AB25" s="235"/>
      <c r="AC25" s="235"/>
      <c r="AD25" s="235"/>
      <c r="AE25" s="235"/>
      <c r="AF25" s="235"/>
      <c r="AG25" s="235"/>
      <c r="AH25" s="235"/>
      <c r="AI25" s="235"/>
      <c r="AJ25" s="235"/>
      <c r="AK25" s="235"/>
      <c r="AL25" s="235"/>
      <c r="AM25" s="235"/>
      <c r="AN25" s="110"/>
    </row>
    <row r="27" spans="1:43" s="174" customFormat="1" ht="12">
      <c r="A27" s="237"/>
      <c r="B27" s="2183" t="str">
        <f>+B3</f>
        <v>Fiscal 2015</v>
      </c>
      <c r="C27" s="2166"/>
      <c r="D27" s="2166"/>
      <c r="E27" s="2167"/>
      <c r="F27" s="2179" t="str">
        <f t="shared" ref="F27" si="2">+F3</f>
        <v>Fiscal 2016</v>
      </c>
      <c r="G27" s="2179"/>
      <c r="H27" s="2179"/>
      <c r="I27" s="2179"/>
      <c r="J27" s="2179" t="str">
        <f t="shared" ref="J27" si="3">+J3</f>
        <v>Fiscal 2017</v>
      </c>
      <c r="K27" s="2179"/>
      <c r="L27" s="2181"/>
      <c r="M27" s="2179"/>
      <c r="N27" s="2179"/>
      <c r="O27" s="2182" t="str">
        <f t="shared" ref="O27" si="4">+O3</f>
        <v>Fiscal 2018</v>
      </c>
      <c r="P27" s="2166"/>
      <c r="Q27" s="2166"/>
      <c r="R27" s="2166"/>
      <c r="S27" s="2167"/>
      <c r="T27" s="2179" t="str">
        <f t="shared" ref="T27" si="5">+T3</f>
        <v>Fiscal 2019</v>
      </c>
      <c r="U27" s="2179"/>
      <c r="V27" s="2179"/>
      <c r="W27" s="2179"/>
      <c r="X27" s="2179" t="str">
        <f t="shared" ref="X27" si="6">+X3</f>
        <v>Fiscal 2020</v>
      </c>
      <c r="Y27" s="2179"/>
      <c r="Z27" s="2179"/>
      <c r="AA27" s="2179"/>
      <c r="AB27" s="2179">
        <f t="shared" ref="AB27" si="7">+AB3</f>
        <v>0</v>
      </c>
      <c r="AC27" s="2179"/>
      <c r="AD27" s="2179"/>
      <c r="AE27" s="2179"/>
      <c r="AF27" s="2179">
        <f t="shared" ref="AF27" si="8">+AF3</f>
        <v>0</v>
      </c>
      <c r="AG27" s="2179"/>
      <c r="AH27" s="2179"/>
      <c r="AI27" s="2179"/>
      <c r="AJ27" s="2179">
        <f t="shared" ref="AJ27" si="9">+AJ3</f>
        <v>0</v>
      </c>
      <c r="AK27" s="2179"/>
      <c r="AL27" s="2179"/>
      <c r="AM27" s="2179"/>
      <c r="AN27" s="172"/>
      <c r="AO27" s="173"/>
      <c r="AP27" s="173"/>
      <c r="AQ27" s="173"/>
    </row>
    <row r="28" spans="1:43" s="111" customFormat="1" ht="12">
      <c r="A28" s="175"/>
      <c r="B28" s="176" t="e">
        <f>+B4</f>
        <v>#REF!</v>
      </c>
      <c r="C28" s="177" t="e">
        <f t="shared" ref="C28:AM28" si="10">+C4</f>
        <v>#REF!</v>
      </c>
      <c r="D28" s="177" t="e">
        <f t="shared" si="10"/>
        <v>#REF!</v>
      </c>
      <c r="E28" s="178" t="e">
        <f t="shared" si="10"/>
        <v>#REF!</v>
      </c>
      <c r="F28" s="179" t="e">
        <f t="shared" si="10"/>
        <v>#REF!</v>
      </c>
      <c r="G28" s="177" t="e">
        <f t="shared" si="10"/>
        <v>#REF!</v>
      </c>
      <c r="H28" s="177" t="e">
        <f t="shared" si="10"/>
        <v>#REF!</v>
      </c>
      <c r="I28" s="178" t="e">
        <f t="shared" si="10"/>
        <v>#REF!</v>
      </c>
      <c r="J28" s="179" t="e">
        <f t="shared" si="10"/>
        <v>#REF!</v>
      </c>
      <c r="K28" s="177" t="e">
        <f t="shared" si="10"/>
        <v>#REF!</v>
      </c>
      <c r="L28" s="177"/>
      <c r="M28" s="177" t="e">
        <f t="shared" si="10"/>
        <v>#REF!</v>
      </c>
      <c r="N28" s="178" t="e">
        <f t="shared" si="10"/>
        <v>#REF!</v>
      </c>
      <c r="O28" s="179" t="e">
        <f t="shared" si="10"/>
        <v>#REF!</v>
      </c>
      <c r="P28" s="177" t="e">
        <f t="shared" si="10"/>
        <v>#REF!</v>
      </c>
      <c r="Q28" s="177"/>
      <c r="R28" s="177" t="e">
        <f t="shared" si="10"/>
        <v>#REF!</v>
      </c>
      <c r="S28" s="178" t="e">
        <f t="shared" si="10"/>
        <v>#REF!</v>
      </c>
      <c r="T28" s="179" t="e">
        <f t="shared" si="10"/>
        <v>#REF!</v>
      </c>
      <c r="U28" s="177" t="e">
        <f t="shared" si="10"/>
        <v>#REF!</v>
      </c>
      <c r="V28" s="177" t="e">
        <f t="shared" si="10"/>
        <v>#REF!</v>
      </c>
      <c r="W28" s="178" t="e">
        <f t="shared" si="10"/>
        <v>#REF!</v>
      </c>
      <c r="X28" s="179" t="e">
        <f t="shared" si="10"/>
        <v>#REF!</v>
      </c>
      <c r="Y28" s="177" t="e">
        <f t="shared" si="10"/>
        <v>#REF!</v>
      </c>
      <c r="Z28" s="177" t="e">
        <f t="shared" si="10"/>
        <v>#REF!</v>
      </c>
      <c r="AA28" s="178" t="e">
        <f t="shared" si="10"/>
        <v>#REF!</v>
      </c>
      <c r="AB28" s="179">
        <f t="shared" si="10"/>
        <v>44276</v>
      </c>
      <c r="AC28" s="177">
        <f t="shared" si="10"/>
        <v>44368</v>
      </c>
      <c r="AD28" s="177" t="str">
        <f t="shared" si="10"/>
        <v>Sep-21E</v>
      </c>
      <c r="AE28" s="178" t="str">
        <f t="shared" si="10"/>
        <v>Dec-21E</v>
      </c>
      <c r="AF28" s="179" t="str">
        <f t="shared" si="10"/>
        <v>Mar-22E</v>
      </c>
      <c r="AG28" s="177" t="str">
        <f t="shared" si="10"/>
        <v>Jun-22E</v>
      </c>
      <c r="AH28" s="177" t="str">
        <f t="shared" si="10"/>
        <v>Sep-22E</v>
      </c>
      <c r="AI28" s="178" t="str">
        <f t="shared" si="10"/>
        <v>Dec-22E</v>
      </c>
      <c r="AJ28" s="179" t="str">
        <f t="shared" si="10"/>
        <v>Mar-23E</v>
      </c>
      <c r="AK28" s="177" t="str">
        <f t="shared" si="10"/>
        <v>Jun-23E</v>
      </c>
      <c r="AL28" s="177" t="str">
        <f t="shared" si="10"/>
        <v>Sep-23E</v>
      </c>
      <c r="AM28" s="178" t="str">
        <f t="shared" si="10"/>
        <v>Dec-23E</v>
      </c>
      <c r="AN28" s="179"/>
    </row>
    <row r="29" spans="1:43" s="186" customFormat="1" ht="12.75" thickBot="1">
      <c r="A29" s="180"/>
      <c r="B29" s="181"/>
      <c r="C29" s="181"/>
      <c r="D29" s="181"/>
      <c r="E29" s="181"/>
      <c r="F29" s="182"/>
      <c r="G29" s="181"/>
      <c r="H29" s="181"/>
      <c r="I29" s="183"/>
      <c r="J29" s="182"/>
      <c r="K29" s="181"/>
      <c r="L29" s="181"/>
      <c r="M29" s="181"/>
      <c r="N29" s="183"/>
      <c r="O29" s="182"/>
      <c r="P29" s="181"/>
      <c r="Q29" s="181"/>
      <c r="R29" s="181"/>
      <c r="S29" s="183"/>
      <c r="T29" s="182"/>
      <c r="U29" s="181"/>
      <c r="V29" s="181"/>
      <c r="W29" s="183"/>
      <c r="X29" s="182"/>
      <c r="Y29" s="181"/>
      <c r="Z29" s="184"/>
      <c r="AA29" s="183"/>
      <c r="AB29" s="182"/>
      <c r="AC29" s="181"/>
      <c r="AD29" s="181"/>
      <c r="AE29" s="183"/>
      <c r="AF29" s="182"/>
      <c r="AG29" s="181"/>
      <c r="AH29" s="181"/>
      <c r="AI29" s="183"/>
      <c r="AJ29" s="182"/>
      <c r="AK29" s="181"/>
      <c r="AL29" s="181"/>
      <c r="AM29" s="183"/>
      <c r="AN29" s="185"/>
    </row>
    <row r="30" spans="1:43" s="194" customFormat="1" ht="12">
      <c r="A30" s="238" t="s">
        <v>215</v>
      </c>
      <c r="B30" s="239"/>
      <c r="C30" s="239"/>
      <c r="D30" s="239"/>
      <c r="E30" s="239"/>
      <c r="F30" s="240"/>
      <c r="G30" s="239"/>
      <c r="H30" s="239"/>
      <c r="I30" s="239"/>
      <c r="J30" s="240"/>
      <c r="K30" s="239"/>
      <c r="L30" s="239"/>
      <c r="M30" s="239"/>
      <c r="N30" s="239"/>
      <c r="O30" s="240"/>
      <c r="P30" s="239"/>
      <c r="Q30" s="239"/>
      <c r="R30" s="241"/>
      <c r="S30" s="239"/>
      <c r="T30" s="242"/>
      <c r="U30" s="241"/>
      <c r="V30" s="241"/>
      <c r="W30" s="243"/>
      <c r="X30" s="242"/>
      <c r="Y30" s="241"/>
      <c r="Z30" s="241"/>
      <c r="AA30" s="243"/>
      <c r="AB30" s="242"/>
      <c r="AC30" s="241"/>
      <c r="AD30" s="241"/>
      <c r="AE30" s="243"/>
      <c r="AF30" s="242"/>
      <c r="AG30" s="241"/>
      <c r="AH30" s="241"/>
      <c r="AI30" s="243"/>
      <c r="AJ30" s="242"/>
      <c r="AK30" s="241"/>
      <c r="AL30" s="241"/>
      <c r="AM30" s="243"/>
      <c r="AN30" s="193"/>
    </row>
    <row r="31" spans="1:43" ht="12">
      <c r="A31" s="195" t="s">
        <v>199</v>
      </c>
      <c r="B31" s="196"/>
      <c r="C31" s="196"/>
      <c r="D31" s="196"/>
      <c r="E31" s="196"/>
      <c r="F31" s="197"/>
      <c r="G31" s="198"/>
      <c r="H31" s="244"/>
      <c r="I31" s="244"/>
      <c r="J31" s="245"/>
      <c r="K31" s="244"/>
      <c r="L31" s="244"/>
      <c r="M31" s="244"/>
      <c r="N31" s="244"/>
      <c r="O31" s="245"/>
      <c r="P31" s="244"/>
      <c r="Q31" s="244"/>
      <c r="R31" s="244"/>
      <c r="S31" s="244"/>
      <c r="T31" s="245"/>
      <c r="U31" s="244"/>
      <c r="V31" s="244"/>
      <c r="W31" s="244"/>
      <c r="X31" s="245"/>
      <c r="Y31" s="244"/>
      <c r="Z31" s="198"/>
      <c r="AA31" s="203"/>
      <c r="AB31" s="202"/>
      <c r="AC31" s="110"/>
      <c r="AD31" s="110"/>
      <c r="AE31" s="203"/>
      <c r="AF31" s="197"/>
      <c r="AG31" s="198"/>
      <c r="AH31" s="110"/>
      <c r="AI31" s="203"/>
      <c r="AJ31" s="202"/>
      <c r="AK31" s="110"/>
      <c r="AL31" s="110"/>
      <c r="AM31" s="203"/>
      <c r="AN31" s="110"/>
    </row>
    <row r="32" spans="1:43" ht="12">
      <c r="A32" s="195" t="s">
        <v>200</v>
      </c>
      <c r="B32" s="196"/>
      <c r="C32" s="196"/>
      <c r="D32" s="196"/>
      <c r="E32" s="196"/>
      <c r="F32" s="197"/>
      <c r="G32" s="198"/>
      <c r="H32" s="244"/>
      <c r="I32" s="244"/>
      <c r="J32" s="245"/>
      <c r="K32" s="244"/>
      <c r="L32" s="244"/>
      <c r="M32" s="244"/>
      <c r="N32" s="244"/>
      <c r="O32" s="245"/>
      <c r="P32" s="244"/>
      <c r="Q32" s="244"/>
      <c r="R32" s="244"/>
      <c r="S32" s="244"/>
      <c r="T32" s="245"/>
      <c r="U32" s="244"/>
      <c r="V32" s="244"/>
      <c r="W32" s="244"/>
      <c r="X32" s="245"/>
      <c r="Y32" s="244"/>
      <c r="Z32" s="198"/>
      <c r="AA32" s="203"/>
      <c r="AB32" s="202"/>
      <c r="AC32" s="110"/>
      <c r="AD32" s="110"/>
      <c r="AE32" s="203"/>
      <c r="AF32" s="197"/>
      <c r="AG32" s="198"/>
      <c r="AH32" s="110"/>
      <c r="AI32" s="203"/>
      <c r="AJ32" s="202"/>
      <c r="AK32" s="110"/>
      <c r="AL32" s="110"/>
      <c r="AM32" s="203"/>
      <c r="AN32" s="110"/>
    </row>
    <row r="33" spans="1:40" ht="12">
      <c r="A33" s="195"/>
      <c r="B33" s="196"/>
      <c r="C33" s="196"/>
      <c r="D33" s="196"/>
      <c r="E33" s="196"/>
      <c r="F33" s="204"/>
      <c r="G33" s="196"/>
      <c r="H33" s="196"/>
      <c r="I33" s="196"/>
      <c r="J33" s="204"/>
      <c r="K33" s="196"/>
      <c r="L33" s="196"/>
      <c r="M33" s="196"/>
      <c r="N33" s="196"/>
      <c r="O33" s="204"/>
      <c r="P33" s="196"/>
      <c r="Q33" s="196"/>
      <c r="R33" s="110"/>
      <c r="S33" s="196"/>
      <c r="T33" s="202"/>
      <c r="U33" s="110"/>
      <c r="V33" s="110"/>
      <c r="W33" s="196"/>
      <c r="X33" s="202"/>
      <c r="Y33" s="110"/>
      <c r="Z33" s="110"/>
      <c r="AA33" s="203"/>
      <c r="AB33" s="202"/>
      <c r="AC33" s="110"/>
      <c r="AD33" s="110"/>
      <c r="AE33" s="203"/>
      <c r="AF33" s="202"/>
      <c r="AG33" s="110"/>
      <c r="AH33" s="110"/>
      <c r="AI33" s="203"/>
      <c r="AJ33" s="202"/>
      <c r="AK33" s="110"/>
      <c r="AL33" s="110"/>
      <c r="AM33" s="203"/>
      <c r="AN33" s="110"/>
    </row>
    <row r="34" spans="1:40" s="194" customFormat="1" ht="12">
      <c r="A34" s="205" t="s">
        <v>201</v>
      </c>
      <c r="B34" s="206"/>
      <c r="C34" s="206"/>
      <c r="D34" s="206"/>
      <c r="E34" s="206"/>
      <c r="F34" s="207"/>
      <c r="G34" s="206"/>
      <c r="H34" s="206"/>
      <c r="I34" s="206"/>
      <c r="J34" s="207"/>
      <c r="K34" s="206"/>
      <c r="L34" s="206"/>
      <c r="M34" s="206"/>
      <c r="N34" s="206"/>
      <c r="O34" s="207"/>
      <c r="P34" s="206"/>
      <c r="Q34" s="206"/>
      <c r="R34" s="208"/>
      <c r="S34" s="206"/>
      <c r="T34" s="209"/>
      <c r="U34" s="208"/>
      <c r="V34" s="208"/>
      <c r="W34" s="206"/>
      <c r="X34" s="209"/>
      <c r="Y34" s="208"/>
      <c r="Z34" s="208"/>
      <c r="AA34" s="210"/>
      <c r="AB34" s="209"/>
      <c r="AC34" s="208"/>
      <c r="AD34" s="208"/>
      <c r="AE34" s="210"/>
      <c r="AF34" s="209"/>
      <c r="AG34" s="208"/>
      <c r="AH34" s="208"/>
      <c r="AI34" s="210"/>
      <c r="AJ34" s="209"/>
      <c r="AK34" s="208"/>
      <c r="AL34" s="208"/>
      <c r="AM34" s="210"/>
      <c r="AN34" s="211"/>
    </row>
    <row r="35" spans="1:40" s="194" customFormat="1" ht="12">
      <c r="A35" s="212"/>
      <c r="B35" s="213"/>
      <c r="C35" s="213"/>
      <c r="D35" s="213"/>
      <c r="E35" s="213"/>
      <c r="F35" s="214"/>
      <c r="G35" s="213"/>
      <c r="H35" s="213"/>
      <c r="I35" s="213"/>
      <c r="J35" s="214"/>
      <c r="K35" s="213"/>
      <c r="L35" s="213"/>
      <c r="M35" s="213"/>
      <c r="N35" s="213"/>
      <c r="O35" s="214"/>
      <c r="P35" s="213"/>
      <c r="Q35" s="213"/>
      <c r="R35" s="211"/>
      <c r="S35" s="213"/>
      <c r="T35" s="215"/>
      <c r="U35" s="211"/>
      <c r="V35" s="211"/>
      <c r="W35" s="213"/>
      <c r="X35" s="215"/>
      <c r="Y35" s="211"/>
      <c r="Z35" s="211"/>
      <c r="AA35" s="216"/>
      <c r="AB35" s="215"/>
      <c r="AC35" s="211"/>
      <c r="AD35" s="211"/>
      <c r="AE35" s="216"/>
      <c r="AF35" s="215"/>
      <c r="AG35" s="211"/>
      <c r="AH35" s="211"/>
      <c r="AI35" s="216"/>
      <c r="AJ35" s="215"/>
      <c r="AK35" s="211"/>
      <c r="AL35" s="211"/>
      <c r="AM35" s="216"/>
      <c r="AN35" s="211"/>
    </row>
    <row r="36" spans="1:40" s="219" customFormat="1" ht="12">
      <c r="A36" s="217" t="s">
        <v>202</v>
      </c>
      <c r="B36" s="196"/>
      <c r="C36" s="196"/>
      <c r="D36" s="196"/>
      <c r="E36" s="196"/>
      <c r="F36" s="204"/>
      <c r="G36" s="196"/>
      <c r="H36" s="196"/>
      <c r="I36" s="218"/>
      <c r="J36" s="204"/>
      <c r="K36" s="196"/>
      <c r="L36" s="196"/>
      <c r="M36" s="196"/>
      <c r="N36" s="218"/>
      <c r="O36" s="204"/>
      <c r="P36" s="196"/>
      <c r="Q36" s="196"/>
      <c r="R36" s="196"/>
      <c r="S36" s="218"/>
      <c r="T36" s="204"/>
      <c r="U36" s="196"/>
      <c r="V36" s="196"/>
      <c r="W36" s="218"/>
      <c r="X36" s="197"/>
      <c r="Y36" s="196"/>
      <c r="Z36" s="196"/>
      <c r="AA36" s="218"/>
      <c r="AB36" s="204"/>
      <c r="AC36" s="196"/>
      <c r="AD36" s="196"/>
      <c r="AE36" s="218"/>
      <c r="AF36" s="197"/>
      <c r="AG36" s="196"/>
      <c r="AH36" s="196"/>
      <c r="AI36" s="218"/>
      <c r="AJ36" s="204"/>
      <c r="AK36" s="196"/>
      <c r="AL36" s="196"/>
      <c r="AM36" s="218"/>
      <c r="AN36" s="196"/>
    </row>
    <row r="37" spans="1:40" s="225" customFormat="1" ht="12">
      <c r="A37" s="220" t="s">
        <v>203</v>
      </c>
      <c r="B37" s="213"/>
      <c r="C37" s="213"/>
      <c r="D37" s="213"/>
      <c r="E37" s="213"/>
      <c r="F37" s="221"/>
      <c r="G37" s="246"/>
      <c r="H37" s="222"/>
      <c r="I37" s="223"/>
      <c r="J37" s="221"/>
      <c r="K37" s="222"/>
      <c r="L37" s="222"/>
      <c r="M37" s="222"/>
      <c r="N37" s="223"/>
      <c r="O37" s="221"/>
      <c r="P37" s="222"/>
      <c r="Q37" s="222"/>
      <c r="R37" s="222"/>
      <c r="S37" s="223"/>
      <c r="T37" s="221"/>
      <c r="U37" s="222"/>
      <c r="V37" s="222"/>
      <c r="W37" s="223"/>
      <c r="X37" s="221"/>
      <c r="Y37" s="213"/>
      <c r="Z37" s="213"/>
      <c r="AA37" s="224"/>
      <c r="AB37" s="214"/>
      <c r="AC37" s="213"/>
      <c r="AD37" s="213"/>
      <c r="AE37" s="224"/>
      <c r="AF37" s="221"/>
      <c r="AG37" s="213"/>
      <c r="AH37" s="213"/>
      <c r="AI37" s="224"/>
      <c r="AJ37" s="214"/>
      <c r="AK37" s="213"/>
      <c r="AL37" s="213"/>
      <c r="AM37" s="224"/>
      <c r="AN37" s="213"/>
    </row>
    <row r="38" spans="1:40" s="194" customFormat="1" ht="12">
      <c r="A38" s="212"/>
      <c r="B38" s="213"/>
      <c r="C38" s="213"/>
      <c r="D38" s="213"/>
      <c r="E38" s="213"/>
      <c r="F38" s="214"/>
      <c r="G38" s="213"/>
      <c r="H38" s="213"/>
      <c r="I38" s="213"/>
      <c r="J38" s="214"/>
      <c r="K38" s="213"/>
      <c r="L38" s="213"/>
      <c r="M38" s="213"/>
      <c r="N38" s="213"/>
      <c r="O38" s="214"/>
      <c r="P38" s="213"/>
      <c r="Q38" s="213"/>
      <c r="R38" s="211"/>
      <c r="S38" s="213"/>
      <c r="T38" s="215"/>
      <c r="U38" s="211"/>
      <c r="V38" s="211"/>
      <c r="W38" s="213"/>
      <c r="X38" s="215"/>
      <c r="Y38" s="211"/>
      <c r="Z38" s="211"/>
      <c r="AA38" s="216"/>
      <c r="AB38" s="215"/>
      <c r="AC38" s="211"/>
      <c r="AD38" s="211"/>
      <c r="AE38" s="216"/>
      <c r="AF38" s="215"/>
      <c r="AG38" s="211"/>
      <c r="AH38" s="211"/>
      <c r="AI38" s="216"/>
      <c r="AJ38" s="215"/>
      <c r="AK38" s="211"/>
      <c r="AL38" s="211"/>
      <c r="AM38" s="216"/>
      <c r="AN38" s="211"/>
    </row>
    <row r="39" spans="1:40" s="194" customFormat="1" ht="12.75" thickBot="1">
      <c r="A39" s="212"/>
      <c r="B39" s="213"/>
      <c r="C39" s="213"/>
      <c r="D39" s="213"/>
      <c r="E39" s="224"/>
      <c r="F39" s="213"/>
      <c r="G39" s="213"/>
      <c r="H39" s="213"/>
      <c r="I39" s="224"/>
      <c r="J39" s="213"/>
      <c r="K39" s="213"/>
      <c r="L39" s="213"/>
      <c r="M39" s="213"/>
      <c r="N39" s="224"/>
      <c r="O39" s="213"/>
      <c r="P39" s="213"/>
      <c r="Q39" s="213"/>
      <c r="R39" s="211"/>
      <c r="S39" s="224"/>
      <c r="T39" s="211"/>
      <c r="U39" s="211"/>
      <c r="V39" s="211"/>
      <c r="W39" s="224"/>
      <c r="X39" s="211"/>
      <c r="Y39" s="211"/>
      <c r="Z39" s="211"/>
      <c r="AA39" s="216"/>
      <c r="AB39" s="211"/>
      <c r="AC39" s="211"/>
      <c r="AD39" s="211"/>
      <c r="AE39" s="216"/>
      <c r="AF39" s="211"/>
      <c r="AG39" s="211"/>
      <c r="AH39" s="211"/>
      <c r="AI39" s="216"/>
      <c r="AJ39" s="211"/>
      <c r="AK39" s="211"/>
      <c r="AL39" s="211"/>
      <c r="AM39" s="216"/>
      <c r="AN39" s="211"/>
    </row>
    <row r="40" spans="1:40" s="194" customFormat="1" ht="12">
      <c r="A40" s="238" t="s">
        <v>207</v>
      </c>
      <c r="B40" s="247"/>
      <c r="C40" s="247"/>
      <c r="D40" s="247"/>
      <c r="E40" s="247"/>
      <c r="F40" s="248"/>
      <c r="G40" s="247"/>
      <c r="H40" s="247"/>
      <c r="I40" s="247"/>
      <c r="J40" s="248"/>
      <c r="K40" s="247"/>
      <c r="L40" s="247"/>
      <c r="M40" s="247"/>
      <c r="N40" s="247"/>
      <c r="O40" s="248"/>
      <c r="P40" s="247"/>
      <c r="Q40" s="247"/>
      <c r="R40" s="249"/>
      <c r="S40" s="247"/>
      <c r="T40" s="250"/>
      <c r="U40" s="249"/>
      <c r="V40" s="249"/>
      <c r="W40" s="251"/>
      <c r="X40" s="250"/>
      <c r="Y40" s="249"/>
      <c r="Z40" s="249"/>
      <c r="AA40" s="251"/>
      <c r="AB40" s="250"/>
      <c r="AC40" s="249"/>
      <c r="AD40" s="249"/>
      <c r="AE40" s="251"/>
      <c r="AF40" s="250"/>
      <c r="AG40" s="249"/>
      <c r="AH40" s="249"/>
      <c r="AI40" s="251"/>
      <c r="AJ40" s="250"/>
      <c r="AK40" s="249"/>
      <c r="AL40" s="249"/>
      <c r="AM40" s="251"/>
      <c r="AN40" s="193"/>
    </row>
    <row r="41" spans="1:40" ht="12">
      <c r="A41" s="195" t="s">
        <v>205</v>
      </c>
      <c r="B41" s="196"/>
      <c r="C41" s="196"/>
      <c r="D41" s="196"/>
      <c r="E41" s="196"/>
      <c r="F41" s="245"/>
      <c r="G41" s="244"/>
      <c r="H41" s="244"/>
      <c r="I41" s="244"/>
      <c r="J41" s="245"/>
      <c r="K41" s="244"/>
      <c r="L41" s="244"/>
      <c r="M41" s="244"/>
      <c r="N41" s="244"/>
      <c r="O41" s="245"/>
      <c r="P41" s="244"/>
      <c r="Q41" s="244"/>
      <c r="R41" s="244"/>
      <c r="S41" s="244"/>
      <c r="T41" s="245"/>
      <c r="U41" s="244"/>
      <c r="V41" s="244"/>
      <c r="W41" s="244"/>
      <c r="X41" s="245"/>
      <c r="Y41" s="244"/>
      <c r="Z41" s="244"/>
      <c r="AA41" s="203"/>
      <c r="AB41" s="202"/>
      <c r="AC41" s="110"/>
      <c r="AD41" s="110"/>
      <c r="AE41" s="203"/>
      <c r="AF41" s="197"/>
      <c r="AG41" s="198"/>
      <c r="AH41" s="110"/>
      <c r="AI41" s="203"/>
      <c r="AJ41" s="202"/>
      <c r="AK41" s="110"/>
      <c r="AL41" s="110"/>
      <c r="AM41" s="203"/>
      <c r="AN41" s="110"/>
    </row>
    <row r="42" spans="1:40" ht="12">
      <c r="A42" s="195" t="s">
        <v>206</v>
      </c>
      <c r="B42" s="196"/>
      <c r="C42" s="196"/>
      <c r="D42" s="196"/>
      <c r="E42" s="196"/>
      <c r="F42" s="245"/>
      <c r="G42" s="244"/>
      <c r="H42" s="244"/>
      <c r="I42" s="244"/>
      <c r="J42" s="245"/>
      <c r="K42" s="244"/>
      <c r="L42" s="244"/>
      <c r="M42" s="244"/>
      <c r="N42" s="244"/>
      <c r="O42" s="245"/>
      <c r="P42" s="244"/>
      <c r="Q42" s="244"/>
      <c r="R42" s="244"/>
      <c r="S42" s="244"/>
      <c r="T42" s="245"/>
      <c r="U42" s="244"/>
      <c r="V42" s="244"/>
      <c r="W42" s="244"/>
      <c r="X42" s="245"/>
      <c r="Y42" s="244"/>
      <c r="Z42" s="244"/>
      <c r="AA42" s="203"/>
      <c r="AB42" s="202"/>
      <c r="AC42" s="110"/>
      <c r="AD42" s="110"/>
      <c r="AE42" s="203"/>
      <c r="AF42" s="197"/>
      <c r="AG42" s="198"/>
      <c r="AH42" s="110"/>
      <c r="AI42" s="203"/>
      <c r="AJ42" s="202"/>
      <c r="AK42" s="110"/>
      <c r="AL42" s="110"/>
      <c r="AM42" s="203"/>
      <c r="AN42" s="110"/>
    </row>
    <row r="43" spans="1:40" ht="12">
      <c r="A43" s="195"/>
      <c r="B43" s="196"/>
      <c r="C43" s="196"/>
      <c r="D43" s="196"/>
      <c r="E43" s="196"/>
      <c r="F43" s="204"/>
      <c r="G43" s="196"/>
      <c r="H43" s="196"/>
      <c r="I43" s="196"/>
      <c r="J43" s="204"/>
      <c r="K43" s="196"/>
      <c r="L43" s="196"/>
      <c r="M43" s="196"/>
      <c r="N43" s="196"/>
      <c r="O43" s="204"/>
      <c r="P43" s="196"/>
      <c r="Q43" s="196"/>
      <c r="R43" s="110"/>
      <c r="S43" s="196"/>
      <c r="T43" s="202"/>
      <c r="U43" s="110"/>
      <c r="V43" s="110"/>
      <c r="W43" s="203"/>
      <c r="X43" s="202"/>
      <c r="Y43" s="198"/>
      <c r="Z43" s="110"/>
      <c r="AA43" s="203"/>
      <c r="AB43" s="202"/>
      <c r="AC43" s="110"/>
      <c r="AD43" s="110"/>
      <c r="AE43" s="203"/>
      <c r="AF43" s="202"/>
      <c r="AG43" s="198"/>
      <c r="AH43" s="110"/>
      <c r="AI43" s="203"/>
      <c r="AJ43" s="202"/>
      <c r="AK43" s="110"/>
      <c r="AL43" s="110"/>
      <c r="AM43" s="203"/>
      <c r="AN43" s="110"/>
    </row>
    <row r="44" spans="1:40" s="194" customFormat="1" ht="12">
      <c r="A44" s="205" t="s">
        <v>201</v>
      </c>
      <c r="B44" s="206"/>
      <c r="C44" s="206"/>
      <c r="D44" s="206"/>
      <c r="E44" s="206"/>
      <c r="F44" s="207"/>
      <c r="G44" s="206"/>
      <c r="H44" s="206"/>
      <c r="I44" s="232"/>
      <c r="J44" s="207"/>
      <c r="K44" s="206"/>
      <c r="L44" s="206"/>
      <c r="M44" s="206"/>
      <c r="N44" s="232"/>
      <c r="O44" s="207"/>
      <c r="P44" s="206"/>
      <c r="Q44" s="206"/>
      <c r="R44" s="208"/>
      <c r="S44" s="232"/>
      <c r="T44" s="209"/>
      <c r="U44" s="208"/>
      <c r="V44" s="208"/>
      <c r="W44" s="232"/>
      <c r="X44" s="209"/>
      <c r="Y44" s="208"/>
      <c r="Z44" s="208"/>
      <c r="AA44" s="210"/>
      <c r="AB44" s="209"/>
      <c r="AC44" s="208"/>
      <c r="AD44" s="208"/>
      <c r="AE44" s="210"/>
      <c r="AF44" s="209"/>
      <c r="AG44" s="208"/>
      <c r="AH44" s="208"/>
      <c r="AI44" s="210"/>
      <c r="AJ44" s="209"/>
      <c r="AK44" s="208"/>
      <c r="AL44" s="208"/>
      <c r="AM44" s="210"/>
      <c r="AN44" s="211"/>
    </row>
    <row r="45" spans="1:40" s="194" customFormat="1" ht="12">
      <c r="A45" s="212"/>
      <c r="B45" s="213"/>
      <c r="C45" s="213"/>
      <c r="D45" s="213"/>
      <c r="E45" s="213"/>
      <c r="F45" s="214"/>
      <c r="G45" s="213"/>
      <c r="H45" s="213"/>
      <c r="I45" s="213"/>
      <c r="J45" s="214"/>
      <c r="K45" s="213"/>
      <c r="L45" s="213"/>
      <c r="M45" s="213"/>
      <c r="N45" s="213"/>
      <c r="O45" s="214"/>
      <c r="P45" s="213"/>
      <c r="Q45" s="213"/>
      <c r="R45" s="211"/>
      <c r="S45" s="213"/>
      <c r="T45" s="215"/>
      <c r="U45" s="211"/>
      <c r="V45" s="211"/>
      <c r="W45" s="216"/>
      <c r="X45" s="215"/>
      <c r="Y45" s="211"/>
      <c r="Z45" s="211"/>
      <c r="AA45" s="216"/>
      <c r="AB45" s="215"/>
      <c r="AC45" s="211"/>
      <c r="AD45" s="211"/>
      <c r="AE45" s="216"/>
      <c r="AF45" s="215"/>
      <c r="AG45" s="211"/>
      <c r="AH45" s="211"/>
      <c r="AI45" s="216"/>
      <c r="AJ45" s="215"/>
      <c r="AK45" s="211"/>
      <c r="AL45" s="211"/>
      <c r="AM45" s="216"/>
      <c r="AN45" s="211"/>
    </row>
    <row r="46" spans="1:40" s="219" customFormat="1" ht="12">
      <c r="A46" s="217" t="s">
        <v>202</v>
      </c>
      <c r="B46" s="196"/>
      <c r="C46" s="196"/>
      <c r="D46" s="196"/>
      <c r="E46" s="196"/>
      <c r="F46" s="204"/>
      <c r="G46" s="196"/>
      <c r="H46" s="196"/>
      <c r="I46" s="218"/>
      <c r="J46" s="204"/>
      <c r="K46" s="196"/>
      <c r="L46" s="196"/>
      <c r="M46" s="196"/>
      <c r="N46" s="218"/>
      <c r="O46" s="204"/>
      <c r="P46" s="196"/>
      <c r="Q46" s="196"/>
      <c r="R46" s="196"/>
      <c r="S46" s="218"/>
      <c r="T46" s="204"/>
      <c r="U46" s="196"/>
      <c r="V46" s="196"/>
      <c r="W46" s="218"/>
      <c r="X46" s="197"/>
      <c r="Y46" s="196"/>
      <c r="Z46" s="196"/>
      <c r="AA46" s="218"/>
      <c r="AB46" s="204"/>
      <c r="AC46" s="196"/>
      <c r="AD46" s="196"/>
      <c r="AE46" s="218"/>
      <c r="AF46" s="197"/>
      <c r="AG46" s="196"/>
      <c r="AH46" s="196"/>
      <c r="AI46" s="218"/>
      <c r="AJ46" s="204"/>
      <c r="AK46" s="196"/>
      <c r="AL46" s="196"/>
      <c r="AM46" s="218"/>
      <c r="AN46" s="196"/>
    </row>
    <row r="47" spans="1:40" s="225" customFormat="1" ht="12">
      <c r="A47" s="220" t="s">
        <v>203</v>
      </c>
      <c r="B47" s="213"/>
      <c r="C47" s="213"/>
      <c r="D47" s="213"/>
      <c r="E47" s="213"/>
      <c r="F47" s="214"/>
      <c r="G47" s="213"/>
      <c r="H47" s="213"/>
      <c r="I47" s="223"/>
      <c r="J47" s="214"/>
      <c r="K47" s="213"/>
      <c r="L47" s="213"/>
      <c r="M47" s="213"/>
      <c r="N47" s="223"/>
      <c r="O47" s="214"/>
      <c r="P47" s="213"/>
      <c r="Q47" s="213"/>
      <c r="R47" s="213"/>
      <c r="S47" s="223"/>
      <c r="T47" s="221"/>
      <c r="U47" s="222"/>
      <c r="V47" s="222"/>
      <c r="W47" s="223"/>
      <c r="X47" s="221"/>
      <c r="Y47" s="213"/>
      <c r="Z47" s="213"/>
      <c r="AA47" s="224"/>
      <c r="AB47" s="214"/>
      <c r="AC47" s="213"/>
      <c r="AD47" s="213"/>
      <c r="AE47" s="224"/>
      <c r="AF47" s="221"/>
      <c r="AG47" s="213"/>
      <c r="AH47" s="213"/>
      <c r="AI47" s="224"/>
      <c r="AJ47" s="214"/>
      <c r="AK47" s="213"/>
      <c r="AL47" s="213"/>
      <c r="AM47" s="224"/>
      <c r="AN47" s="213"/>
    </row>
    <row r="48" spans="1:40" s="194" customFormat="1" ht="12.75" thickBot="1">
      <c r="A48" s="212"/>
      <c r="B48" s="213"/>
      <c r="C48" s="213"/>
      <c r="D48" s="213"/>
      <c r="E48" s="213"/>
      <c r="F48" s="214"/>
      <c r="G48" s="213"/>
      <c r="H48" s="213"/>
      <c r="I48" s="213"/>
      <c r="J48" s="214"/>
      <c r="K48" s="213"/>
      <c r="L48" s="213"/>
      <c r="M48" s="213"/>
      <c r="N48" s="213"/>
      <c r="O48" s="214"/>
      <c r="P48" s="213"/>
      <c r="Q48" s="213"/>
      <c r="R48" s="211"/>
      <c r="S48" s="213"/>
      <c r="T48" s="215"/>
      <c r="U48" s="211"/>
      <c r="V48" s="211"/>
      <c r="W48" s="216"/>
      <c r="X48" s="215"/>
      <c r="Y48" s="211"/>
      <c r="Z48" s="211"/>
      <c r="AA48" s="216"/>
      <c r="AB48" s="215"/>
      <c r="AC48" s="211"/>
      <c r="AD48" s="211"/>
      <c r="AE48" s="216"/>
      <c r="AF48" s="215"/>
      <c r="AG48" s="211"/>
      <c r="AH48" s="211"/>
      <c r="AI48" s="216"/>
      <c r="AJ48" s="215"/>
      <c r="AK48" s="211"/>
      <c r="AL48" s="211"/>
      <c r="AM48" s="216"/>
      <c r="AN48" s="211"/>
    </row>
    <row r="49" spans="1:40" s="236" customFormat="1" ht="12">
      <c r="A49" s="233"/>
      <c r="B49" s="234"/>
      <c r="C49" s="234"/>
      <c r="D49" s="234"/>
      <c r="E49" s="234"/>
      <c r="F49" s="234"/>
      <c r="G49" s="234"/>
      <c r="H49" s="234"/>
      <c r="I49" s="234"/>
      <c r="J49" s="234"/>
      <c r="K49" s="234"/>
      <c r="L49" s="234"/>
      <c r="M49" s="234"/>
      <c r="N49" s="234"/>
      <c r="O49" s="234"/>
      <c r="P49" s="234"/>
      <c r="Q49" s="234"/>
      <c r="R49" s="234"/>
      <c r="S49" s="234"/>
      <c r="T49" s="234"/>
      <c r="U49" s="234"/>
      <c r="V49" s="234"/>
      <c r="W49" s="234"/>
      <c r="X49" s="234"/>
      <c r="Y49" s="235"/>
      <c r="Z49" s="235"/>
      <c r="AA49" s="235"/>
      <c r="AB49" s="235"/>
      <c r="AC49" s="235"/>
      <c r="AD49" s="235"/>
      <c r="AE49" s="235"/>
      <c r="AF49" s="235"/>
      <c r="AG49" s="235"/>
      <c r="AH49" s="235"/>
      <c r="AI49" s="235"/>
      <c r="AJ49" s="235"/>
      <c r="AK49" s="235"/>
      <c r="AL49" s="235"/>
      <c r="AM49" s="235"/>
      <c r="AN49" s="110"/>
    </row>
    <row r="50" spans="1:40" s="236" customFormat="1" ht="12">
      <c r="A50" s="252"/>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253"/>
      <c r="Z50" s="253"/>
      <c r="AA50" s="253"/>
      <c r="AB50" s="253"/>
      <c r="AC50" s="253"/>
      <c r="AD50" s="253"/>
      <c r="AE50" s="253"/>
      <c r="AF50" s="253"/>
      <c r="AG50" s="253"/>
      <c r="AH50" s="253"/>
      <c r="AI50" s="253"/>
      <c r="AJ50" s="253"/>
      <c r="AK50" s="253"/>
      <c r="AL50" s="253"/>
      <c r="AM50" s="253"/>
      <c r="AN50" s="110"/>
    </row>
  </sheetData>
  <mergeCells count="18">
    <mergeCell ref="X27:AA27"/>
    <mergeCell ref="AB27:AE27"/>
    <mergeCell ref="B3:E3"/>
    <mergeCell ref="F3:I3"/>
    <mergeCell ref="J3:N3"/>
    <mergeCell ref="O3:S3"/>
    <mergeCell ref="T3:W3"/>
    <mergeCell ref="X3:AA3"/>
    <mergeCell ref="B27:E27"/>
    <mergeCell ref="F27:I27"/>
    <mergeCell ref="J27:N27"/>
    <mergeCell ref="O27:S27"/>
    <mergeCell ref="T27:W27"/>
    <mergeCell ref="AF27:AI27"/>
    <mergeCell ref="AJ27:AM27"/>
    <mergeCell ref="AB3:AE3"/>
    <mergeCell ref="AF3:AI3"/>
    <mergeCell ref="AJ3:AM3"/>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43"/>
  <sheetViews>
    <sheetView showGridLines="0" topLeftCell="D1" workbookViewId="0">
      <selection activeCell="G9" sqref="G9"/>
    </sheetView>
  </sheetViews>
  <sheetFormatPr defaultColWidth="9.140625" defaultRowHeight="12.75" outlineLevelCol="1"/>
  <cols>
    <col min="1" max="1" width="1.140625" style="7" hidden="1" customWidth="1" outlineLevel="1"/>
    <col min="2" max="3" width="9.140625" style="7" hidden="1" customWidth="1" outlineLevel="1"/>
    <col min="4" max="4" width="2.42578125" style="7" customWidth="1" collapsed="1"/>
    <col min="5" max="5" width="28" style="7" customWidth="1"/>
    <col min="6" max="6" width="7.42578125" style="158" customWidth="1"/>
    <col min="7" max="7" width="8.5703125" style="7" customWidth="1"/>
    <col min="8" max="8" width="10" style="7" bestFit="1" customWidth="1"/>
    <col min="9" max="9" width="8.5703125" style="7" customWidth="1"/>
    <col min="10" max="10" width="7.5703125" style="7" customWidth="1"/>
    <col min="11" max="11" width="7.5703125" style="8" customWidth="1"/>
    <col min="12" max="12" width="7.5703125" style="8" hidden="1" customWidth="1" outlineLevel="1"/>
    <col min="13" max="14" width="7.5703125" style="7" hidden="1" customWidth="1" outlineLevel="1"/>
    <col min="15" max="15" width="7.5703125" style="7" customWidth="1" collapsed="1"/>
    <col min="16" max="25" width="7.5703125" style="7" customWidth="1"/>
    <col min="26" max="26" width="12.140625" style="7" customWidth="1"/>
    <col min="27" max="27" width="1.42578125" style="7" customWidth="1"/>
    <col min="28" max="16384" width="9.140625" style="7"/>
  </cols>
  <sheetData>
    <row r="1" spans="2:25" s="1" customFormat="1" ht="18.75" thickBot="1">
      <c r="E1" s="122" t="s">
        <v>177</v>
      </c>
      <c r="F1" s="142"/>
      <c r="G1" s="11"/>
      <c r="H1" s="10"/>
      <c r="I1" s="10"/>
      <c r="J1" s="12"/>
      <c r="K1" s="12"/>
      <c r="L1" s="12"/>
      <c r="M1" s="10"/>
      <c r="N1" s="10"/>
      <c r="O1" s="10"/>
      <c r="P1" s="10"/>
      <c r="Q1" s="10"/>
      <c r="R1" s="13"/>
      <c r="S1" s="10"/>
      <c r="T1" s="13"/>
      <c r="U1" s="13"/>
      <c r="V1" s="10"/>
      <c r="W1" s="13"/>
      <c r="X1" s="10"/>
      <c r="Y1" s="13"/>
    </row>
    <row r="2" spans="2:25" s="14" customFormat="1" ht="15.75">
      <c r="E2" s="123" t="s">
        <v>18</v>
      </c>
      <c r="F2" s="143"/>
      <c r="G2" s="15"/>
      <c r="H2" s="16"/>
      <c r="I2" s="16"/>
      <c r="J2" s="16"/>
      <c r="K2" s="16"/>
      <c r="L2" s="16"/>
      <c r="M2" s="16"/>
      <c r="N2" s="16"/>
      <c r="O2" s="16"/>
      <c r="P2" s="16"/>
      <c r="Q2" s="16"/>
      <c r="R2" s="16"/>
      <c r="S2" s="16"/>
      <c r="U2" s="16"/>
      <c r="V2" s="16"/>
    </row>
    <row r="3" spans="2:25" s="14" customFormat="1" ht="15.75">
      <c r="E3" s="121" t="s">
        <v>43</v>
      </c>
      <c r="F3" s="144"/>
      <c r="G3" s="17"/>
      <c r="H3" s="16"/>
      <c r="I3" s="16"/>
      <c r="J3" s="16"/>
      <c r="K3" s="16"/>
      <c r="L3" s="16"/>
      <c r="M3" s="16"/>
      <c r="N3" s="16"/>
      <c r="O3" s="16"/>
      <c r="P3" s="16"/>
      <c r="Q3" s="16"/>
      <c r="R3" s="16"/>
      <c r="S3" s="16"/>
      <c r="U3" s="16"/>
      <c r="V3" s="16"/>
    </row>
    <row r="4" spans="2:25" s="14" customFormat="1">
      <c r="E4" s="125" t="s">
        <v>29</v>
      </c>
      <c r="F4" s="145"/>
      <c r="G4" s="17"/>
      <c r="H4" s="16"/>
      <c r="I4" s="16"/>
      <c r="J4" s="16"/>
      <c r="K4" s="16"/>
      <c r="L4" s="16"/>
      <c r="M4" s="16"/>
      <c r="N4" s="16"/>
      <c r="O4" s="16"/>
      <c r="P4" s="16"/>
      <c r="Q4" s="16"/>
      <c r="R4" s="16"/>
      <c r="S4" s="16"/>
      <c r="U4" s="16"/>
      <c r="V4" s="16"/>
    </row>
    <row r="5" spans="2:25" s="14" customFormat="1">
      <c r="E5" s="124" t="s">
        <v>28</v>
      </c>
      <c r="F5" s="146"/>
      <c r="G5" s="18"/>
      <c r="H5" s="16"/>
      <c r="I5" s="16"/>
      <c r="J5" s="19"/>
      <c r="K5" s="16"/>
      <c r="L5" s="16"/>
      <c r="M5" s="16"/>
      <c r="N5" s="16"/>
      <c r="O5" s="16"/>
      <c r="P5" s="16"/>
      <c r="Q5" s="16"/>
      <c r="R5" s="16"/>
      <c r="S5" s="16"/>
      <c r="U5" s="16"/>
      <c r="V5" s="16"/>
    </row>
    <row r="6" spans="2:25" s="1" customFormat="1" ht="16.5" thickBot="1">
      <c r="E6" s="20"/>
      <c r="F6" s="147"/>
      <c r="G6" s="21"/>
      <c r="J6" s="22"/>
      <c r="K6" s="22"/>
      <c r="L6" s="22"/>
      <c r="M6" s="23"/>
      <c r="N6" s="24"/>
      <c r="O6" s="24"/>
      <c r="P6" s="24"/>
      <c r="Q6" s="24"/>
      <c r="R6" s="24"/>
      <c r="S6" s="24"/>
      <c r="T6" s="25"/>
      <c r="U6" s="24"/>
      <c r="V6" s="24"/>
      <c r="W6" s="25"/>
      <c r="Y6" s="26"/>
    </row>
    <row r="7" spans="2:25" ht="12.75" customHeight="1">
      <c r="B7" s="2187" t="s">
        <v>19</v>
      </c>
      <c r="C7" s="2189" t="s">
        <v>163</v>
      </c>
      <c r="E7" s="27"/>
      <c r="F7" s="28" t="s">
        <v>19</v>
      </c>
      <c r="G7" s="137">
        <v>43896</v>
      </c>
      <c r="H7" s="28" t="s">
        <v>164</v>
      </c>
      <c r="I7" s="29" t="s">
        <v>25</v>
      </c>
      <c r="J7" s="28" t="s">
        <v>165</v>
      </c>
      <c r="K7" s="30" t="s">
        <v>166</v>
      </c>
      <c r="L7" s="2184" t="s">
        <v>167</v>
      </c>
      <c r="M7" s="2185"/>
      <c r="N7" s="2186"/>
      <c r="O7" s="2184" t="s">
        <v>168</v>
      </c>
      <c r="P7" s="2185"/>
      <c r="Q7" s="2186"/>
      <c r="R7" s="2184" t="s">
        <v>48</v>
      </c>
      <c r="S7" s="2185"/>
      <c r="T7" s="2186"/>
      <c r="U7" s="2184" t="s">
        <v>22</v>
      </c>
      <c r="V7" s="2185"/>
      <c r="W7" s="2186"/>
      <c r="X7" s="28" t="s">
        <v>51</v>
      </c>
      <c r="Y7" s="29" t="s">
        <v>169</v>
      </c>
    </row>
    <row r="8" spans="2:25" ht="13.5" thickBot="1">
      <c r="B8" s="2188"/>
      <c r="C8" s="2190"/>
      <c r="E8" s="31" t="s">
        <v>170</v>
      </c>
      <c r="F8" s="32"/>
      <c r="G8" s="138" t="s">
        <v>25</v>
      </c>
      <c r="H8" s="32" t="s">
        <v>0</v>
      </c>
      <c r="I8" s="33" t="s">
        <v>171</v>
      </c>
      <c r="J8" s="32" t="s">
        <v>172</v>
      </c>
      <c r="K8" s="33" t="s">
        <v>172</v>
      </c>
      <c r="L8" s="34">
        <v>2019</v>
      </c>
      <c r="M8" s="34">
        <v>2020</v>
      </c>
      <c r="N8" s="35" t="s">
        <v>445</v>
      </c>
      <c r="O8" s="34">
        <v>2019</v>
      </c>
      <c r="P8" s="34">
        <v>2020</v>
      </c>
      <c r="Q8" s="35" t="s">
        <v>445</v>
      </c>
      <c r="R8" s="34">
        <v>2019</v>
      </c>
      <c r="S8" s="34" t="s">
        <v>446</v>
      </c>
      <c r="T8" s="35" t="s">
        <v>445</v>
      </c>
      <c r="U8" s="34">
        <v>2019</v>
      </c>
      <c r="V8" s="34" t="s">
        <v>446</v>
      </c>
      <c r="W8" s="34" t="s">
        <v>445</v>
      </c>
      <c r="X8" s="32">
        <v>2019</v>
      </c>
      <c r="Y8" s="33">
        <v>2019</v>
      </c>
    </row>
    <row r="9" spans="2:25" s="9" customFormat="1" ht="12.75" customHeight="1">
      <c r="B9" s="36" t="s">
        <v>50</v>
      </c>
      <c r="C9" s="37">
        <v>22</v>
      </c>
      <c r="E9" s="126" t="s">
        <v>230</v>
      </c>
      <c r="F9" s="141" t="str">
        <f>LEFT(B9,4)</f>
        <v>INTU</v>
      </c>
      <c r="G9" s="159">
        <v>297.64</v>
      </c>
      <c r="H9" s="127" t="s">
        <v>182</v>
      </c>
      <c r="I9" s="128">
        <v>329.59905105611466</v>
      </c>
      <c r="J9" s="129">
        <v>77615.983999999997</v>
      </c>
      <c r="K9" s="130">
        <v>77885.2</v>
      </c>
      <c r="L9" s="131">
        <v>0.13021404788330426</v>
      </c>
      <c r="M9" s="132">
        <v>5.2138390013832359E-2</v>
      </c>
      <c r="N9" s="132">
        <v>0.1086182831914384</v>
      </c>
      <c r="O9" s="133">
        <v>10.926256898597973</v>
      </c>
      <c r="P9" s="134">
        <v>10.384809643201336</v>
      </c>
      <c r="Q9" s="135">
        <v>9.3673447395311147</v>
      </c>
      <c r="R9" s="133">
        <v>35.890556777991549</v>
      </c>
      <c r="S9" s="134">
        <v>35.599780601517502</v>
      </c>
      <c r="T9" s="135">
        <v>28.688406690464763</v>
      </c>
      <c r="U9" s="133">
        <v>41.801783480655168</v>
      </c>
      <c r="V9" s="134">
        <v>41.307388071373424</v>
      </c>
      <c r="W9" s="135">
        <v>35.039767345720037</v>
      </c>
      <c r="X9" s="132">
        <v>0.30443263854012054</v>
      </c>
      <c r="Y9" s="136">
        <f>IFERROR(X9+M9,"NM")</f>
        <v>0.3565710285539529</v>
      </c>
    </row>
    <row r="10" spans="2:25" s="1" customFormat="1" ht="6.75" customHeight="1" thickBot="1">
      <c r="B10" s="38"/>
      <c r="C10" s="39"/>
      <c r="E10" s="40"/>
      <c r="F10" s="148"/>
      <c r="G10" s="139"/>
      <c r="H10" s="41"/>
      <c r="J10" s="22"/>
      <c r="K10" s="42"/>
      <c r="L10" s="22"/>
      <c r="M10" s="23"/>
      <c r="N10" s="43"/>
      <c r="O10" s="24"/>
      <c r="P10" s="24"/>
      <c r="Q10" s="43"/>
      <c r="R10" s="24"/>
      <c r="S10" s="24"/>
      <c r="T10" s="44"/>
      <c r="U10" s="24"/>
      <c r="V10" s="24"/>
      <c r="W10" s="44"/>
      <c r="X10" s="10"/>
      <c r="Y10" s="45"/>
    </row>
    <row r="11" spans="2:25" ht="12.75" customHeight="1">
      <c r="B11" s="2187" t="s">
        <v>19</v>
      </c>
      <c r="C11" s="2189" t="s">
        <v>163</v>
      </c>
      <c r="E11" s="27"/>
      <c r="F11" s="28" t="s">
        <v>19</v>
      </c>
      <c r="G11" s="137">
        <f>G7</f>
        <v>43896</v>
      </c>
      <c r="H11" s="28" t="s">
        <v>164</v>
      </c>
      <c r="I11" s="29" t="s">
        <v>25</v>
      </c>
      <c r="J11" s="28" t="s">
        <v>165</v>
      </c>
      <c r="K11" s="30" t="s">
        <v>166</v>
      </c>
      <c r="L11" s="2184" t="s">
        <v>167</v>
      </c>
      <c r="M11" s="2185"/>
      <c r="N11" s="2186"/>
      <c r="O11" s="2184" t="s">
        <v>168</v>
      </c>
      <c r="P11" s="2185"/>
      <c r="Q11" s="2186"/>
      <c r="R11" s="2184" t="s">
        <v>48</v>
      </c>
      <c r="S11" s="2185"/>
      <c r="T11" s="2186"/>
      <c r="U11" s="2184" t="s">
        <v>48</v>
      </c>
      <c r="V11" s="2185"/>
      <c r="W11" s="2186"/>
      <c r="X11" s="28" t="s">
        <v>51</v>
      </c>
      <c r="Y11" s="29" t="s">
        <v>169</v>
      </c>
    </row>
    <row r="12" spans="2:25" ht="13.5" thickBot="1">
      <c r="B12" s="2188"/>
      <c r="C12" s="2190"/>
      <c r="E12" s="31" t="s">
        <v>170</v>
      </c>
      <c r="F12" s="32"/>
      <c r="G12" s="138" t="s">
        <v>25</v>
      </c>
      <c r="H12" s="32" t="s">
        <v>0</v>
      </c>
      <c r="I12" s="33" t="s">
        <v>171</v>
      </c>
      <c r="J12" s="32" t="s">
        <v>172</v>
      </c>
      <c r="K12" s="33" t="s">
        <v>172</v>
      </c>
      <c r="L12" s="34">
        <f>+L8</f>
        <v>2019</v>
      </c>
      <c r="M12" s="34">
        <f>+M8</f>
        <v>2020</v>
      </c>
      <c r="N12" s="35" t="str">
        <f t="shared" ref="N12:T12" si="0">+N8</f>
        <v>2021E</v>
      </c>
      <c r="O12" s="34">
        <f t="shared" si="0"/>
        <v>2019</v>
      </c>
      <c r="P12" s="34">
        <f t="shared" si="0"/>
        <v>2020</v>
      </c>
      <c r="Q12" s="35" t="str">
        <f t="shared" si="0"/>
        <v>2021E</v>
      </c>
      <c r="R12" s="34">
        <f t="shared" si="0"/>
        <v>2019</v>
      </c>
      <c r="S12" s="34" t="str">
        <f t="shared" si="0"/>
        <v>2020E</v>
      </c>
      <c r="T12" s="34" t="str">
        <f t="shared" si="0"/>
        <v>2021E</v>
      </c>
      <c r="U12" s="34">
        <f t="shared" ref="U12:W12" si="1">+U8</f>
        <v>2019</v>
      </c>
      <c r="V12" s="34" t="str">
        <f t="shared" si="1"/>
        <v>2020E</v>
      </c>
      <c r="W12" s="34" t="str">
        <f t="shared" si="1"/>
        <v>2021E</v>
      </c>
      <c r="X12" s="32">
        <v>2019</v>
      </c>
      <c r="Y12" s="33">
        <v>2019</v>
      </c>
    </row>
    <row r="13" spans="2:25" ht="12.75" customHeight="1">
      <c r="B13" s="2"/>
      <c r="C13" s="46"/>
      <c r="E13" s="47" t="s">
        <v>195</v>
      </c>
      <c r="F13" s="149"/>
      <c r="G13" s="140"/>
      <c r="H13" s="48"/>
      <c r="I13" s="49"/>
      <c r="J13" s="50"/>
      <c r="K13" s="50"/>
      <c r="L13" s="51"/>
      <c r="M13" s="52"/>
      <c r="N13" s="52"/>
      <c r="O13" s="51"/>
      <c r="P13" s="52"/>
      <c r="Q13" s="53"/>
      <c r="R13" s="51"/>
      <c r="S13" s="52"/>
      <c r="T13" s="53"/>
      <c r="U13" s="51"/>
      <c r="V13" s="52"/>
      <c r="W13" s="53"/>
      <c r="X13" s="52"/>
      <c r="Y13" s="54"/>
    </row>
    <row r="14" spans="2:25" ht="12.75" customHeight="1">
      <c r="B14" s="36" t="s">
        <v>173</v>
      </c>
      <c r="C14" s="37">
        <v>41</v>
      </c>
      <c r="E14" s="55" t="s">
        <v>447</v>
      </c>
      <c r="F14" s="160" t="str">
        <f t="shared" ref="F14:F18" si="2">LEFT(B14,4)</f>
        <v>PAYC</v>
      </c>
      <c r="G14" s="161">
        <v>290.25</v>
      </c>
      <c r="H14" s="57" t="s">
        <v>444</v>
      </c>
      <c r="I14" s="58" t="s">
        <v>366</v>
      </c>
      <c r="J14" s="59">
        <v>16669.951000000001</v>
      </c>
      <c r="K14" s="60">
        <v>16828.914000000001</v>
      </c>
      <c r="L14" s="61">
        <v>0.30253241891739191</v>
      </c>
      <c r="M14" s="62">
        <v>0.12296620037930173</v>
      </c>
      <c r="N14" s="62">
        <v>0.18596962069080414</v>
      </c>
      <c r="O14" s="63">
        <v>22.813576784230367</v>
      </c>
      <c r="P14" s="64">
        <v>20.315461655501899</v>
      </c>
      <c r="Q14" s="65">
        <v>17.129833092746964</v>
      </c>
      <c r="R14" s="63">
        <v>128.15074912106746</v>
      </c>
      <c r="S14" s="64">
        <v>106.69641509878963</v>
      </c>
      <c r="T14" s="65">
        <v>81.223371445946526</v>
      </c>
      <c r="U14" s="63">
        <v>81.486963025242943</v>
      </c>
      <c r="V14" s="64">
        <v>80.638643688361128</v>
      </c>
      <c r="W14" s="65">
        <v>64.469174333330216</v>
      </c>
      <c r="X14" s="62">
        <v>0.17802140791762183</v>
      </c>
      <c r="Y14" s="66">
        <f t="shared" ref="Y14:Y19" si="3">IFERROR(X14+M14,"NM")</f>
        <v>0.30098760829692356</v>
      </c>
    </row>
    <row r="15" spans="2:25" ht="12.75" customHeight="1">
      <c r="B15" s="36" t="s">
        <v>178</v>
      </c>
      <c r="C15" s="37">
        <v>1</v>
      </c>
      <c r="E15" s="67" t="s">
        <v>448</v>
      </c>
      <c r="F15" s="150" t="str">
        <f t="shared" si="2"/>
        <v>MSFT</v>
      </c>
      <c r="G15" s="162">
        <v>207.07</v>
      </c>
      <c r="H15" s="68" t="s">
        <v>182</v>
      </c>
      <c r="I15" s="69">
        <v>250</v>
      </c>
      <c r="J15" s="70">
        <v>1570303.1</v>
      </c>
      <c r="K15" s="71">
        <v>1586316.25</v>
      </c>
      <c r="L15" s="72">
        <v>0.13329506411501035</v>
      </c>
      <c r="M15" s="73">
        <v>0.10102883447921385</v>
      </c>
      <c r="N15" s="74">
        <v>0.1086861542112747</v>
      </c>
      <c r="O15" s="75">
        <v>11.81622395697547</v>
      </c>
      <c r="P15" s="76">
        <v>10.731984110629163</v>
      </c>
      <c r="Q15" s="77">
        <v>9.6799117314349026</v>
      </c>
      <c r="R15" s="75">
        <v>39.277630055212946</v>
      </c>
      <c r="S15" s="76">
        <v>36.041325069382758</v>
      </c>
      <c r="T15" s="77">
        <v>31.461212686725531</v>
      </c>
      <c r="U15" s="75">
        <v>37.608408364191227</v>
      </c>
      <c r="V15" s="76">
        <v>35.770074714336161</v>
      </c>
      <c r="W15" s="77">
        <v>31.875732935414877</v>
      </c>
      <c r="X15" s="73">
        <v>0.30083851648801851</v>
      </c>
      <c r="Y15" s="78">
        <f t="shared" si="3"/>
        <v>0.40186735096723236</v>
      </c>
    </row>
    <row r="16" spans="2:25" ht="12.75" customHeight="1">
      <c r="B16" s="36" t="s">
        <v>179</v>
      </c>
      <c r="C16" s="37">
        <v>32</v>
      </c>
      <c r="E16" s="55" t="s">
        <v>449</v>
      </c>
      <c r="F16" s="160" t="str">
        <f t="shared" si="2"/>
        <v>ADBE</v>
      </c>
      <c r="G16" s="161">
        <v>442.47</v>
      </c>
      <c r="H16" s="57" t="s">
        <v>183</v>
      </c>
      <c r="I16" s="58">
        <v>290</v>
      </c>
      <c r="J16" s="59">
        <v>212237.48</v>
      </c>
      <c r="K16" s="60">
        <v>226453</v>
      </c>
      <c r="L16" s="61">
        <v>0.23713204555043821</v>
      </c>
      <c r="M16" s="62">
        <v>0.14044286738595102</v>
      </c>
      <c r="N16" s="62">
        <v>0.14527734140812965</v>
      </c>
      <c r="O16" s="63">
        <v>20.270980343362314</v>
      </c>
      <c r="P16" s="64">
        <v>17.774656603207259</v>
      </c>
      <c r="Q16" s="65">
        <v>15.519958319749122</v>
      </c>
      <c r="R16" s="63">
        <v>55.217255625855465</v>
      </c>
      <c r="S16" s="64">
        <v>46.160917946972219</v>
      </c>
      <c r="T16" s="65">
        <v>38.750029089943361</v>
      </c>
      <c r="U16" s="63">
        <v>54.865189118343899</v>
      </c>
      <c r="V16" s="64">
        <v>47.804848185466426</v>
      </c>
      <c r="W16" s="65">
        <v>42.149108896443181</v>
      </c>
      <c r="X16" s="62">
        <v>0.36711314449808391</v>
      </c>
      <c r="Y16" s="66">
        <f t="shared" si="3"/>
        <v>0.50755601188403499</v>
      </c>
    </row>
    <row r="17" spans="2:25" ht="12.75" customHeight="1">
      <c r="B17" s="36" t="s">
        <v>180</v>
      </c>
      <c r="C17" s="37">
        <v>8</v>
      </c>
      <c r="E17" s="67" t="s">
        <v>450</v>
      </c>
      <c r="F17" s="150" t="str">
        <f t="shared" si="2"/>
        <v>ADSK</v>
      </c>
      <c r="G17" s="162">
        <v>231.86</v>
      </c>
      <c r="H17" s="68" t="s">
        <v>182</v>
      </c>
      <c r="I17" s="69">
        <v>240</v>
      </c>
      <c r="J17" s="70">
        <v>50819.902000000002</v>
      </c>
      <c r="K17" s="71">
        <v>54667.012000000002</v>
      </c>
      <c r="L17" s="72">
        <v>0.27414584792590868</v>
      </c>
      <c r="M17" s="73">
        <v>0.13722914821488552</v>
      </c>
      <c r="N17" s="74">
        <v>0.18506395937254116</v>
      </c>
      <c r="O17" s="75">
        <v>16.695785969520202</v>
      </c>
      <c r="P17" s="76">
        <v>14.681109779614482</v>
      </c>
      <c r="Q17" s="77">
        <v>12.388453520591181</v>
      </c>
      <c r="R17" s="75">
        <v>40.122577614678903</v>
      </c>
      <c r="S17" s="76">
        <v>40.354816994890747</v>
      </c>
      <c r="T17" s="77">
        <v>29.850573523272793</v>
      </c>
      <c r="U17" s="75">
        <v>81.809243399871221</v>
      </c>
      <c r="V17" s="76">
        <v>66.051344285382541</v>
      </c>
      <c r="W17" s="77">
        <v>46.252075830814583</v>
      </c>
      <c r="X17" s="73">
        <v>0.41611947591851689</v>
      </c>
      <c r="Y17" s="78">
        <f t="shared" si="3"/>
        <v>0.55334862413340247</v>
      </c>
    </row>
    <row r="18" spans="2:25" ht="12.75" customHeight="1">
      <c r="B18" s="36" t="s">
        <v>49</v>
      </c>
      <c r="C18" s="37">
        <v>90</v>
      </c>
      <c r="E18" s="55" t="s">
        <v>451</v>
      </c>
      <c r="F18" s="160" t="str">
        <f t="shared" si="2"/>
        <v>ADP</v>
      </c>
      <c r="G18" s="161">
        <v>145.47999999999999</v>
      </c>
      <c r="H18" s="57" t="s">
        <v>444</v>
      </c>
      <c r="I18" s="58" t="s">
        <v>366</v>
      </c>
      <c r="J18" s="59">
        <v>62523.574000000001</v>
      </c>
      <c r="K18" s="60">
        <v>64303.805999999997</v>
      </c>
      <c r="L18" s="61">
        <v>4.8451306653565007E-2</v>
      </c>
      <c r="M18" s="62">
        <v>-1.4187012879617877E-2</v>
      </c>
      <c r="N18" s="62">
        <v>3.7124160143967577E-2</v>
      </c>
      <c r="O18" s="63">
        <v>4.4312918897686631</v>
      </c>
      <c r="P18" s="64">
        <v>4.4950634122935709</v>
      </c>
      <c r="Q18" s="65">
        <v>4.3341613135977779</v>
      </c>
      <c r="R18" s="63">
        <v>23.771323056448928</v>
      </c>
      <c r="S18" s="64">
        <v>23.710842920353983</v>
      </c>
      <c r="T18" s="65">
        <v>22.022605568683858</v>
      </c>
      <c r="U18" s="63">
        <v>24.918725439400582</v>
      </c>
      <c r="V18" s="64">
        <v>27.428859167756144</v>
      </c>
      <c r="W18" s="65">
        <v>24.984544302279708</v>
      </c>
      <c r="X18" s="62">
        <v>0.18641334684004879</v>
      </c>
      <c r="Y18" s="66">
        <f t="shared" si="3"/>
        <v>0.17222633396043091</v>
      </c>
    </row>
    <row r="19" spans="2:25" ht="12.75" customHeight="1" thickBot="1">
      <c r="B19" s="36" t="s">
        <v>174</v>
      </c>
      <c r="C19" s="37">
        <v>3</v>
      </c>
      <c r="E19" s="67" t="s">
        <v>452</v>
      </c>
      <c r="F19" s="150" t="str">
        <f>LEFT(B19,3)</f>
        <v>SAP</v>
      </c>
      <c r="G19" s="162">
        <v>137.52000000000001</v>
      </c>
      <c r="H19" s="68" t="s">
        <v>182</v>
      </c>
      <c r="I19" s="69">
        <v>130</v>
      </c>
      <c r="J19" s="70">
        <v>168943.89</v>
      </c>
      <c r="K19" s="71">
        <v>170738.64</v>
      </c>
      <c r="L19" s="72">
        <v>0.11693140940139846</v>
      </c>
      <c r="M19" s="73">
        <v>1.8212962292827539E-2</v>
      </c>
      <c r="N19" s="74">
        <v>7.0177636465933446E-2</v>
      </c>
      <c r="O19" s="75">
        <v>6.1785713251791279</v>
      </c>
      <c r="P19" s="76">
        <v>6.0680540849392894</v>
      </c>
      <c r="Q19" s="77">
        <v>5.6701372540150734</v>
      </c>
      <c r="R19" s="75">
        <v>68.589149249956378</v>
      </c>
      <c r="S19" s="76">
        <v>47.525971505233613</v>
      </c>
      <c r="T19" s="77">
        <v>32.78916470214655</v>
      </c>
      <c r="U19" s="75">
        <v>27.499865181491106</v>
      </c>
      <c r="V19" s="76">
        <v>28.541546133646179</v>
      </c>
      <c r="W19" s="77">
        <v>25.114585658180591</v>
      </c>
      <c r="X19" s="73">
        <v>9.0080885865238478E-2</v>
      </c>
      <c r="Y19" s="78">
        <f t="shared" si="3"/>
        <v>0.10829384815806602</v>
      </c>
    </row>
    <row r="20" spans="2:25" ht="13.5" hidden="1" customHeight="1" thickBot="1">
      <c r="B20" s="36"/>
      <c r="C20" s="37"/>
      <c r="E20" s="55"/>
      <c r="F20" s="151"/>
      <c r="G20" s="56"/>
      <c r="H20" s="57"/>
      <c r="I20" s="58"/>
      <c r="J20" s="59"/>
      <c r="K20" s="60"/>
      <c r="L20" s="61"/>
      <c r="M20" s="62"/>
      <c r="N20" s="62"/>
      <c r="O20" s="63"/>
      <c r="P20" s="64"/>
      <c r="Q20" s="65"/>
      <c r="R20" s="63"/>
      <c r="S20" s="64"/>
      <c r="T20" s="65"/>
      <c r="U20" s="63"/>
      <c r="V20" s="64"/>
      <c r="W20" s="65"/>
      <c r="X20" s="62"/>
      <c r="Y20" s="66"/>
    </row>
    <row r="21" spans="2:25" ht="12.75" customHeight="1">
      <c r="B21" s="2"/>
      <c r="C21" s="3"/>
      <c r="E21" s="79" t="s">
        <v>154</v>
      </c>
      <c r="F21" s="152"/>
      <c r="G21" s="80"/>
      <c r="H21" s="80"/>
      <c r="I21" s="80"/>
      <c r="J21" s="80"/>
      <c r="K21" s="81"/>
      <c r="L21" s="82">
        <f t="shared" ref="L21:Y21" si="4">IFERROR(AVERAGE(L14:L20), "NM")</f>
        <v>0.18541468209395209</v>
      </c>
      <c r="M21" s="83">
        <f t="shared" si="4"/>
        <v>8.4282166645426967E-2</v>
      </c>
      <c r="N21" s="84">
        <f t="shared" si="4"/>
        <v>0.12204981204877512</v>
      </c>
      <c r="O21" s="85">
        <f t="shared" si="4"/>
        <v>13.701071711506023</v>
      </c>
      <c r="P21" s="86">
        <f t="shared" si="4"/>
        <v>12.344388274364277</v>
      </c>
      <c r="Q21" s="87">
        <f t="shared" si="4"/>
        <v>10.787075872022504</v>
      </c>
      <c r="R21" s="85">
        <f t="shared" si="4"/>
        <v>59.188114120536682</v>
      </c>
      <c r="S21" s="86">
        <f t="shared" si="4"/>
        <v>50.081714922603823</v>
      </c>
      <c r="T21" s="87">
        <f t="shared" si="4"/>
        <v>39.349492836119765</v>
      </c>
      <c r="U21" s="85">
        <f t="shared" ref="U21:W21" si="5">IFERROR(AVERAGE(U14:U20), "NM")</f>
        <v>51.364732421423497</v>
      </c>
      <c r="V21" s="86">
        <f t="shared" si="5"/>
        <v>47.705886029158101</v>
      </c>
      <c r="W21" s="87">
        <f t="shared" si="5"/>
        <v>39.140870326077199</v>
      </c>
      <c r="X21" s="83">
        <f t="shared" si="4"/>
        <v>0.25643112958792141</v>
      </c>
      <c r="Y21" s="163">
        <f t="shared" si="4"/>
        <v>0.34071329623334839</v>
      </c>
    </row>
    <row r="22" spans="2:25" ht="13.5" thickBot="1">
      <c r="B22" s="4"/>
      <c r="C22" s="5"/>
      <c r="E22" s="88" t="s">
        <v>175</v>
      </c>
      <c r="F22" s="153"/>
      <c r="G22" s="89"/>
      <c r="H22" s="89"/>
      <c r="I22" s="89"/>
      <c r="J22" s="89"/>
      <c r="K22" s="90"/>
      <c r="L22" s="91">
        <f t="shared" ref="L22:Y22" si="6">IFERROR(MEDIAN(L14:L20), "NM")</f>
        <v>0.18521355483272428</v>
      </c>
      <c r="M22" s="92">
        <f t="shared" si="6"/>
        <v>0.11199751742925779</v>
      </c>
      <c r="N22" s="93">
        <f t="shared" si="6"/>
        <v>0.12698174780970217</v>
      </c>
      <c r="O22" s="94">
        <f t="shared" si="6"/>
        <v>14.256004963247836</v>
      </c>
      <c r="P22" s="95">
        <f t="shared" si="6"/>
        <v>12.706546945121822</v>
      </c>
      <c r="Q22" s="96">
        <f t="shared" si="6"/>
        <v>11.034182626013042</v>
      </c>
      <c r="R22" s="94">
        <f t="shared" si="6"/>
        <v>47.669916620267188</v>
      </c>
      <c r="S22" s="95">
        <f t="shared" si="6"/>
        <v>43.257867470931487</v>
      </c>
      <c r="T22" s="96">
        <f t="shared" si="6"/>
        <v>32.125188694436041</v>
      </c>
      <c r="U22" s="94">
        <f t="shared" ref="U22:W22" si="7">IFERROR(MEDIAN(U14:U20), "NM")</f>
        <v>46.236798741267563</v>
      </c>
      <c r="V22" s="95">
        <f t="shared" si="7"/>
        <v>41.787461449901294</v>
      </c>
      <c r="W22" s="96">
        <f t="shared" si="7"/>
        <v>37.012420915929027</v>
      </c>
      <c r="X22" s="92">
        <f t="shared" si="6"/>
        <v>0.24362593166403365</v>
      </c>
      <c r="Y22" s="164">
        <f t="shared" si="6"/>
        <v>0.35142747963207799</v>
      </c>
    </row>
    <row r="23" spans="2:25" s="97" customFormat="1" ht="11.25">
      <c r="E23" s="98" t="s">
        <v>196</v>
      </c>
      <c r="F23" s="154"/>
      <c r="G23" s="99"/>
      <c r="M23" s="100"/>
      <c r="N23" s="101"/>
      <c r="O23" s="101"/>
      <c r="P23" s="101"/>
      <c r="Q23" s="101"/>
      <c r="R23" s="101"/>
      <c r="S23" s="101"/>
      <c r="U23" s="101"/>
      <c r="V23" s="101"/>
    </row>
    <row r="24" spans="2:25" s="97" customFormat="1" ht="11.25">
      <c r="E24" s="102" t="s">
        <v>176</v>
      </c>
      <c r="F24" s="155"/>
      <c r="G24" s="103"/>
      <c r="M24" s="104"/>
      <c r="N24" s="101"/>
      <c r="O24" s="101"/>
      <c r="P24" s="101"/>
      <c r="Q24" s="101"/>
      <c r="R24" s="101"/>
      <c r="S24" s="101"/>
      <c r="U24" s="101"/>
      <c r="V24" s="101"/>
    </row>
    <row r="25" spans="2:25" s="97" customFormat="1" ht="11.25">
      <c r="E25" s="105"/>
      <c r="F25" s="156"/>
      <c r="G25" s="106"/>
      <c r="M25" s="104"/>
      <c r="N25" s="101"/>
      <c r="O25" s="101"/>
      <c r="P25" s="101"/>
      <c r="Q25" s="101"/>
      <c r="R25" s="101"/>
      <c r="S25" s="101"/>
      <c r="U25" s="101"/>
      <c r="V25" s="101"/>
    </row>
    <row r="26" spans="2:25" s="1" customFormat="1" ht="12.75" customHeight="1">
      <c r="E26" s="107"/>
      <c r="F26" s="157"/>
      <c r="G26" s="108"/>
      <c r="J26" s="22"/>
      <c r="K26" s="22"/>
      <c r="L26" s="22"/>
      <c r="M26" s="23"/>
      <c r="N26" s="109"/>
      <c r="O26" s="109"/>
      <c r="P26" s="109"/>
      <c r="Q26" s="109"/>
      <c r="R26" s="109"/>
      <c r="S26" s="109"/>
      <c r="U26" s="109"/>
      <c r="V26" s="109"/>
    </row>
    <row r="27" spans="2:25" s="1" customFormat="1" ht="12.75" customHeight="1">
      <c r="E27" s="107"/>
      <c r="F27" s="157"/>
      <c r="G27" s="108"/>
      <c r="J27" s="22"/>
      <c r="K27" s="22"/>
      <c r="L27" s="22"/>
      <c r="M27" s="23"/>
      <c r="N27" s="109"/>
      <c r="O27" s="109"/>
      <c r="P27" s="109"/>
      <c r="Q27" s="109"/>
      <c r="R27" s="109"/>
      <c r="S27" s="109"/>
      <c r="U27" s="109"/>
      <c r="V27" s="109"/>
    </row>
    <row r="28" spans="2:25" s="1" customFormat="1" ht="12.75" customHeight="1">
      <c r="E28" s="107"/>
      <c r="F28" s="157"/>
      <c r="G28" s="108"/>
      <c r="J28" s="22"/>
      <c r="K28" s="22"/>
      <c r="L28" s="22"/>
      <c r="M28" s="23"/>
      <c r="N28" s="109"/>
      <c r="O28" s="109"/>
      <c r="P28" s="109"/>
      <c r="Q28" s="109"/>
      <c r="R28" s="109"/>
      <c r="S28" s="109"/>
      <c r="U28" s="109"/>
      <c r="V28" s="109"/>
    </row>
    <row r="29" spans="2:25" s="1" customFormat="1" ht="12.75" customHeight="1">
      <c r="E29" s="107"/>
      <c r="F29" s="157"/>
      <c r="G29" s="108"/>
      <c r="J29" s="22"/>
      <c r="K29" s="22"/>
      <c r="L29" s="22"/>
      <c r="M29" s="23"/>
      <c r="N29" s="109"/>
      <c r="O29" s="109"/>
      <c r="P29" s="109"/>
      <c r="Q29" s="109"/>
      <c r="R29" s="109"/>
      <c r="S29" s="109"/>
      <c r="U29" s="109"/>
      <c r="V29" s="109"/>
    </row>
    <row r="30" spans="2:25" s="1" customFormat="1" ht="12.75" customHeight="1">
      <c r="E30" s="107"/>
      <c r="F30" s="157"/>
      <c r="G30" s="108"/>
      <c r="J30" s="22"/>
      <c r="K30" s="22"/>
      <c r="L30" s="22"/>
      <c r="M30" s="23"/>
      <c r="N30" s="109"/>
      <c r="O30" s="109"/>
      <c r="P30" s="109"/>
      <c r="Q30" s="109"/>
      <c r="R30" s="109"/>
      <c r="S30" s="109"/>
      <c r="U30" s="109"/>
      <c r="V30" s="109"/>
    </row>
    <row r="31" spans="2:25" s="1" customFormat="1" ht="12.75" customHeight="1">
      <c r="E31" s="107"/>
      <c r="F31" s="157"/>
      <c r="G31" s="108"/>
      <c r="J31" s="22"/>
      <c r="K31" s="22"/>
      <c r="L31" s="22"/>
      <c r="M31" s="23"/>
      <c r="N31" s="109"/>
      <c r="O31" s="109"/>
      <c r="P31" s="109"/>
      <c r="Q31" s="109"/>
      <c r="R31" s="109"/>
      <c r="S31" s="109"/>
      <c r="U31" s="109"/>
      <c r="V31" s="109"/>
    </row>
    <row r="32" spans="2:25" s="1" customFormat="1" ht="12.75" customHeight="1">
      <c r="E32" s="107"/>
      <c r="F32" s="157"/>
      <c r="G32" s="108"/>
      <c r="J32" s="22"/>
      <c r="K32" s="22"/>
      <c r="L32" s="22"/>
      <c r="M32" s="23"/>
      <c r="N32" s="109"/>
      <c r="O32" s="109"/>
      <c r="P32" s="109"/>
      <c r="Q32" s="109"/>
      <c r="R32" s="109"/>
      <c r="S32" s="109"/>
      <c r="U32" s="109"/>
      <c r="V32" s="109"/>
    </row>
    <row r="33" spans="5:22" s="1" customFormat="1" ht="12.75" customHeight="1">
      <c r="E33" s="107"/>
      <c r="F33" s="157"/>
      <c r="G33" s="108"/>
      <c r="J33" s="22"/>
      <c r="K33" s="22"/>
      <c r="L33" s="22"/>
      <c r="M33" s="23"/>
      <c r="N33" s="109"/>
      <c r="O33" s="109"/>
      <c r="P33" s="109"/>
      <c r="Q33" s="109"/>
      <c r="R33" s="109"/>
      <c r="S33" s="109"/>
      <c r="U33" s="109"/>
      <c r="V33" s="109"/>
    </row>
    <row r="34" spans="5:22" s="1" customFormat="1" ht="12.75" customHeight="1">
      <c r="E34" s="107"/>
      <c r="F34" s="157"/>
      <c r="G34" s="108"/>
      <c r="J34" s="22"/>
      <c r="K34" s="22"/>
      <c r="L34" s="22"/>
      <c r="M34" s="23"/>
      <c r="N34" s="109"/>
      <c r="O34" s="109"/>
      <c r="P34" s="109"/>
      <c r="Q34" s="109"/>
      <c r="R34" s="109"/>
      <c r="S34" s="109"/>
      <c r="U34" s="109"/>
      <c r="V34" s="109"/>
    </row>
    <row r="35" spans="5:22" s="1" customFormat="1" ht="12.75" customHeight="1">
      <c r="E35" s="107"/>
      <c r="F35" s="157"/>
      <c r="G35" s="108"/>
      <c r="J35" s="22"/>
      <c r="K35" s="22"/>
      <c r="L35" s="22"/>
      <c r="M35" s="23"/>
      <c r="N35" s="109"/>
      <c r="O35" s="109"/>
      <c r="P35" s="109"/>
      <c r="Q35" s="109"/>
      <c r="R35" s="109"/>
      <c r="S35" s="109"/>
      <c r="U35" s="109"/>
      <c r="V35" s="109"/>
    </row>
    <row r="36" spans="5:22" s="1" customFormat="1" ht="12.75" customHeight="1">
      <c r="E36" s="107"/>
      <c r="F36" s="157"/>
      <c r="G36" s="108"/>
      <c r="J36" s="22"/>
      <c r="K36" s="22"/>
      <c r="L36" s="22"/>
      <c r="M36" s="23"/>
      <c r="N36" s="109"/>
      <c r="O36" s="109"/>
      <c r="P36" s="109"/>
      <c r="Q36" s="109"/>
      <c r="R36" s="109"/>
      <c r="S36" s="109"/>
      <c r="U36" s="109"/>
      <c r="V36" s="109"/>
    </row>
    <row r="37" spans="5:22" s="1" customFormat="1" ht="12.75" customHeight="1">
      <c r="E37" s="107"/>
      <c r="F37" s="157"/>
      <c r="G37" s="108"/>
      <c r="J37" s="22"/>
      <c r="K37" s="22"/>
      <c r="L37" s="22"/>
      <c r="M37" s="23"/>
      <c r="N37" s="109"/>
      <c r="O37" s="109"/>
      <c r="P37" s="109"/>
      <c r="Q37" s="109"/>
      <c r="R37" s="109"/>
      <c r="S37" s="109"/>
      <c r="U37" s="109"/>
      <c r="V37" s="109"/>
    </row>
    <row r="38" spans="5:22" s="1" customFormat="1" ht="12.75" customHeight="1">
      <c r="E38" s="107"/>
      <c r="F38" s="157"/>
      <c r="G38" s="108"/>
      <c r="J38" s="22"/>
      <c r="K38" s="22"/>
      <c r="L38" s="22"/>
      <c r="M38" s="23"/>
      <c r="N38" s="109"/>
      <c r="O38" s="109"/>
      <c r="P38" s="109"/>
      <c r="Q38" s="109"/>
      <c r="R38" s="109"/>
      <c r="S38" s="109"/>
      <c r="U38" s="109"/>
      <c r="V38" s="109"/>
    </row>
    <row r="39" spans="5:22" s="1" customFormat="1" ht="12.75" customHeight="1">
      <c r="E39" s="107"/>
      <c r="F39" s="157"/>
      <c r="G39" s="108"/>
      <c r="J39" s="22"/>
      <c r="K39" s="22"/>
      <c r="L39" s="22"/>
      <c r="M39" s="23"/>
      <c r="N39" s="109"/>
      <c r="O39" s="109"/>
      <c r="P39" s="109"/>
      <c r="Q39" s="109"/>
      <c r="R39" s="109"/>
      <c r="S39" s="109"/>
      <c r="U39" s="109"/>
      <c r="V39" s="109"/>
    </row>
    <row r="40" spans="5:22" s="1" customFormat="1" ht="12.75" customHeight="1">
      <c r="E40" s="107"/>
      <c r="F40" s="157"/>
      <c r="G40" s="108"/>
      <c r="J40" s="22"/>
      <c r="K40" s="22"/>
      <c r="L40" s="22"/>
      <c r="M40" s="23"/>
      <c r="N40" s="109"/>
      <c r="O40" s="109"/>
      <c r="P40" s="109"/>
      <c r="Q40" s="109"/>
      <c r="R40" s="109"/>
      <c r="S40" s="109"/>
      <c r="U40" s="109"/>
      <c r="V40" s="109"/>
    </row>
    <row r="41" spans="5:22" s="1" customFormat="1" ht="12.75" customHeight="1">
      <c r="E41" s="107"/>
      <c r="F41" s="157"/>
      <c r="G41" s="108"/>
      <c r="J41" s="22"/>
      <c r="K41" s="22"/>
      <c r="L41" s="22"/>
      <c r="M41" s="23"/>
      <c r="N41" s="109"/>
      <c r="O41" s="109"/>
      <c r="P41" s="109"/>
      <c r="Q41" s="109"/>
      <c r="R41" s="109"/>
      <c r="S41" s="109"/>
      <c r="U41" s="109"/>
      <c r="V41" s="109"/>
    </row>
    <row r="42" spans="5:22" s="1" customFormat="1" ht="12.75" customHeight="1">
      <c r="E42" s="107"/>
      <c r="F42" s="157"/>
      <c r="G42" s="108"/>
      <c r="J42" s="22"/>
      <c r="K42" s="22"/>
      <c r="L42" s="22"/>
      <c r="M42" s="23"/>
      <c r="N42" s="109"/>
      <c r="O42" s="109"/>
      <c r="P42" s="109"/>
      <c r="Q42" s="109"/>
      <c r="R42" s="109"/>
      <c r="S42" s="109"/>
      <c r="U42" s="109"/>
      <c r="V42" s="109"/>
    </row>
    <row r="43" spans="5:22" s="1" customFormat="1" ht="12.75" customHeight="1">
      <c r="E43" s="107"/>
      <c r="F43" s="157"/>
      <c r="G43" s="108"/>
      <c r="J43" s="22"/>
      <c r="K43" s="22"/>
      <c r="L43" s="22"/>
      <c r="M43" s="23"/>
      <c r="N43" s="109"/>
      <c r="O43" s="109"/>
      <c r="P43" s="109"/>
      <c r="Q43" s="109"/>
      <c r="R43" s="109"/>
      <c r="S43" s="109"/>
      <c r="U43" s="109"/>
      <c r="V43" s="109"/>
    </row>
  </sheetData>
  <mergeCells count="12">
    <mergeCell ref="U11:W11"/>
    <mergeCell ref="U7:W7"/>
    <mergeCell ref="B7:B8"/>
    <mergeCell ref="C7:C8"/>
    <mergeCell ref="L7:N7"/>
    <mergeCell ref="O7:Q7"/>
    <mergeCell ref="R7:T7"/>
    <mergeCell ref="B11:B12"/>
    <mergeCell ref="C11:C12"/>
    <mergeCell ref="L11:N11"/>
    <mergeCell ref="O11:Q11"/>
    <mergeCell ref="R11:T11"/>
  </mergeCells>
  <conditionalFormatting sqref="E15:Y15 E17:Y17 E19:Y19">
    <cfRule type="expression" dxfId="0" priority="1">
      <formula>MOD(ROW(),2)=0</formula>
    </cfRule>
  </conditionalFormatting>
  <hyperlinks>
    <hyperlink ref="E4" r:id="rId1" display="bonnie.herzog@wellsfargo.com" xr:uid="{00000000-0004-0000-1100-000000000000}"/>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7"/>
  <dimension ref="A1"/>
  <sheetViews>
    <sheetView workbookViewId="0"/>
  </sheetViews>
  <sheetFormatPr defaultRowHeight="12.75"/>
  <sheetData/>
  <phoneticPr fontId="29"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8"/>
  <dimension ref="A1"/>
  <sheetViews>
    <sheetView workbookViewId="0"/>
  </sheetViews>
  <sheetFormatPr defaultRowHeight="12.75"/>
  <sheetData>
    <row r="1" spans="1:1">
      <c r="A1"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3099925"><![CDATA[{"INTU-US^FE_ESTIMATE(FCF,MEAN,ANN_ROLL,+1,NOW,,,'')":5975.6846,"INTU-US^FE_ESTIMATE(PRODLINE_SALES_16,MEAN,ANN_ROLL,+1,NOW,,,'')":1909.5083,"INTU-US^FE_ESTIMATE(PRODLINE_SALES_10,MEAN,ANN_ROLL,+1,NOW,,,'')":4787.0464,"INTU-US^FE_ESTIMATE(PRODLINE_SALES_12,MEAN,ANN_ROLL,+1,NOW,,,'')":11074.616,"INTU-US^FE_ESTIMATE(EPS,MEAN,ANN_ROLL,+1,NOW,,,'')":19.402018,"INTU-US^FE_ESTIMATE(NETPROFIT,MEAN,ANN_ROLL,+1,NOW,,,'')":5431.902,"INTU-US^FE_ESTIMATE(PTX_INC,MEAN,ANN_ROLL,+1,NOW,,,'')":7199.8306,"INTU-US^FE_ESTIMATE(EBIT,MEAN,ANN_ROLL,+1,NOW,,,'')":7328.0127,"INTU-US^FE_ESTIMATE(GROSS_INC,MEAN,ANN_ROLL,+1,NOW,,,'')":15093.986,"INTU-US^FE_ESTIMATE(SALES,MEAN,ANN_ROLL,+1,NOW,,,'')":18364.959,"SAP^AVAIL(FE_ESTIMATE(FCF,MEAN,CAL4,2024,NOW,,,''),FE_ESTIMATE(FCF,MEAN,CALA,2024,NOW,,,''))":4458.2144,"SAP^AVAIL(FE_ESTIMATE(SALES,MEAN,CAL4,2024,NOW,,,''),FE_ESTIMATE(SALES,MEAN,CALA,2024,NOW,,,''))":36522.137,"SAP^AVAIL(FE_ESTIMATE(FCF,MEAN,CAL4,2023,NOW,,,''),FE_ESTIMATE(FCF,MEAN,CALA,2023,NOW,,,''))":5599.309,"SAP^AVAIL(FE_ESTIMATE(SALES,MEAN,CAL4,2023,NOW,,,''),FE_ESTIMATE(SALES,MEAN,CALA,2023,NOW,,,''))":34001.84,"MSFT^AVAIL(FE_ESTIMATE(FCF,MEAN,CAL4,2024,NOW,,,''),FE_ESTIMATE(FCF,MEAN,CALA,2024,NOW,,,''))":68042.71,"MSFT^AVAIL(FE_ESTIMATE(SALES,MEAN,CAL4,2024,NOW,,,''),FE_ESTIMATE(SALES,MEAN,CALA,2024,NOW,,,''))":261802.0,"MSFT^AVAIL(FE_ESTIMATE(FCF,MEAN,CAL4,2023,NOW,,,''),FE_ESTIMATE(FCF,MEAN,CALA,2023,NOW,,,''))":64571.887,"MSFT^AVAIL(FE_ESTIMATE(SALES,MEAN,CAL4,2023,NOW,,,''),FE_ESTIMATE(SALES,MEAN,CALA,2023,NOW,,,''))":227583.0,"CRM^AVAIL(FE_ESTIMATE(FCF,MEAN,CAL4,2024,NOW,,,''),FE_ESTIMATE(FCF,MEAN,CALA,2024,NOW,,,''))":12434.0,"CRM^AVAIL(FE_ESTIMATE(SALES,MEAN,CAL4,2024,NOW,,,''),FE_ESTIMATE(SALES,MEAN,CALA,2024,NOW,,,''))":37895.0,"CRM^AVAIL(FE_ESTIMATE(FCF,MEAN,CAL4,2023,NOW,,,''),FE_ESTIMATE(FCF,MEAN,CALA,2023,NOW,,,''))":9498.0,"CRM^AVAIL(FE_ESTIMATE(SALES,MEAN,CAL4,2023,NOW,,,''),FE_ESTIMATE(SALES,MEAN,CALA,2023,NOW,,,''))":34857.0,"ADBE^AVAIL(FE_ESTIMATE(FCF,MEAN,CAL4,2024,NOW,,,''),FE_ESTIMATE(FCF,MEAN,CALA,2024,NOW,,,''))":7881.607,"ADBE^AVAIL(FE_ESTIMATE(SALES,MEAN,CAL4,2024,NOW,,,''),FE_ESTIMATE(SALES,MEAN,CALA,2024,NOW,,,''))":21505.0,"ADBE^AVAIL(FE_ESTIMATE(FCF,MEAN,CAL4,2023,NOW,,,''),FE_ESTIMATE(FCF,MEAN,CALA,2023,NOW,,,''))":7132.4546,"ADBE^AVAIL(FE_ESTIMATE(SALES,MEAN,CAL4,2023,NOW,,,''),FE_ESTIMATE(SALES,MEAN,CALA,2023,NOW,,,''))":19409.0,"INTU^AVAIL(FE_ESTIMATE(FCF,MEAN,CAL4,2024,NOW,,,''),FE_ESTIMATE(FCF,MEAN,CALA,2024,NOW,,,''))":5539.0967,"INTU^AVAIL(FE_ESTIMATE(SALES,MEAN,CAL4,2024,NOW,,,''),FE_ESTIMATE(SALES,MEAN,CALA,2024,NOW,,,''))":17167.0,"INTU^AVAIL(FE_ESTIMATE(FCF,MEAN,CAL4,2023,NOW,,,''),FE_ESTIMATE(FCF,MEAN,CALA,2023,NOW,,,''))":4760.005,"INTU^AVAIL(FE_ESTIMATE(SALES,MEAN,CAL4,2023,NOW,,,''),FE_ESTIMATE(SALES,MEAN,CALA,2023,NOW,,,''))":15094.0,"INTU^AVAIL(FE_ESTIMATE(SALES,MEAN,CAL4,2022,NOW,,,''),FE_ESTIMATE(SALES,MEAN,CALA,2022,NOW,,,''))":13684.0,"SAP^AVAIL(FE_ESTIMATE(SALES,MEAN,CAL4,2022,NOW,,,''),FE_ESTIMATE(SALES,MEAN,CALA,2022,NOW,,,''))":32252.043,"SAP^AVAIL(RTP_MKT_CAP,FREF_MARKET_VALUE_COMPANY(0,,,,,0))":367868.44,"SAP^AVAIL(FF_NET_DEBT(QTR_R,0), FF_NET_DEBT(SEMI_R,0))":-3106.6552,"MSFT^AVAIL(FE_ESTIMATE(SALES,MEAN,CAL4,2022,NOW,,,''),FE_ESTIMATE(SALES,MEAN,CALA,2022,NOW,,,''))":204094.0,"MSFT^AVAIL(RTP_MKT_CAP,FREF_MARKET_VALUE_COMPANY(0,,,,,0))":3380766.8,"MSFT^AVAIL(FF_NET_DEBT(QTR_R,0), FF_NET_DEBT(SEMI_R,0))":25401.0,"CRM^AVAIL(FE_ESTIMATE(SALES,MEAN,CAL4,2022,NOW,,,''),FE_ESTIMATE(SALES,MEAN,CALA,2022,NOW,,,''))":31352.0,"CRM^AVAIL(RTP_MKT_CAP,FREF_MARKET_VALUE_COMPANY(0,,,,,0))":271934.0,"CRM^AVAIL(FF_NET_DEBT(QTR_R,0), FF_NET_DEBT(SEMI_R,0))":-1962.0,"ADBE^AVAIL(FE_ESTIMATE(SALES,MEAN,CAL4,2022,NOW,,,''),FE_ESTIMATE(SALES,MEAN,CALA,2022,NOW,,,''))":17606.0,"ADBE^AVAIL(RTP_MKT_CAP,FREF_MARKET_VALUE_COMPANY(0,,,,,0))":176587.45,"ADBE^AVAIL(FF_NET_DEBT(QTR_R,0), FF_NET_DEBT(SEMI_R,0))":-872.0,"SAP^FG_COMPANY_NAME":"SAP SE Sponsored ADR","MSFT^FG_COMPANY_NAME":"Microsoft Corporation","CRM^FG_COMPANY_NAME":"Salesforce, Inc.","ADBE^FG_COMPANY_NAME":"Adobe Inc.","INTU-US^FE_ESTIMATE(FCF,MEAN,QTR_ROLL,+1,5/21/25,,,'')":3773.8174,"INTU-US^FE_ESTIMATE(PRODLINE_SALES_16,MEAN,QTR_ROLL,+1,5/21/25,,,'')":464.23334,"INTU-US^FE_ESTIMATE(PRODLINE_SALES_10,MEAN,QTR_ROLL,+1,5/21/25,,,'')":3994.5386,"INTU-US^FE_ESTIMATE(PRODLINE_SALES_12,MEAN,QTR_ROLL,+1,5/21/25,,,'')":2847.6667,"INTU-US^FE_ESTIMATE(EPS,MEAN,QTR_ROLL,+1,5/21/25,,,'')":10.933964,"INTU-US^FE_ESTIMATE(NETPROFIT,MEAN,QTR_ROLL,+1,5/21/25,,,'')":3100.4355,"INTU-US^FE_ESTIMATE(PTX_INC,MEAN,QTR_ROLL,+1,5/21/25,,,'')":4081.5486,"INTU-US^FE_ESTIMATE(EBIT,MEAN,QTR_ROLL,+1,5/21/25,,,'')":4098.261,"INTU-US^FE_ESTIMATE(GROSS_INC,MEAN,QTR_ROLL,+1,5/21/25,,,'')":6536.38,"INTU-US^FE_ESTIMATE(SALES,MEAN,QTR_ROLL,+1,5/21/25,,,'')":7567.8003,"INTU-US^FE_ESTIMATE(FCF,MEAN,QTR_ROLL,2028/4F,NOW,,,'')":null,"INTU-US^FE_ESTIMATE(FCF,MEAN,QTR_ROLL,2028/3F,NOW,,,'')":null,"INTU-US^FE_ESTIMATE(FCF,MEAN,QTR_ROLL,2028/2F,NOW,,,'')":null,"INTU-US^FE_ESTIMATE(FCF,MEAN,QTR_ROLL,2028/1F,NOW,,,'')":null,"INTU-US^FE_ESTIMATE(FCF,MEAN,QTR_ROLL,2027/4F,NOW,,,'')":1047.0,"INTU-US^FE_ESTIMATE(FCF,MEAN,QTR_ROLL,2027/3F,NOW,,,'')":4806.0,"INTU-US^FE_ESTIMATE(FCF,MEAN,QTR_ROLL,2027/2F,NOW,,,'')":1426.75,"INTU-US^FE_ESTIMATE(FCF,MEAN,QTR_ROLL,2027/1F,NOW,,,'')":688.25,"INTU-US^FE_ESTIMATE(FCF,MEAN,QTR_ROLL,2026/4F,NOW,,,'')":1202.825,"INTU-US^FE_ESTIMATE(FCF,MEAN,QTR_ROLL,2026/3F,NOW,,,'')":4193.65,"INTU-US^FE_ESTIMATE(FCF,MEAN,QTR_ROLL,2026/2F,NOW,,,'')":1162.4,"INTU-US^FE_ESTIMATE(FCF,MEAN,QTR_ROLL,2026/1F,NOW,,,'')":558.3,"INTU-US^FE_ESTIMATE(FCF,MEAN,QTR_ROLL,2025/4F,NOW,,,'')":651.53314,"INTU-US^FE_ESTIMATE(FCF,MEAN,QTR_ROLL,2025/3F,NOW,,,'')":4281.2866,"INTU-US^FE_ESTIMATE(FCF,MEAN,QTR_ROLL,2025/2F,NOW,,,'')":940.92993,"INTU-US^FE_ESTIMATE(FCF,MEAN,QTR_ROLL,2025/1F,NOW,,,'')":329.0,"INTU-US^FE_ESTIMATE(FCF,MEAN,QTR_ROLL,2024/4F,NOW,,,'')":401.16666,"INTU-US^FE_ESTIMATE(FCF,MEAN,QTR_ROLL,2024/3F,NOW,,,'')":3868.0,"INTU-US^FE_ESTIMATE(FCF,MEAN,QTR_ROLL,2024/2F,NOW,,,'')":562.4286,"INTU-US^FE_ESTIMATE(FCF,MEAN,QTR_ROLL,2024/1F,NOW,,,'')":-140.85715,"INTU-US^FE_ESTIMATE(FCF,MEAN,QTR_ROLL,2023/4F,NOW,,,'')":797.6,"INTU-US^FE_ESTIMATE(FCF,MEAN,QTR_ROLL,2023/3F,NOW,,,'')":3540.8333,"INTU-US^FE_ESTIMATE(FCF,MEAN,QTR_ROLL,2023/2F,NOW,,,'')":224.4,"INTU-US^FE_ESTIMATE(FCF,MEAN,QTR_ROLL,2023/1F,NOW,,,'')":210.6,"INTU-US^FE_ESTIMATE(FCF,MEAN,QTR_ROLL,2022/4F,NOW,,,'')":272.75,"INTU-US^FE_ESTIMATE(FCF,MEAN,QTR_ROLL,2022/3F,NOW,,,'')":3253.5,"INTU-US^FE_ESTIMATE(FCF,MEAN,QTR_ROLL,2022/2F,NOW,,,'')":18.8,"INTU-US^FE_ESTIMATE(FCF,MEAN,QTR_ROLL,2022/1F,NOW,,,'')":239.66667,"INTU-US^FE_ESTIMATE(FCF,MEAN,QTR_ROLL,2021/4F,NOW,,,'')":521.7167,"INTU-US^FE_ESTIMATE(FCF,MEAN,QTR_ROLL,2021/3F,NOW,,,'')":2510.6,"INTU-US^FE_ESTIMATE(FCF,MEAN,QTR_ROLL,2021/2F,NOW,,,'')":244.38333,"INTU-US^FE_ESTIMATE(FCF,MEAN,QTR_ROLL,2021/1F,NOW,,,'')":7.0,"INTU-US^FE_ESTIMATE(FCF,MEAN,QTR_ROLL,2020/4F,NOW,,,'')":258.8,"INTU-US^FE_ESTIMATE(FCF,MEAN,QTR_ROLL,2020/3F,NOW,,,'')":1894.5,"INTU-US^FE_ESTIMATE(FCF,MEAN,QTR_ROLL,2020/2F,NOW,,,'')":283.0,"INTU-US^FE_ESTIMATE(FCF,MEAN,QTR_ROLL,2020/1F,NOW,,,'')":-164.7,"INTU-US^FE_ESTIMATE(FCF,MEAN,QTR_ROLL,2019/4F,NOW,,,'')":-148.0,"INTU-US^FE_ESTIMATE(FCF,MEAN,QTR_ROLL,2019/3F,NOW,,,'')":2199.775,"INTU-US^FE_ESTIMATE(FCF,MEAN,QTR_ROLL,2019/2F,NOW,,,'')":296.775,"INTU-US^FE_ESTIMATE(FCF,MEAN,QTR_ROLL,2019/1F,NOW,,,'')":-178.0,"INTU-US^FE_ESTIMATE(EBIT,MEAN,QTR_ROLL,2020/2F,NOW,,,'')":383.92307,"INTU-US^FE_ESTIMATE(SALES,MEAN,QTR_ROLL,2019/2F,NOW,,,'')":1502.0,"INTU-US^FE_ESTIMATE(EPS_GAAP,MEAN,QTR_ROLL,2022/4F,NOW,,,'')":-0.2,"INTU-US^FE_ESTIMATE(EPS,MEAN,QTR_ROLL,2019/2F,NOW,,,'')":1.0,"INTU-US^FE_ESTIMATE(GROSS_INC,MEAN,QTR_ROLL,2021/2F,NOW,,,'')":1233.0,"INTU-US^FE_ESTIMATE(SALES,MEAN,QTR_ROLL,2025/4F,NOW,,,'')":3831.0,"INTU-US^FE_ESTIMATE(EBIT,MEAN,QTR_ROLL,2023/1F,NOW,,,'')":662.0,"INTU-US^FE_ESTIMATE(SALES,MEAN,QTR_ROLL,2025/1F,NOW,,,'')":3283.0,"INTU-US^FE_ESTIMATE(SALES,MEAN,QTR_ROLL,2024/2F,NOW,,,'')":3386.0,"INTU-US^FE_ESTIMATE(EPS_GAAP,MEAN,QTR_ROLL,2025/3F,NOW,,,'')":10.02,"INTU-US^FE_ESTIMATE(EPS,MEAN,QTR_ROLL,2025/1F,NOW,,,'')":2.5,"INTU-US^FE_ESTIMATE(EPS_GAAP,MEAN,QTR_ROLL,2026/1F,NOW,,,'')":1.59,"INTU-US^FE_ESTIMATE(GROSS_INC,MEAN,QTR_ROLL,2020/1F,NOW,,,'')":893.0,"INTU-US^FE_ESTIMATE(GROSS_INC,MEAN,QTR_ROLL,2028/3F,NOW,,,'')":8510.5,"INTU-US^FE_ESTIMATE(EPS,MEAN,QTR_ROLL,2028/2F,NOW,,,'')":4.9677835,"INTU-US^FE_ESTIMATE(EPS,MEAN,QTR_ROLL,2023/2F,NOW,,,'')":2.2,"INTU-US^FE_ESTIMATE(EPS_GAAP,MEAN,QTR_ROLL,2027/4F,NOW,,,'')":1.526799,"INTU-US^FE_ESTIMATE(EPS_GAAP,MEAN,QTR_ROLL,2020/1F,NOW,,,'')":0.22,"INTU-US^FE_ESTIMATE(EBIT,MEAN,QTR_ROLL,2020/3F,NOW,,,'')":1539.0,"INTU-US^FE_ESTIMATE(SALES,MEAN,QTR_ROLL,2028/3F,NOW,,,'')":10220.326,"INTU-US^FE_ESTIMATE(EPS_GAAP,MEAN,QTR_ROLL,2026/2F,NOW,,,'')":1.8307227,"INTU-US^FE_ESTIMATE(EPS,MEAN,QTR_ROLL,2028/3F,NOW,,,'')":15.602662,"INTU-US^FE_ESTIMATE(GROSS_INC,MEAN,QTR_ROLL,2023/3F,NOW,,,'')":5158.5386,"INTU-US^FE_ESTIMATE(SALES,MEAN,QTR_ROLL,2019/3F,NOW,,,'')":3272.0,"INTU-US^FE_ESTIMATE(EPS_GAAP,MEAN,QTR_ROLL,2027/3F,NOW,,,'')":12.466518,"INTU-US^FE_ESTIMATE(SALES,MEAN,QTR_ROLL,2020/2F,NOW,,,'')":1697.26,"INTU-US^FE_ESTIMATE(EBIT,MEAN,QTR_ROLL,2023/4F,NOW,,,'')":627.0,"INTU-US^FE_ESTIMATE(EPS,MEAN,QTR_ROLL,2022/2F,NOW,,,'')":1.55,"INTU-US^FE_ESTIMATE(GROSS_INC,MEAN,QTR_ROLL,2027/2F,NOW,,,'')":4077.9834,"INTU-US^FE_ESTIMATE(SALES,MEAN,QTR_ROLL,2024/1F,NOW,,,'')":2978.0,"INTU-US^FE_ESTIMATE(EPS_GAAP,MEAN,QTR_ROLL,2021/2F,NOW,,,'')":0.07,"INTU-US^FE_ESTIMATE(EBIT,MEAN,QTR_ROLL,2026/2F,NOW,,,'')":1393.71,"INTU-US^FE_ESTIMATE(SALES,MEAN,QTR_ROLL,2028/2F,NOW,,,'')":5741.7095,"INTU-US^FE_ESTIMATE(GROSS_INC,MEAN,QTR_ROLL,2021/3F,NOW,,,'')":3600.5,"INTU-US^FE_ESTIMATE(EBIT,MEAN,QTR_ROLL,2020/1F,NOW,,,'')":129.0,"INTU-US^FE_ESTIMATE(SALES,MEAN,QTR_ROLL,2022/1F,NOW,,,'')":2007.0,"INTU-US^FE_ESTIMATE(GROSS_INC,MEAN,QTR_ROLL,2023/1F,NOW,,,'')":2021.8462,"INTU-US^FE_ESTIMATE(EPS_GAAP,MEAN,QTR_ROLL,2024/1F,NOW,,,'')":0.85,"INTU-US^FE_ESTIMATE(EPS,MEAN,QTR_ROLL,2023/3F,NOW,,,'')":8.92,"INTU-US^FE_ESTIMATE(GROSS_INC,MEAN,QTR_ROLL,2027/1F,NOW,,,'')":3559.1428,"INTU-US^FE_ESTIMATE(SALES,MEAN,QTR_ROLL,2021/3F,NOW,,,'')":4173.0,"INTU-US^FE_ESTIMATE(EBIT,MEAN,QTR_ROLL,2021/2F,NOW,,,'')":235.0,"INTU-US^FE_ESTIMATE(EPS_GAAP,MEAN,QTR_ROLL,2026/4F,NOW,,,'')":1.165433,"INTU-US^FE_ESTIMATE(EPS_GAAP,MEAN,QTR_ROLL,2023/4F,NOW,,,'')":0.32,"INTU-US^FE_ESTIMATE(GROSS_INC,MEAN,QTR_ROLL,2022/2F,NOW,,,'')":2166.182,"INTU-US^FE_ESTIMATE(SALES,MEAN,QTR_ROLL,2027/3F,NOW,,,'')":9374.014,"INTU-US^FE_ESTIMATE(GROSS_INC,MEAN,QTR_ROLL,2026/3F,NOW,,,'')":7360.077,"INTU-US^FE_ESTIMATE(GROSS_INC,MEAN,QTR_ROLL,2019/1F,NOW,,,'')":785.2857,"INTU-US^FE_ESTIMATE(EPS_GAAP,MEAN,QTR_ROLL,2028/1F,NOW,,,'')":2.364528,"INTU-US^FE_ESTIMATE(EPS_GAAP,MEAN,QTR_ROLL,2019/1F,NOW,,,'')":0.13,"INTU-US^FE_ESTIMATE(EBIT,MEAN,QTR_ROLL,2025/3F,NOW,,,'')":4343.0,"INTU-US^FE_ESTIMATE(EPS,MEAN,QTR_ROLL,2026/1F,NOW,,,'')":3.34,"INTU-US^FE_ESTIMATE(EPS,MEAN,QTR_ROLL,2027/2F,NOW,,,'')":4.327731,"INTU-US^FE_ESTIMATE(SALES,MEAN,QTR_ROLL,2027/2F,NOW,,,'')":5111.6016,"INTU-US^FE_ESTIMATE(EPS,MEAN,QTR_ROLL,2021/2F,NOW,,,'')":0.68,"INTU-US^FE_ESTIMATE(EBIT,MEAN,QTR_ROLL,2022/2F,NOW,,,'')":612.0,"INTU-US^FE_ESTIMATE(EPS,MEAN,QTR_ROLL,2021/1F,NOW,,,'')":0.94,"INTU-US^FE_ESTIMATE(EPS,MEAN,QTR_ROLL,2019/4F,NOW,,,'')":-0.09,"INTU-US^FE_ESTIMATE(EPS,MEAN,QTR_ROLL,2025/4F,NOW,,,'')":2.75,"INTU-US^FE_ESTIMATE(EPS,MEAN,QTR_ROLL,2019/3F,NOW,,,'')":5.55,"INTU-US^FE_ESTIMATE(EPS,MEAN,QTR_ROLL,2023/1F,NOW,,,'')":1.66,"INTU-US^FE_ESTIMATE(EPS_GAAP,MEAN,QTR_ROLL,2024/4F,NOW,,,'')":-0.07,"INTU-US^FE_ESTIMATE(EBIT,MEAN,QTR_ROLL,2028/1F,NOW,,,'')":1671.564,"INTU-US^FE_ESTIMATE(GROSS_INC,MEAN,QTR_ROLL,2025/2F,NOW,,,'')":3162.3076,"INTU-US^FE_ESTIMATE(EPS_GAAP,MEAN,QTR_ROLL,2020/3F,NOW,,,'')":4.11,"INTU-US^FE_ESTIMATE(EPS_GAAP,MEAN,QTR_ROLL,2020/2F,NOW,,,'')":0.91,"INTU-US^FE_ESTIMATE(EBIT,MEAN,QTR_ROLL,2022/1F,NOW,,,'')":555.0,"INTU-US^FE_ESTIMATE(EPS,MEAN,QTR_ROLL,2020/3F,NOW,,,'')":4.49,"INTU-US^FE_ESTIMATE(SALES,MEAN,QTR_ROLL,2024/4F,NOW,,,'')":3184.0,"INTU-US^FE_ESTIMATE(EPS,MEAN,QTR_ROLL,2020/2F,NOW,,,'')":1.16,"INTU-US^FE_ESTIMATE(GROSS_INC,MEAN,QTR_ROLL,2020/4F,NOW,,,'')":1509.8,"INTU-US^FE_ESTIMATE(GROSS_INC,MEAN,QTR_ROLL,2025/1F,NOW,,,'')":2590.7856,"INTU-US^FE_ESTIMATE(SALES,MEAN,QTR_ROLL,2024/3F,NOW,,,'')":6737.0,"INTU-US^FE_ESTIMATE(EPS,MEAN,QTR_ROLL,2024/3F,NOW,,,'')":9.88,"INTU-US^FE_ESTIMATE(EBIT,MEAN,QTR_ROLL,2024/1F,NOW,,,'')":960.0,"INTU-US^FE_ESTIMATE(EBIT,MEAN,QTR_ROLL,2020/4F,NOW,,,'')":616.0,"INTU-US^FE_ESTIMATE(GROSS_INC,MEAN,QTR_ROLL,2027/4F,NOW,,,'')":3852.85,"INTU-US^FE_ESTIMATE(EBIT,MEAN,QTR_ROLL,2019/3F,NOW,,,'')":1888.0,"INTU-US^FE_ESTIMATE(EBIT,MEAN,QTR_ROLL,2028/2F,NOW,,,'')":1870.603,"INTU-US^FE_ESTIMATE(EPS,MEAN,QTR_ROLL,2027/1F,NOW,,,'')":3.912188,"INTU-US^FE_ESTIMATE(SALES,MEAN,QTR_ROLL,2020/3F,NOW,,,'')":3002.0,"INTU-US^FE_ESTIMATE(EBIT,MEAN,QTR_ROLL,2019/1F,NOW,,,'')":102.0,"INTU-US^FE_ESTIMATE(GROSS_INC,MEAN,QTR_ROLL,2020/2F,NOW,,,'')":1370.8889,"INTU-US^FE_ESTIMATE(EPS,MEAN,QTR_ROLL,2020/4F,NOW,,,'')":1.81,"INTU-US^FE_ESTIMATE(GROSS_INC,MEAN,QTR_ROLL,2025/4F,NOW,,,'')":3069.6,"INTU-US^FE_ESTIMATE(EPS_GAAP,MEAN,QTR_ROLL,2028/4F,NOW,,,'')":1.9873075,"INTU-US^FE_ESTIMATE(EPS_GAAP,MEAN,QTR_ROLL,2019/4F,NOW,,,'')":-0.17,"INTU-US^FE_ESTIMATE(EBIT,MEAN,QTR_ROLL,2021/4F,NOW,,,'')":715.0,"INTU-US^FE_ESTIMATE(SALES,MEAN,QTR_ROLL,2026/4F,NOW,,,'')":4244.448,"INTU-US^FE_ESTIMATE(EPS,MEAN,QTR_ROLL,2028/1F,NOW,,,'')":4.547516,"INTU-US^FE_ESTIMATE(GROSS_INC,MEAN,QTR_ROLL,2025/3F,NOW,,,'')":6688.077,"INTU-US^FE_ESTIMATE(EBIT,MEAN,QTR_ROLL,2026/1F,NOW,,,'')":1258.0,"INTU-US^FE_ESTIMATE(GROSS_INC,MEAN,QTR_ROLL,2021/1F,NOW,,,'')":1083.1,"INTU-US^FE_ESTIMATE(SALES,MEAN,QTR_ROLL,2019/1F,NOW,,,'')":1016.0,"INTU-US^FE_ESTIMATE(SALES,MEAN,QTR_ROLL,2027/1F,NOW,,,'')":4426.564,"INTU-US^FE_ESTIMATE(EPS_GAAP,MEAN,QTR_ROLL,2022/3F,NOW,,,'')":6.28,"INTU-US^FE_ESTIMATE(EPS_GAAP,MEAN,QTR_ROLL,2019/2F,NOW,,,'')":0.72,"INTU-US^FE_ESTIMATE(EBIT,MEAN,QTR_ROLL,2019/4F,NOW,,,'')":-47.0,"INTU-US^FE_ESTIMATE(EPS_GAAP,MEAN,QTR_ROLL,2022/2F,NOW,,,'')":0.35,"INTU-US^FE_ESTIMATE(SALES,MEAN,QTR_ROLL,2020/1F,NOW,,,'')":1165.0,"INTU-US^FE_ESTIMATE(EPS,MEAN,QTR_ROLL,2027/3F,NOW,,,'')":14.395941,"INTU-US^FE_ESTIMATE(EPS_GAAP,MEAN,QTR_ROLL,2026/3F,NOW,,,'')":11.132285,"INTU-US^FE_ESTIMATE(SALES,MEAN,QTR_ROLL,2021/1F,NOW,,,'')":1323.0,"INTU-US^FE_ESTIMATE(SALES,MEAN,QTR_ROLL,2027/4F,NOW,,,'')":4839.0522,"INTU-US^FE_ESTIMATE(GROSS_INC,MEAN,QTR_ROLL,2024/4F,NOW,,,'')":2530.182,"INTU-US^FE_ESTIMATE(EPS_GAAP,MEAN,QTR_ROLL,2021/3F,NOW,,,'')":5.3,"INTU-US^FE_ESTIMATE(EBIT,MEAN,QTR_ROLL,2027/4F,NOW,,,'')":1395.2076,"INTU-US^FE_ESTIMATE(GROSS_INC,MEAN,QTR_ROLL,2019/4F,NOW,,,'')":732.0,"INTU-US^FE_ESTIMATE(EPS_GAAP,MEAN,QTR_ROLL,2027/2F,NOW,,,'')":2.331294,"INTU-US^FE_ESTIMATE(EPS,MEAN,QTR_ROLL,2026/4F,NOW,,,'')":3.1517859,"INTU-US^FE_ESTIMATE(GROSS_INC,MEAN,QTR_ROLL,2028/4F,NOW,,,'')":4196.5,"INTU-US^FE_ESTIMATE(SALES,MEAN,QTR_ROLL,2023/4F,NOW,,,'')":2712.0,"INTU-US^FE_ESTIMATE(EPS,MEAN,QTR_ROLL,2022/1F,NOW,,,'')":1.53,"INTU-US^FE_ESTIMATE(GROSS_INC,MEAN,QTR_ROLL,2024/1F,NOW,,,'')":2322.7144,"INTU-US^FE_ESTIMATE(EPS_GAAP,MEAN,QTR_ROLL,2021/1F,NOW,,,'')":0.75,"INTU-US^FE_ESTIMATE(EPS,MEAN,QTR_ROLL,2019/1F,NOW,,,'')":0.29,"INTU-US^FE_ESTIMATE(GROSS_INC,MEAN,QTR_ROLL,2019/3F,NOW,,,'')":2935.1428,"INTU-US^FE_ESTIMATE(EPS,MEAN,QTR_ROLL,2021/4F,NOW,,,'')":1.97,"INTU-US^FE_ESTIMATE(GROSS_INC,MEAN,QTR_ROLL,2026/4F,NOW,,,'')":3378.1917,"INTU-US^FE_ESTIMATE(SALES,MEAN,QTR_ROLL,2025/3F,NOW,,,'')":7754.0,"INTU-US^FE_ESTIMATE(EPS_GAAP,MEAN,QTR_ROLL,2020/4F,NOW,,,'')":1.68,"INTU-US^FE_ESTIMATE(EBIT,MEAN,QTR_ROLL,2027/2F,NOW,,,'')":1635.8652,"INTU-US^FE_ESTIMATE(EBIT,MEAN,QTR_ROLL,2027/1F,NOW,,,'')":1471.0707,"INTU-US^FE_ESTIMATE(EPS_GAAP,MEAN,QTR_ROLL,2025/1F,NOW,,,'')":0.7,"INTU-US^FE_ESTIMATE(EPS,MEAN,QTR_ROLL,2024/1F,NOW,,,'')":2.47,"INTU-US^FE_ESTIMATE(GROSS_INC,MEAN,QTR_ROLL,2028/1F,NOW,,,'')":4023.1333,"INTU-US^FE_ESTIMATE(EPS,MEAN,QTR_ROLL,2022/4F,NOW,,,'')":1.1,"INTU-US^FE_ESTIMATE(EPS,MEAN,QTR_ROLL,2022/3F,NOW,,,'')":7.65,"INTU-US^FE_ESTIMATE(GROSS_INC,MEAN,QTR_ROLL,2022/3F,NOW,,,'')":4867.636,"INTU-US^FE_ESTIMATE(EPS_GAAP,MEAN,QTR_ROLL,2019/3F,NOW,,,'')":5.22,"INTU-US^FE_ESTIMATE(EBIT,MEAN,QTR_ROLL,2024/3F,NOW,,,'')":3712.0,"INTU-US^FE_ESTIMATE(GROSS_INC,MEAN,QTR_ROLL,2026/1F,NOW,,,'')":3120.8333,"INTU-US^FE_ESTIMATE(SALES,MEAN,QTR_ROLL,2021/2F,NOW,,,'')":1576.0,"INTU-US^FE_ESTIMATE(EBIT,MEAN,QTR_ROLL,2028/4F,NOW,,,'')":1589.6897,"INTU-US^FE_ESTIMATE(EPS,MEAN,QTR_ROLL,2027/4F,NOW,,,'')":3.6620398,"INTU-US^FE_ESTIMATE(SALES,MEAN,QTR_ROLL,2028/4F,NOW,,,'')":5422.1494,"INTU-US^FE_ESTIMATE(EPS_GAAP,MEAN,QTR_ROLL,2023/3F,NOW,,,'')":7.38,"INTU-US^FE_ESTIMATE(SALES,MEAN,QTR_ROLL,2023/1F,NOW,,,'')":2597.0,"INTU-US^FE_ESTIMATE(EPS,MEAN,QTR_ROLL,2028/4F,NOW,,,'')":4.3006334,"INTU-US^FE_ESTIMATE(GROSS_INC,MEAN,QTR_ROLL,2021/4F,NOW,,,'')":2124.7778,"INTU-US^FE_ESTIMATE(EPS_GAAP,MEAN,QTR_ROLL,2023/2F,NOW,,,'')":0.6,"INTU-US^FE_ESTIMATE(EPS,MEAN,QTR_ROLL,2025/3F,NOW,,,'')":11.65,"INTU-US^FE_ESTIMATE(EPS_GAAP,MEAN,QTR_ROLL,2025/2F,NOW,,,'')":1.67,"INTU-US^FE_ESTIMATE(GROSS_INC,MEAN,QTR_ROLL,2020/3F,NOW,,,'')":2590.2856,"INTU-US^FE_ESTIMATE(GROSS_INC,MEAN,QTR_ROLL,2027/3F,NOW,,,'')":8069.35,"INTU-US^FE_ESTIMATE(EBIT,MEAN,QTR_ROLL,2024/4F,NOW,,,'')":730.0,"INTU-US^FE_ESTIMATE(SALES,MEAN,QTR_ROLL,2025/2F,NOW,,,'')":3963.0,"INTU-US^FE_ESTIMATE(EPS_GAAP,MEAN,QTR_ROLL,2025/4F,NOW,,,'')":1.35,"INTU-US^FE_ESTIMATE(EPS,MEAN,QTR_ROLL,2025/2F,NOW,,,'')":3.32,"INTU-US^FE_ESTIMATE(GROSS_INC,MEAN,QTR_ROLL,2024/2F,NOW,,,'')":2632.0715,"INTU-US^FE_ESTIMATE(SALES,MEAN,QTR_ROLL,2022/2F,NOW,,,'')":2673.0,"INTU-US^FE_ESTIMATE(EBIT,MEAN,QTR_ROLL,2027/3F,NOW,,,'')":5352.8086,"INTU-US^FE_ESTIMATE(EBIT,MEAN,QTR_ROLL,2019/2F,NOW,,,'')":339.0,"INTU-US^FE_ESTIMATE(EPS_GAAP,MEAN,QTR_ROLL,2028/3F,NOW,,,'')":13.982054,"INTU-US^FE_ESTIMATE(SALES,MEAN,QTR_ROLL,2026/3F,NOW,,,'')":8517.934,"INTU-US^FE_ESTIMATE(GROSS_INC,MEAN,QTR_ROLL,2023/4F,NOW,,,'')":2085.0833,"INTU-US^FE_ESTIMATE(EPS_GAAP,MEAN,QTR_ROLL,2028/2F,NOW,,,'')":2.8145194,"INTU-US^FE_ESTIMATE(EBIT,MEAN,QTR_ROLL,2022/4F,NOW,,,'')":433.0,"INTU-US^FE_ESTIMATE(SALES,MEAN,QTR_ROLL,2023/2F,NOW,,,'')":3041.0,"INTU-US^FE_ESTIMATE(EBIT,MEAN,QTR_ROLL,2022/3F,NOW,,,'')":2904.0,"INTU-US^FE_ESTIMATE(GROSS_INC,MEAN,QTR_ROLL,2022/1F,NOW,,,'')":1621.5,"INTU-US^FE_ESTIMATE(EPS,MEAN,QTR_ROLL,2021/3F,NOW,,,'')":6.07,"INTU-US^FE_ESTIMATE(EBIT,MEAN,QTR_ROLL,2026/4F,NOW,,,'')":1203.1533,"INTU-US^FE_ESTIMATE(EPS_GAAP,MEAN,QTR_ROLL,2024/3F,NOW,,,'')":8.42,"INTU-US^FE_ESTIMATE(EBIT,MEAN,QTR_ROLL,2026/3F,NOW,,,'')":4813.793,"INTU-US^FE_ESTIMATE(EPS_GAAP,MEAN,QTR_ROLL,2022/1F,NOW,,,'')":0.82,"INTU-US^FE_ESTIMATE(EPS_GAAP,MEAN,QTR_ROLL,2021/4F,NOW,,,'')":1.37,"INTU-US^FE_ESTIMATE(EBIT,MEAN,QTR_ROLL,2024/2F,NOW,,,'')":1000.0,"INTU-US^FE_ESTIMATE(SALES,MEAN,QTR_ROLL,2022/3F,NOW,,,'')":5632.0,"INTU-US^FE_ESTIMATE(EPS,MEAN,QTR_ROLL,2026/3F,NOW,,,'')":12.966936,"INTU-US^FE_ESTIMATE(GROSS_INC,MEAN,QTR_ROLL,2019/2F,NOW,,,'')":1232.0,"INTU-US^FE_ESTIMATE(SALES,MEAN,QTR_ROLL,2026/1F,NOW,,,'')":3885.0,"INTU-US^FE_ESTIMATE(GROSS_INC,MEAN,QTR_ROLL,2026/2F,NOW,,,'')":3600.177,"INTU-US^FE_ESTIMATE(GROSS_INC,MEAN,QTR_ROLL,2028/2F,NOW,,,'')":4586.2,"INTU-US^FE_ESTIMATE(EBIT,MEAN,QTR_ROLL,2021/1F,NOW,,,'')":334.0,"INTU-US^FE_ESTIMATE(GROSS_INC,MEAN,QTR_ROLL,2024/3F,NOW,,,'')":5780.4287,"INTU-US^FE_ESTIMATE(EBIT,MEAN,QTR_ROLL,2025/2F,NOW,,,'')":1260.0,"INTU-US^FE_ESTIMATE(EPS_GAAP,MEAN,QTR_ROLL,2023/1F,NOW,,,'')":0.14,"INTU-US^FE_ESTIMATE(SALES,MEAN,QTR_ROLL,2026/2F,NOW,,,'')":4533.6143,"INTU-US^FE_ESTIMATE(EBIT,MEAN,QTR_ROLL,2023/2F,NOW,,,'')":856.0,"INTU-US^FE_ESTIMATE(EPS_GAAP,MEAN,QTR_ROLL,2024/2F,NOW,,,'')":1.25,"INTU-US^FE_ESTIMATE(EPS,MEAN,QTR_ROLL,2023/4F,NOW,,,'')":1.65,"INTU-US^FE_ESTIMATE(GROSS_INC,MEAN,QTR_ROLL,2022/4F,NOW,,,'')":1877.7778,"INTU-US^FE_ESTIMATE(SALES,MEAN,QTR_ROLL,2020/4F,NOW,,,'')":1816.0,"INTU-US^FE_ESTIMATE(EBIT,MEAN,QTR_ROLL,2025/1F,NOW,,,'')":953.0,"INTU-US^FE_ESTIMATE(SALES,MEAN,QTR_ROLL,2028/1F,NOW,,,'')":5020.731,"INTU-US^FE_ESTIMATE(GROSS_INC,MEAN,QTR_ROLL,2023/2F,NOW,,,'')":2356.0,"INTU-US^FE_ESTIMATE(EPS_GAAP,MEAN,QTR_ROLL,2027/1F,NOW,,,'')":1.9723023,"INTU-US^FE_ESTIMATE(EBIT,MEAN,QTR_ROLL,2021/3F,NOW,,,'')":2201.0,"INTU-US^FE_ESTIMATE(SALES,MEAN,QTR_ROLL,2023/3F,NOW,,,'')":6018.0,"INTU-US^FE_ESTIMATE(EBIT,MEAN,QTR_ROLL,2025/4F,NOW,,,'')":1016.0,"INTU-US^FE_ESTIMATE(EPS,MEAN,QTR_ROLL,2026/2F,NOW,,,'')":3.6841588,"INTU-US^FE_ESTIMATE(SALES,MEAN,QTR_ROLL,2021/4F,NOW,,,'')":2561.0,"INTU-US^FE_ESTIMATE(SALES,MEAN,QTR_ROLL,2019/4F,NOW,,,'')":994.0,"INTU-US^FE_ESTIMATE(EPS,MEAN,QTR_ROLL,2020/1F,NOW,,,'')":0.41,"INTU-US^FE_ESTIMATE(EPS,MEAN,QTR_ROLL,2024/2F,NOW,,,'')":2.63,"INTU-US^FE_ESTIMATE(SALES,MEAN,QTR_ROLL,2022/4F,NOW,,,'')":2414.0,"INTU-US^FE_ESTIMATE(EBIT,MEAN,QTR_ROLL,2023/3F,NOW,,,'')":3358.0,"INTU-US^FE_ESTIMATE(EPS,MEAN,QTR_ROLL,2024/4F,NOW,,,'')":1.99,"INTU-US^FE_ESTIMATE(EBIT,MEAN,QTR_ROLL,2028/3F,NOW,,,'')":5814.1606,"INTU-US^CSF_DPS(ANN,0)":null,"INTU-US^FE_ESTIMATE(PRODLINE_SALES_16,MEAN,QTR_ROLL,+1,NOW,,,'')":576.575,"INTU-US^FE_ESTIMATE(PRODLINE_SALES_10,MEAN,QTR_ROLL,+1,NOW,,,'')":568.1445,"INTU-US^FE_ESTIMATE(PRODLINE_SALES_12,MEAN,QTR_ROLL,+1,NOW,,,'')":3113.7,"INTU-US^FE_ESTIMATE(EPS,MEAN,QTR_ROLL,+1,NOW,,,'')":3.6841588,"INTU-US^FE_ESTIMATE(NETPROFIT,MEAN,QTR_ROLL,+1,NOW,,,'')":1035.834,"INTU-US^FE_ESTIMATE(PTX_INC,MEAN,QTR_ROLL,+1,NOW,,,'')":1360.7175,"INTU-US^FE_ESTIMATE(EBIT,MEAN,QTR_ROLL,+1,NOW,,,'')":1393.71,"INTU-US^FE_ESTIMATE(GROSS_INC,MEAN,QTR_ROLL,+1,NOW,,,'')":3600.177,"INTU-US^FE_ESTIMATE(SALES,MEAN,QTR_ROLL,+1,NOW,,,'')":4533.6143,"INTU-US^FE_ESTIMATE(FCF,MEAN,QTR_ROLL,+1,NOW,,,'')":1085.3115}]]></FdsFormulaCache>
</file>

<file path=customXml/itemProps1.xml><?xml version="1.0" encoding="utf-8"?>
<ds:datastoreItem xmlns:ds="http://schemas.openxmlformats.org/officeDocument/2006/customXml" ds:itemID="{7B4F563A-AF5A-47BE-93C6-8A312DFF58A6}">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WFS</vt:lpstr>
      <vt:lpstr>Income Statement</vt:lpstr>
      <vt:lpstr>Revenue Build</vt:lpstr>
      <vt:lpstr>Balance Sheet</vt:lpstr>
      <vt:lpstr>Cash Flow</vt:lpstr>
      <vt:lpstr>Guidance Performance_OLD</vt:lpstr>
      <vt:lpstr>Peer Comps</vt:lpstr>
      <vt:lpstr>BS</vt:lpstr>
      <vt:lpstr>CF</vt:lpstr>
      <vt:lpstr>'Balance Sheet'!Print_Area</vt:lpstr>
      <vt:lpstr>'Cash Flow'!Print_Area</vt:lpstr>
      <vt:lpstr>'Revenue Build'!Print_Area</vt:lpstr>
      <vt:lpstr>REV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INTU</dc:title>
  <dc:creator>Michael Turrin</dc:creator>
  <cp:lastModifiedBy>Yuuji Anderson</cp:lastModifiedBy>
  <cp:revision>0</cp:revision>
  <cp:lastPrinted>2026-02-27T01:20:19Z</cp:lastPrinted>
  <dcterms:created xsi:type="dcterms:W3CDTF">2000-04-02T00:50:24Z</dcterms:created>
  <dcterms:modified xsi:type="dcterms:W3CDTF">2026-03-19T21:24:50Z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d">
    <vt:lpwstr>1055466000000004025</vt:lpwstr>
  </property>
  <property fmtid="{D5CDD505-2E9C-101B-9397-08002B2CF9AE}" pid="3" name="DocOwner">
    <vt:lpwstr>hrboston</vt:lpwstr>
  </property>
  <property fmtid="{D5CDD505-2E9C-101B-9397-08002B2CF9AE}" pid="4" name="ZohoSheetVersion">
    <vt:lpwstr>2.0</vt:lpwstr>
  </property>
  <property fmtid="{D5CDD505-2E9C-101B-9397-08002B2CF9AE}" pid="5" name="=fdsSearchOrder">
    <vt:i4>0</vt:i4>
  </property>
  <property fmtid="{D5CDD505-2E9C-101B-9397-08002B2CF9AE}" pid="6" name="{A44787D4-0540-4523-9961-78E4036D8C6D}">
    <vt:lpwstr>{ABA8DFF7-817E-4EDE-9B41-EE0CA9B4AECB}</vt:lpwstr>
  </property>
  <property fmtid="{D5CDD505-2E9C-101B-9397-08002B2CF9AE}" pid="7" name="_DMCheckedOldDocProps">
    <vt:lpwstr>_DMCheckedOldDocProps</vt:lpwstr>
  </property>
  <property fmtid="{D5CDD505-2E9C-101B-9397-08002B2CF9AE}" pid="8" name="Id">
    <vt:lpwstr>2308055b-2f36-41b2-b21a-889fa1fd580d</vt:lpwstr>
  </property>
  <property fmtid="{D5CDD505-2E9C-101B-9397-08002B2CF9AE}" pid="9" name="MSIP_Label_1f9c9bcd-f315-4c3b-87a0-7682e230e7e4_Enabled">
    <vt:lpwstr>true</vt:lpwstr>
  </property>
  <property fmtid="{D5CDD505-2E9C-101B-9397-08002B2CF9AE}" pid="10" name="MSIP_Label_1f9c9bcd-f315-4c3b-87a0-7682e230e7e4_SetDate">
    <vt:lpwstr>2025-03-20T14:09:16Z</vt:lpwstr>
  </property>
  <property fmtid="{D5CDD505-2E9C-101B-9397-08002B2CF9AE}" pid="11" name="MSIP_Label_1f9c9bcd-f315-4c3b-87a0-7682e230e7e4_Method">
    <vt:lpwstr>Privileged</vt:lpwstr>
  </property>
  <property fmtid="{D5CDD505-2E9C-101B-9397-08002B2CF9AE}" pid="12" name="MSIP_Label_1f9c9bcd-f315-4c3b-87a0-7682e230e7e4_Name">
    <vt:lpwstr>Internal Use</vt:lpwstr>
  </property>
  <property fmtid="{D5CDD505-2E9C-101B-9397-08002B2CF9AE}" pid="13" name="MSIP_Label_1f9c9bcd-f315-4c3b-87a0-7682e230e7e4_SiteId">
    <vt:lpwstr>e122af3c-4c68-4e49-9c52-4ae1e25e91ae</vt:lpwstr>
  </property>
  <property fmtid="{D5CDD505-2E9C-101B-9397-08002B2CF9AE}" pid="14" name="MSIP_Label_1f9c9bcd-f315-4c3b-87a0-7682e230e7e4_ActionId">
    <vt:lpwstr>fbbc22cf-5a66-400a-a9ac-b9c3ec137ab0</vt:lpwstr>
  </property>
  <property fmtid="{D5CDD505-2E9C-101B-9397-08002B2CF9AE}" pid="15" name="MSIP_Label_1f9c9bcd-f315-4c3b-87a0-7682e230e7e4_ContentBits">
    <vt:lpwstr>0</vt:lpwstr>
  </property>
</Properties>
</file>